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camil\Downloads\14-08-2026 CONVENIO ATENEA\"/>
    </mc:Choice>
  </mc:AlternateContent>
  <xr:revisionPtr revIDLastSave="0" documentId="13_ncr:1_{4AA8CB01-6DE0-47E7-9CD5-09481F57ED64}" xr6:coauthVersionLast="47" xr6:coauthVersionMax="47" xr10:uidLastSave="{00000000-0000-0000-0000-000000000000}"/>
  <bookViews>
    <workbookView xWindow="-108" yWindow="-108" windowWidth="23256" windowHeight="13896" tabRatio="789" firstSheet="2" activeTab="2" xr2:uid="{72962053-E207-4CAB-A25C-EED04FA29DAB}"/>
  </bookViews>
  <sheets>
    <sheet name="Variables" sheetId="5" r:id="rId1"/>
    <sheet name="Indice y Definiciones" sheetId="6" r:id="rId2"/>
    <sheet name="Calculadora V2026" sheetId="1" r:id="rId3"/>
    <sheet name="Data SAIGC" sheetId="2" r:id="rId4"/>
    <sheet name="Sumapaz" sheetId="3" state="hidden" r:id="rId5"/>
  </sheets>
  <definedNames>
    <definedName name="PORC_US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7" i="1" l="1"/>
  <c r="AH33" i="1"/>
  <c r="AH34" i="1"/>
  <c r="AH32" i="1"/>
  <c r="AH31" i="1"/>
  <c r="Z7" i="2" l="1"/>
  <c r="Y7" i="2"/>
  <c r="Y8" i="2"/>
  <c r="Y9" i="2"/>
  <c r="Y10" i="2"/>
  <c r="Y11" i="2"/>
  <c r="Y12" i="2"/>
  <c r="Y13" i="2"/>
  <c r="Y14" i="2"/>
  <c r="Y15" i="2"/>
  <c r="Y16" i="2"/>
  <c r="D11" i="1" l="1"/>
  <c r="D10" i="1"/>
  <c r="D9" i="1"/>
  <c r="D8" i="1"/>
  <c r="D6" i="1"/>
  <c r="Z8" i="2"/>
  <c r="Z15" i="2"/>
  <c r="Z9" i="2"/>
  <c r="Z10" i="2"/>
  <c r="Z11" i="2"/>
  <c r="Z12" i="2"/>
  <c r="D5" i="1"/>
  <c r="D4" i="1"/>
  <c r="D3" i="1"/>
  <c r="D2" i="1"/>
  <c r="D25" i="1" s="1"/>
  <c r="U7" i="2"/>
  <c r="W7" i="2" s="1"/>
  <c r="U17" i="2"/>
  <c r="W16" i="2" s="1"/>
  <c r="U8" i="2"/>
  <c r="U9" i="2"/>
  <c r="W9" i="2" s="1"/>
  <c r="U10" i="2"/>
  <c r="W10" i="2" s="1"/>
  <c r="U11" i="2"/>
  <c r="W11" i="2" s="1"/>
  <c r="U12" i="2"/>
  <c r="W12" i="2" s="1"/>
  <c r="U13" i="2"/>
  <c r="U14" i="2"/>
  <c r="W14" i="2" s="1"/>
  <c r="U15" i="2"/>
  <c r="W15" i="2" s="1"/>
  <c r="U16" i="2"/>
  <c r="W8" i="2" l="1"/>
  <c r="Z16" i="2"/>
  <c r="Z14" i="2"/>
  <c r="Z17" i="2" s="1"/>
  <c r="AA8" i="2" s="1"/>
  <c r="E10" i="1" s="1"/>
  <c r="W13" i="2"/>
  <c r="Z13" i="2"/>
  <c r="D39" i="1"/>
  <c r="AA15" i="2" l="1"/>
  <c r="E3" i="1" s="1"/>
  <c r="AA7" i="2"/>
  <c r="E11" i="1" s="1"/>
  <c r="AA14" i="2"/>
  <c r="E4" i="1" s="1"/>
  <c r="AA16" i="2"/>
  <c r="E2" i="1" s="1"/>
  <c r="AA13" i="2"/>
  <c r="E5" i="1" s="1"/>
  <c r="AA9" i="2"/>
  <c r="E9" i="1" s="1"/>
  <c r="AA10" i="2"/>
  <c r="E8" i="1" s="1"/>
  <c r="AA11" i="2"/>
  <c r="E7" i="1" s="1"/>
  <c r="AA12" i="2"/>
  <c r="E6" i="1" s="1"/>
  <c r="T25" i="1" l="1"/>
  <c r="U26" i="1"/>
  <c r="W26" i="1" s="1"/>
  <c r="U27" i="1"/>
  <c r="W27" i="1" s="1"/>
  <c r="X27" i="1" s="1"/>
  <c r="U28" i="1"/>
  <c r="W28" i="1" s="1"/>
  <c r="U29" i="1"/>
  <c r="W29" i="1" s="1"/>
  <c r="Y29" i="1" s="1"/>
  <c r="U30" i="1"/>
  <c r="W30" i="1" s="1"/>
  <c r="U31" i="1"/>
  <c r="V31" i="1" s="1"/>
  <c r="U32" i="1"/>
  <c r="V32" i="1" s="1"/>
  <c r="U33" i="1"/>
  <c r="V33" i="1" s="1"/>
  <c r="U34" i="1"/>
  <c r="V34" i="1" s="1"/>
  <c r="U25" i="1"/>
  <c r="V25" i="1" s="1"/>
  <c r="V29" i="1" l="1"/>
  <c r="V30" i="1"/>
  <c r="V28" i="1"/>
  <c r="V26" i="1"/>
  <c r="W33" i="1"/>
  <c r="V27" i="1"/>
  <c r="W25" i="1"/>
  <c r="W32" i="1"/>
  <c r="W31" i="1"/>
  <c r="G7" i="3"/>
  <c r="F7" i="3"/>
  <c r="D7" i="3"/>
  <c r="E7" i="3"/>
  <c r="C7" i="3"/>
  <c r="E11" i="3"/>
  <c r="E12" i="3"/>
  <c r="E13" i="3"/>
  <c r="E14" i="3"/>
  <c r="E10" i="3"/>
  <c r="E15" i="3" s="1"/>
  <c r="D15" i="3"/>
  <c r="C15" i="3" l="1"/>
  <c r="E4" i="3" l="1"/>
  <c r="E3" i="3"/>
  <c r="E2" i="3"/>
  <c r="E6" i="3"/>
  <c r="E5" i="3"/>
  <c r="X32" i="1" l="1"/>
  <c r="T26" i="1"/>
  <c r="T27" i="1"/>
  <c r="T28" i="1"/>
  <c r="T29" i="1"/>
  <c r="T30" i="1"/>
  <c r="T31" i="1"/>
  <c r="T32" i="1"/>
  <c r="T33" i="1"/>
  <c r="T34" i="1"/>
  <c r="AF34" i="1" s="1"/>
  <c r="S26" i="1"/>
  <c r="S27" i="1"/>
  <c r="S28" i="1"/>
  <c r="S29" i="1"/>
  <c r="S30" i="1"/>
  <c r="S31" i="1"/>
  <c r="S32" i="1"/>
  <c r="S33" i="1"/>
  <c r="S34" i="1"/>
  <c r="S25" i="1"/>
  <c r="D33" i="2"/>
  <c r="D32" i="2"/>
  <c r="D31" i="2"/>
  <c r="D30" i="2"/>
  <c r="D29" i="2"/>
  <c r="D28" i="2"/>
  <c r="D27" i="2"/>
  <c r="D26" i="2"/>
  <c r="D25" i="2"/>
  <c r="D24" i="2"/>
  <c r="J19" i="2"/>
  <c r="C33" i="2" s="1"/>
  <c r="I19" i="2"/>
  <c r="H19" i="2"/>
  <c r="C31" i="2" s="1"/>
  <c r="G19" i="2"/>
  <c r="C30" i="2" s="1"/>
  <c r="F19" i="2"/>
  <c r="C29" i="2" s="1"/>
  <c r="E19" i="2"/>
  <c r="D19" i="2"/>
  <c r="C19" i="2"/>
  <c r="B19" i="2"/>
  <c r="J18" i="2"/>
  <c r="I18" i="2"/>
  <c r="H18" i="2"/>
  <c r="G18" i="2"/>
  <c r="F18" i="2"/>
  <c r="C28" i="2" s="1"/>
  <c r="E18" i="2"/>
  <c r="D18" i="2"/>
  <c r="C18" i="2"/>
  <c r="B18" i="2"/>
  <c r="O17" i="2"/>
  <c r="J17" i="2"/>
  <c r="I17" i="2"/>
  <c r="H17" i="2"/>
  <c r="G17" i="2"/>
  <c r="F17" i="2"/>
  <c r="E17" i="2"/>
  <c r="B21" i="2" s="1"/>
  <c r="D17" i="2"/>
  <c r="C17" i="2"/>
  <c r="C25" i="2" s="1"/>
  <c r="B17" i="2"/>
  <c r="O16" i="2"/>
  <c r="B14" i="2"/>
  <c r="D28" i="1" l="1"/>
  <c r="E28" i="1" s="1"/>
  <c r="F28" i="1" s="1"/>
  <c r="G28" i="1" s="1"/>
  <c r="H28" i="1" s="1"/>
  <c r="I28" i="1" s="1"/>
  <c r="J28" i="1" s="1"/>
  <c r="K28" i="1" s="1"/>
  <c r="L28" i="1" s="1"/>
  <c r="D33" i="1"/>
  <c r="E33" i="1" s="1"/>
  <c r="F33" i="1" s="1"/>
  <c r="G33" i="1" s="1"/>
  <c r="H33" i="1" s="1"/>
  <c r="Q33" i="1" s="1"/>
  <c r="R33" i="1" s="1"/>
  <c r="D29" i="1"/>
  <c r="E29" i="1" s="1"/>
  <c r="F29" i="1" s="1"/>
  <c r="G29" i="1" s="1"/>
  <c r="H29" i="1" s="1"/>
  <c r="I29" i="1" s="1"/>
  <c r="J29" i="1" s="1"/>
  <c r="K29" i="1" s="1"/>
  <c r="Q29" i="1" s="1"/>
  <c r="R29" i="1" s="1"/>
  <c r="E25" i="1"/>
  <c r="D30" i="1"/>
  <c r="E30" i="1" s="1"/>
  <c r="F30" i="1" s="1"/>
  <c r="G30" i="1" s="1"/>
  <c r="H30" i="1" s="1"/>
  <c r="I30" i="1" s="1"/>
  <c r="J30" i="1" s="1"/>
  <c r="K30" i="1" s="1"/>
  <c r="D26" i="1"/>
  <c r="E26" i="1" s="1"/>
  <c r="D27" i="1"/>
  <c r="E27" i="1" s="1"/>
  <c r="F27" i="1" s="1"/>
  <c r="G27" i="1" s="1"/>
  <c r="H27" i="1" s="1"/>
  <c r="I27" i="1" s="1"/>
  <c r="J27" i="1" s="1"/>
  <c r="K27" i="1" s="1"/>
  <c r="L27" i="1" s="1"/>
  <c r="M27" i="1" s="1"/>
  <c r="D31" i="1"/>
  <c r="E31" i="1" s="1"/>
  <c r="F31" i="1" s="1"/>
  <c r="G31" i="1" s="1"/>
  <c r="H31" i="1" s="1"/>
  <c r="I31" i="1" s="1"/>
  <c r="J31" i="1" s="1"/>
  <c r="D34" i="1"/>
  <c r="E34" i="1" s="1"/>
  <c r="F34" i="1" s="1"/>
  <c r="G34" i="1" s="1"/>
  <c r="Q34" i="1" s="1"/>
  <c r="R34" i="1" s="1"/>
  <c r="AG34" i="1" s="1"/>
  <c r="D32" i="1"/>
  <c r="E32" i="1" s="1"/>
  <c r="F32" i="1" s="1"/>
  <c r="G32" i="1" s="1"/>
  <c r="H32" i="1" s="1"/>
  <c r="I32" i="1" s="1"/>
  <c r="T35" i="1"/>
  <c r="X31" i="1"/>
  <c r="Y31" i="1"/>
  <c r="AF33" i="1"/>
  <c r="Y27" i="1"/>
  <c r="X29" i="1"/>
  <c r="Z29" i="1"/>
  <c r="AF32" i="1"/>
  <c r="X25" i="1"/>
  <c r="Y25" i="1"/>
  <c r="X30" i="1"/>
  <c r="Y30" i="1"/>
  <c r="Z30" i="1" s="1"/>
  <c r="Y28" i="1"/>
  <c r="X28" i="1"/>
  <c r="Y26" i="1"/>
  <c r="X26" i="1"/>
  <c r="U35" i="1"/>
  <c r="V35" i="1"/>
  <c r="W35" i="1"/>
  <c r="C24" i="2"/>
  <c r="C26" i="2"/>
  <c r="C32" i="2"/>
  <c r="C27" i="2"/>
  <c r="AF31" i="1" l="1"/>
  <c r="AG33" i="1"/>
  <c r="F26" i="1"/>
  <c r="G26" i="1" s="1"/>
  <c r="H26" i="1" s="1"/>
  <c r="I26" i="1" s="1"/>
  <c r="J26" i="1" s="1"/>
  <c r="K26" i="1" s="1"/>
  <c r="L26" i="1" s="1"/>
  <c r="M26" i="1" s="1"/>
  <c r="N26" i="1" s="1"/>
  <c r="F25" i="1"/>
  <c r="G25" i="1" s="1"/>
  <c r="H25" i="1" s="1"/>
  <c r="I25" i="1" s="1"/>
  <c r="J25" i="1" s="1"/>
  <c r="K25" i="1" s="1"/>
  <c r="L25" i="1" s="1"/>
  <c r="M25" i="1" s="1"/>
  <c r="N25" i="1" s="1"/>
  <c r="O25" i="1" s="1"/>
  <c r="Q32" i="1"/>
  <c r="R32" i="1" s="1"/>
  <c r="AG32" i="1" s="1"/>
  <c r="Q31" i="1"/>
  <c r="R31" i="1" s="1"/>
  <c r="AG31" i="1" s="1"/>
  <c r="E35" i="1"/>
  <c r="Q27" i="1"/>
  <c r="R27" i="1" s="1"/>
  <c r="Q28" i="1"/>
  <c r="R28" i="1" s="1"/>
  <c r="X35" i="1"/>
  <c r="AF30" i="1"/>
  <c r="AF29" i="1"/>
  <c r="AG29" i="1" s="1"/>
  <c r="AH29" i="1" s="1"/>
  <c r="Z25" i="1"/>
  <c r="AA25" i="1"/>
  <c r="Y35" i="1"/>
  <c r="Z27" i="1"/>
  <c r="AA27" i="1"/>
  <c r="AB27" i="1" s="1"/>
  <c r="Z26" i="1"/>
  <c r="AA26" i="1"/>
  <c r="AA28" i="1"/>
  <c r="Z28" i="1"/>
  <c r="Q30" i="1"/>
  <c r="R30" i="1" s="1"/>
  <c r="AI33" i="1" l="1"/>
  <c r="W17" i="2"/>
  <c r="N35" i="1"/>
  <c r="AF28" i="1"/>
  <c r="AG28" i="1" s="1"/>
  <c r="F35" i="1"/>
  <c r="Q26" i="1"/>
  <c r="R26" i="1" s="1"/>
  <c r="G35" i="1"/>
  <c r="L35" i="1"/>
  <c r="K35" i="1"/>
  <c r="I35" i="1"/>
  <c r="H35" i="1"/>
  <c r="J35" i="1"/>
  <c r="M35" i="1"/>
  <c r="AI29" i="1"/>
  <c r="AI31" i="1"/>
  <c r="AI32" i="1"/>
  <c r="AG30" i="1"/>
  <c r="AH30" i="1" s="1"/>
  <c r="AF27" i="1"/>
  <c r="AG27" i="1" s="1"/>
  <c r="AH27" i="1" s="1"/>
  <c r="AC25" i="1"/>
  <c r="AB25" i="1"/>
  <c r="AA35" i="1"/>
  <c r="Z35" i="1"/>
  <c r="AC26" i="1"/>
  <c r="AB26" i="1"/>
  <c r="O35" i="1"/>
  <c r="P25" i="1"/>
  <c r="P35" i="1" s="1"/>
  <c r="F23" i="1" l="1"/>
  <c r="AH28" i="1"/>
  <c r="AI28" i="1" s="1"/>
  <c r="AI27" i="1"/>
  <c r="AF26" i="1"/>
  <c r="AG26" i="1" s="1"/>
  <c r="AH26" i="1" s="1"/>
  <c r="AB35" i="1"/>
  <c r="AE25" i="1"/>
  <c r="AE35" i="1" s="1"/>
  <c r="AD25" i="1"/>
  <c r="AC35" i="1"/>
  <c r="Q25" i="1"/>
  <c r="R25" i="1" s="1"/>
  <c r="AI34" i="1" l="1"/>
  <c r="G23" i="1"/>
  <c r="G39" i="1" s="1"/>
  <c r="AI30" i="1"/>
  <c r="F39" i="1"/>
  <c r="R35" i="1"/>
  <c r="AI26" i="1"/>
  <c r="AD35" i="1"/>
  <c r="AF25" i="1"/>
  <c r="AG25" i="1" s="1"/>
  <c r="AH25" i="1" s="1"/>
  <c r="Q35" i="1"/>
  <c r="AH35" i="1" l="1"/>
  <c r="E23" i="1"/>
  <c r="AI25" i="1"/>
  <c r="AI35" i="1" s="1"/>
  <c r="AG35" i="1"/>
  <c r="AF35" i="1"/>
  <c r="AI39" i="1" l="1"/>
  <c r="E39" i="1"/>
  <c r="H39" i="1" l="1"/>
  <c r="H23" i="1"/>
  <c r="F40" i="1" l="1"/>
  <c r="G40" i="1"/>
  <c r="E4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Ubadel Jose Ortega Gonzalez</author>
  </authors>
  <commentList>
    <comment ref="D23" authorId="0" shapeId="0" xr:uid="{F81D7968-AE2C-4AD9-9FC1-2799CF8C6FE0}">
      <text>
        <r>
          <rPr>
            <b/>
            <sz val="9"/>
            <color rgb="FF000000"/>
            <rFont val="Tahoma"/>
            <family val="2"/>
          </rPr>
          <t>Diligenciar Recursos Previstos.</t>
        </r>
        <r>
          <rPr>
            <sz val="9"/>
            <color rgb="FF000000"/>
            <rFont val="Tahoma"/>
            <family val="2"/>
          </rPr>
          <t xml:space="preserve">
</t>
        </r>
      </text>
    </comment>
    <comment ref="B24" authorId="0" shapeId="0" xr:uid="{CB18B270-28E0-47AC-AE85-8FC74915C7A9}">
      <text>
        <r>
          <rPr>
            <b/>
            <sz val="9"/>
            <color indexed="81"/>
            <rFont val="Tahoma"/>
            <family val="2"/>
          </rPr>
          <t xml:space="preserve">Relacionar el Nombre de la Localidad.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David PC</author>
  </authors>
  <commentList>
    <comment ref="A2" authorId="0" shapeId="0" xr:uid="{3D60E5CB-E430-4E00-BAEF-57F7160D7FE5}">
      <text>
        <r>
          <rPr>
            <b/>
            <sz val="9"/>
            <color indexed="81"/>
            <rFont val="Tahoma"/>
            <family val="2"/>
          </rPr>
          <t>David PC:</t>
        </r>
        <r>
          <rPr>
            <sz val="9"/>
            <color indexed="81"/>
            <rFont val="Tahoma"/>
            <family val="2"/>
          </rPr>
          <t xml:space="preserve">
Solicitud de valores promedio por nivel de formación – Vigencia 2026</t>
        </r>
      </text>
    </comment>
  </commentList>
</comments>
</file>

<file path=xl/sharedStrings.xml><?xml version="1.0" encoding="utf-8"?>
<sst xmlns="http://schemas.openxmlformats.org/spreadsheetml/2006/main" count="201" uniqueCount="107">
  <si>
    <t>Variables metodológicas incorporadas en la herramienta de proyección financiera</t>
  </si>
  <si>
    <r>
      <rPr>
        <b/>
        <sz val="11"/>
        <color rgb="FFFF0000"/>
        <rFont val="Aptos Narrow"/>
        <family val="2"/>
        <scheme val="minor"/>
      </rPr>
      <t>Nota Aclaratoria: Proyección financiera como escenario de referencia</t>
    </r>
    <r>
      <rPr>
        <sz val="11"/>
        <color theme="1"/>
        <rFont val="Aptos Narrow"/>
        <family val="2"/>
        <scheme val="minor"/>
      </rPr>
      <t xml:space="preserve">
Los resultados generados por la herramienta corresponden a escenarios técnicos de proyección construidos a partir de información oficial, criterios estadísticos y evidencia histórica. En consecuencia, constituyen una línea de referencia para la estructuración financiera de los convenios, sin que ello implique una garantía sobre el presupuesto definitivo que será ejecutado o sobre el número final de beneficiarios, dado que la ejecución dependerá del comportamiento efectivo de las variables independientes que intervienen durante el desarrollo de cada convocatoria.</t>
    </r>
  </si>
  <si>
    <r>
      <rPr>
        <b/>
        <sz val="11"/>
        <color theme="1"/>
        <rFont val="Aptos Narrow"/>
        <family val="2"/>
        <scheme val="minor"/>
      </rPr>
      <t>1. Información histórica de convocatorias anteriores</t>
    </r>
    <r>
      <rPr>
        <sz val="11"/>
        <color theme="1"/>
        <rFont val="Aptos Narrow"/>
        <family val="2"/>
        <scheme val="minor"/>
      </rPr>
      <t xml:space="preserve">
La herramienta toma como base el comportamiento histórico de las convocatorias desarrolladas por la Agencia Atenea, permitiendo identificar patrones de participación, costos, niveles de formación y ejecución financiera. Este análisis constituye el principal insumo para la construcción de escenarios de proyección, dado que proporciona evidencia objetiva sobre el comportamiento real del programa y facilita la formulación de estimaciones con un mayor nivel de confiabilidad.</t>
    </r>
  </si>
  <si>
    <r>
      <rPr>
        <b/>
        <sz val="11"/>
        <color theme="1"/>
        <rFont val="Aptos Narrow"/>
        <family val="2"/>
        <scheme val="minor"/>
      </rPr>
      <t>2. Costos promedio de matrícula y derechos pecuniarios</t>
    </r>
    <r>
      <rPr>
        <sz val="11"/>
        <color theme="1"/>
        <rFont val="Aptos Narrow"/>
        <family val="2"/>
        <scheme val="minor"/>
      </rPr>
      <t xml:space="preserve">
Los valores promedio utilizados para estimar los costos de formación corresponden a la información oficial consolidada por la Subgerencia de Análisis de la Información y Gestión del Conocimiento (SAIGC), a partir de los reportes suministrados por las Instituciones de Educación Superior. Estos valores representan la principal variable financiera de la herramienta, ya que permiten calcular el costo estimado por beneficiario y, en consecuencia, el número potencial de cupos que podrían financiarse con los recursos disponibles.</t>
    </r>
  </si>
  <si>
    <r>
      <rPr>
        <b/>
        <sz val="11"/>
        <color theme="1"/>
        <rFont val="Aptos Narrow"/>
        <family val="2"/>
        <scheme val="minor"/>
      </rPr>
      <t>3. Desviación estándar</t>
    </r>
    <r>
      <rPr>
        <sz val="11"/>
        <color theme="1"/>
        <rFont val="Aptos Narrow"/>
        <family val="2"/>
        <scheme val="minor"/>
      </rPr>
      <t xml:space="preserve">
Como parte de la actualización metodológica de la herramienta, se incorpora la desviación estándar como un indicador estadístico que mide la dispersión observada en las principales variables históricas utilizadas para la estimación financiera. Su integración permite reconocer la variabilidad natural del comportamiento de los datos y construir escenarios de proyección más conservadores, reduciendo el riesgo de subestimación presupuestal y fortaleciendo la capacidad predictiva del modelo frente a posibles fluctuaciones durante la ejecución de los convenios.</t>
    </r>
  </si>
  <si>
    <r>
      <rPr>
        <b/>
        <sz val="11"/>
        <color theme="1"/>
        <rFont val="Aptos Narrow"/>
        <family val="2"/>
        <scheme val="minor"/>
      </rPr>
      <t>4. Distribución por niveles de formación</t>
    </r>
    <r>
      <rPr>
        <sz val="11"/>
        <color theme="1"/>
        <rFont val="Aptos Narrow"/>
        <family val="2"/>
        <scheme val="minor"/>
      </rPr>
      <t xml:space="preserve">
La herramienta incorpora una proyección de la distribución de beneficiarios entre los diferentes niveles de formación, considerando el comportamiento histórico observado en las convocatorias distritales y las particularidades de cada localidad. Esta variable resulta determinante debido a que cada nivel de formación presenta estructuras de costos diferenciadas, asociadas principalmente a la duración de los programas académicos y al valor promedio de los derechos pecuniarios.</t>
    </r>
  </si>
  <si>
    <r>
      <rPr>
        <b/>
        <sz val="11"/>
        <color theme="1"/>
        <rFont val="Aptos Narrow"/>
        <family val="2"/>
        <scheme val="minor"/>
      </rPr>
      <t>5. Cantidad de semestres por nivel de formación</t>
    </r>
    <r>
      <rPr>
        <sz val="11"/>
        <color theme="1"/>
        <rFont val="Aptos Narrow"/>
        <family val="2"/>
        <scheme val="minor"/>
      </rPr>
      <t xml:space="preserve">
La duración promedio de los programas académicos constituye un factor determinante en la estimación del costo total de financiación. Por esta razón, la herramienta incorpora el número de semestres asociado a cada nivel de formación como variable de cálculo, permitiendo proyectar de manera más precisa el costo esperado de cada beneficiario durante su proceso formativo.</t>
    </r>
  </si>
  <si>
    <r>
      <rPr>
        <b/>
        <sz val="11"/>
        <color theme="1"/>
        <rFont val="Aptos Narrow"/>
        <family val="2"/>
        <scheme val="minor"/>
      </rPr>
      <t>6. Índice de Precios al Consumidor (IPC)</t>
    </r>
    <r>
      <rPr>
        <sz val="11"/>
        <color theme="1"/>
        <rFont val="Aptos Narrow"/>
        <family val="2"/>
        <scheme val="minor"/>
      </rPr>
      <t xml:space="preserve">
El Índice de Precios al Consumidor se incorpora como una variable macroeconómica que permite ajustar las proyecciones frente al comportamiento esperado de los precios en la economía. Su consideración dentro del modelo contribuye a mantener la consistencia de las estimaciones financieras y reduce el riesgo de subestimar los recursos necesarios para la ejecución de la convocatoria.</t>
    </r>
  </si>
  <si>
    <r>
      <rPr>
        <b/>
        <sz val="11"/>
        <color theme="1"/>
        <rFont val="Aptos Narrow"/>
        <family val="2"/>
        <scheme val="minor"/>
      </rPr>
      <t>7. Incremento del Salario Mínimo Mensual Legal Vigente (SMMLV)</t>
    </r>
    <r>
      <rPr>
        <sz val="11"/>
        <color theme="1"/>
        <rFont val="Aptos Narrow"/>
        <family val="2"/>
        <scheme val="minor"/>
      </rPr>
      <t xml:space="preserve">
El comportamiento anual del SMMLV impacta directamente algunos componentes económicos del programa, particularmente aquellos relacionados con los apoyos de permanencia y otros beneficios cuyo valor se encuentra asociado a este indicador. La incorporación de esta variable permite anticipar el efecto de dichos incrementos sobre el presupuesto requerido para la financiación integral de los beneficiarios.</t>
    </r>
  </si>
  <si>
    <t>Indice y Definiciones</t>
  </si>
  <si>
    <r>
      <rPr>
        <b/>
        <sz val="11"/>
        <color theme="1"/>
        <rFont val="Aptos Narrow"/>
        <family val="2"/>
        <scheme val="minor"/>
      </rPr>
      <t xml:space="preserve">1. Esquema de concurrencia de recursos: </t>
    </r>
    <r>
      <rPr>
        <sz val="11"/>
        <color theme="1"/>
        <rFont val="Aptos Narrow"/>
        <family val="2"/>
        <scheme val="minor"/>
      </rPr>
      <t>La herramienta considera el modelo de concurrencia de recursos implementado entre la Agencia Atenea y las Instituciones de Educación Superior, mediante el cual el costo total de la formación es asumido de manera compartida. La incorporación de esta variable permite estimar el valor efectivamente financiado por los convenios, optimizando el aprovechamiento de los recursos públicos y ampliando el número potencial de beneficiarios.</t>
    </r>
  </si>
  <si>
    <r>
      <rPr>
        <b/>
        <sz val="11"/>
        <color theme="1"/>
        <rFont val="Aptos Narrow"/>
        <family val="2"/>
        <scheme val="minor"/>
      </rPr>
      <t xml:space="preserve">2. Tendencias territoriales de participación: </t>
    </r>
    <r>
      <rPr>
        <sz val="11"/>
        <color theme="1"/>
        <rFont val="Aptos Narrow"/>
        <family val="2"/>
        <scheme val="minor"/>
      </rPr>
      <t>La herramienta incorpora el comportamiento histórico de cada localidad en relación con la demanda de aspirantes y la distribución de beneficiarios. Este componente permite ajustar las proyecciones a las dinámicas territoriales observadas en convocatorias anteriores, generando escenarios más consistentes con las particularidades de cada Fondo de Desarrollo Local.</t>
    </r>
  </si>
  <si>
    <r>
      <rPr>
        <b/>
        <sz val="11"/>
        <color theme="1"/>
        <rFont val="Aptos Narrow"/>
        <family val="2"/>
        <scheme val="minor"/>
      </rPr>
      <t xml:space="preserve">3. Variables independientes del proceso: </t>
    </r>
    <r>
      <rPr>
        <sz val="11"/>
        <color theme="1"/>
        <rFont val="Aptos Narrow"/>
        <family val="2"/>
        <scheme val="minor"/>
      </rPr>
      <t>Las proyecciones generadas por la herramienta se encuentran sujetas al comportamiento de variables que no pueden ser controladas durante la etapa de planeación, tales como la demanda efectiva de aspirantes, la institución de educación superior seleccionada, el programa académico elegido, la modalidad de estudio, la permanencia de los beneficiarios y las variaciones en los costos de matrícula. Debido a su naturaleza, estas variables pueden generar diferencias entre los valores proyectados y la ejecución final del convenio.</t>
    </r>
  </si>
  <si>
    <r>
      <rPr>
        <b/>
        <sz val="11"/>
        <color theme="1"/>
        <rFont val="Aptos Narrow"/>
        <family val="2"/>
        <scheme val="minor"/>
      </rPr>
      <t>4. ISOES (Índice de Idoneidad de la Oferta de Educación Superior):</t>
    </r>
    <r>
      <rPr>
        <sz val="11"/>
        <color theme="1"/>
        <rFont val="Aptos Narrow"/>
        <family val="2"/>
        <scheme val="minor"/>
      </rPr>
      <t xml:space="preserve"> Evalúa la pertinencia de los programas académicos considerando variables como la demanda histórica, la empleabilidad, la calidad de la oferta y su articulación con las necesidades del mercado laboral. Este indicador contribuye a priorizar programas con mayores probabilidades de inserción laboral y permanencia de los beneficiarios.</t>
    </r>
  </si>
  <si>
    <r>
      <rPr>
        <b/>
        <sz val="11"/>
        <color theme="1"/>
        <rFont val="Aptos Narrow"/>
        <family val="2"/>
        <scheme val="minor"/>
      </rPr>
      <t>5. TIR (Tasa Interna de Retorno):</t>
    </r>
    <r>
      <rPr>
        <sz val="11"/>
        <color theme="1"/>
        <rFont val="Aptos Narrow"/>
        <family val="2"/>
        <scheme val="minor"/>
      </rPr>
      <t xml:space="preserve"> Permite analizar el retorno económico esperado de la inversión realizada en cada programa académico, considerando variables como ingresos proyectados, empleabilidad y recuperación de la inversión educativa. Su incorporación favorece la priorización de programas con mayor impacto socioeconómico.</t>
    </r>
  </si>
  <si>
    <t>Nivel de Formacion</t>
  </si>
  <si>
    <t>Cant. Semestres</t>
  </si>
  <si>
    <t>Valor SAIGC</t>
  </si>
  <si>
    <t>% Tendencia</t>
  </si>
  <si>
    <t>Profesional Universitario</t>
  </si>
  <si>
    <r>
      <t>La herramienta "</t>
    </r>
    <r>
      <rPr>
        <b/>
        <sz val="10"/>
        <color rgb="FF000000"/>
        <rFont val="Aptos Narrow"/>
        <family val="2"/>
        <scheme val="minor"/>
      </rPr>
      <t>Calculadora</t>
    </r>
    <r>
      <rPr>
        <sz val="10"/>
        <color rgb="FF000000"/>
        <rFont val="Aptos Narrow"/>
        <family val="2"/>
        <scheme val="minor"/>
      </rPr>
      <t>" constituye un instrumento técnico de apoyo para la planeación financiera y presupuestal de los convenios que suscribe la Agencia Atenea con los Fondos de Desarrollo Local. Su finalidad es proyectar, con base en información oficial, evidencia histórica y criterios estadísticos, el presupuesto potencial requerido para la financiación de las metas de acceso a educación posmedia definidas por cada Fondo de Desarrollo Local.
En este sentido, es importante precisar que la herramienta no determina de manera definitiva el presupuesto que será ejecutado ni el número exacto de cupos que serán financiados, sino que genera un escenario de referencia que permite aproximarse de manera razonable al comportamiento esperado de los costos de la convocatoria. Por tanto, los resultados obtenidos deben interpretarse como una proyección técnica, susceptible de variaciones derivadas del comportamiento efectivo de las variables que intervienen durante la ejecución del programa.</t>
    </r>
  </si>
  <si>
    <t>Tecnologico</t>
  </si>
  <si>
    <t>Tecnico Profesional</t>
  </si>
  <si>
    <t>Detalle</t>
  </si>
  <si>
    <t>Cantidad</t>
  </si>
  <si>
    <t>SMMLV</t>
  </si>
  <si>
    <t>Marco Fiscal de Mediano Plazo</t>
  </si>
  <si>
    <t>IPC</t>
  </si>
  <si>
    <t>Reserva (Desviación)</t>
  </si>
  <si>
    <t>% Costo Derecho Pecuniario - Atenea</t>
  </si>
  <si>
    <t>% Costo Derecho Pecuniario - IES</t>
  </si>
  <si>
    <t>Profesional</t>
  </si>
  <si>
    <t>Tecnologo</t>
  </si>
  <si>
    <t>Tecnico</t>
  </si>
  <si>
    <t>Total</t>
  </si>
  <si>
    <t>SANTA FE</t>
  </si>
  <si>
    <t>Costo Programa</t>
  </si>
  <si>
    <t>2027-1</t>
  </si>
  <si>
    <t>2027-2</t>
  </si>
  <si>
    <t>2028-1</t>
  </si>
  <si>
    <t>2028-2</t>
  </si>
  <si>
    <t>2029-1</t>
  </si>
  <si>
    <t>2029-2</t>
  </si>
  <si>
    <t>2030-1</t>
  </si>
  <si>
    <t>2030-2</t>
  </si>
  <si>
    <t>2031-1</t>
  </si>
  <si>
    <t>2031-2</t>
  </si>
  <si>
    <t>2032-1</t>
  </si>
  <si>
    <t>2032-2</t>
  </si>
  <si>
    <t>Total Mat</t>
  </si>
  <si>
    <t>Costo Apoyo Economico</t>
  </si>
  <si>
    <t>Total Sos</t>
  </si>
  <si>
    <t>Mat+Sos</t>
  </si>
  <si>
    <t>Cupos</t>
  </si>
  <si>
    <t>Total Convenio</t>
  </si>
  <si>
    <t>Total Matriculas</t>
  </si>
  <si>
    <t>Resumen Publicas &amp; Privadas</t>
  </si>
  <si>
    <t>JE4 SAICG</t>
  </si>
  <si>
    <t>16 de enero de 2026</t>
  </si>
  <si>
    <t>SAIGC</t>
  </si>
  <si>
    <t>Correo 17/06/2026 | Asunto: Solicitud de insumos para ajuste de calculadora y definición de parámetros acordados</t>
  </si>
  <si>
    <t>3 Semestres</t>
  </si>
  <si>
    <t>4 Semestres</t>
  </si>
  <si>
    <t>5 Semestres</t>
  </si>
  <si>
    <t>6 Semestres</t>
  </si>
  <si>
    <t>7 Semestres</t>
  </si>
  <si>
    <t>8 Semestres</t>
  </si>
  <si>
    <t>9 Semestres</t>
  </si>
  <si>
    <t>10 Semestres</t>
  </si>
  <si>
    <t>12 Semestres</t>
  </si>
  <si>
    <t>Tabla 1: Resultados por nivel de formación y duración</t>
  </si>
  <si>
    <t>Formación técnica profesional</t>
  </si>
  <si>
    <t>Tecnológico</t>
  </si>
  <si>
    <t>Nivel de formación</t>
  </si>
  <si>
    <t>Semestres</t>
  </si>
  <si>
    <t>Participación (%)</t>
  </si>
  <si>
    <t>Promedio 2026-2</t>
  </si>
  <si>
    <t>Desv. Estándar</t>
  </si>
  <si>
    <t>Mediana 2026-2</t>
  </si>
  <si>
    <t>P75 2026-2</t>
  </si>
  <si>
    <t>Valor Promedio 2026-2</t>
  </si>
  <si>
    <t>% Participación</t>
  </si>
  <si>
    <t>Prom+DesEst</t>
  </si>
  <si>
    <t>% Participación Final</t>
  </si>
  <si>
    <t>Universitario</t>
  </si>
  <si>
    <t>técnica profesional</t>
  </si>
  <si>
    <t>Imputación de cupos resultado JE4, valores SIGC</t>
  </si>
  <si>
    <t>Costo Total</t>
  </si>
  <si>
    <t>%</t>
  </si>
  <si>
    <t>Valor</t>
  </si>
  <si>
    <t>Técnica profesional</t>
  </si>
  <si>
    <t>Localidad</t>
  </si>
  <si>
    <t>Convenio</t>
  </si>
  <si>
    <t>Acceso</t>
  </si>
  <si>
    <t>Permanencia</t>
  </si>
  <si>
    <t>Metas Acc</t>
  </si>
  <si>
    <t>Metas Perm</t>
  </si>
  <si>
    <t>SUMAPAZ</t>
  </si>
  <si>
    <t>2267-2021</t>
  </si>
  <si>
    <t>FDRS-CD-237-2022</t>
  </si>
  <si>
    <t>FDRS-CIA-317-2023</t>
  </si>
  <si>
    <t>FDRS-CIA-597-2024</t>
  </si>
  <si>
    <t>FDRS-CIA-366-2025</t>
  </si>
  <si>
    <t>TOTAL</t>
  </si>
  <si>
    <t>Rendimientos 06/25</t>
  </si>
  <si>
    <t>Rendimientos 12/25</t>
  </si>
  <si>
    <t>Variación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</si>
</sst>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quot;$&quot;#,##0_);[Red]\(&quot;$&quot;#,##0\)"/>
    <numFmt numFmtId="167" formatCode="0.0%"/>
  </numFmts>
  <fonts count="22"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rgb="FF000000"/>
      <name val="Aptos Narrow"/>
      <family val="2"/>
      <scheme val="minor"/>
    </font>
    <font>
      <sz val="10"/>
      <color rgb="FF000000"/>
      <name val="Aptos Narrow"/>
      <family val="2"/>
      <scheme val="minor"/>
    </font>
    <font>
      <b/>
      <sz val="8"/>
      <color theme="1"/>
      <name val="Aptos Narrow"/>
      <family val="2"/>
      <scheme val="minor"/>
    </font>
    <font>
      <sz val="8"/>
      <color theme="1"/>
      <name val="Aptos Narrow"/>
      <family val="2"/>
      <scheme val="minor"/>
    </font>
    <font>
      <b/>
      <sz val="8"/>
      <color rgb="FF000000"/>
      <name val="Aptos Narrow"/>
      <family val="2"/>
      <scheme val="minor"/>
    </font>
    <font>
      <sz val="8"/>
      <color rgb="FF000000"/>
      <name val="Aptos Narrow"/>
      <family val="2"/>
      <scheme val="minor"/>
    </font>
    <font>
      <sz val="8"/>
      <color rgb="FFFF0000"/>
      <name val="Aptos Narrow"/>
      <family val="2"/>
      <scheme val="minor"/>
    </font>
    <font>
      <b/>
      <sz val="9"/>
      <color indexed="81"/>
      <name val="Tahoma"/>
      <family val="2"/>
    </font>
    <font>
      <sz val="9"/>
      <color indexed="81"/>
      <name val="Tahoma"/>
      <family val="2"/>
    </font>
    <font>
      <b/>
      <sz val="10"/>
      <color theme="1"/>
      <name val="Aptos Narrow"/>
      <family val="2"/>
      <scheme val="minor"/>
    </font>
    <font>
      <sz val="9"/>
      <color rgb="FF000000"/>
      <name val="Aptos Narrow"/>
      <family val="2"/>
    </font>
    <font>
      <sz val="10"/>
      <color rgb="FF000000"/>
      <name val="Aptos Narrow"/>
      <family val="2"/>
    </font>
    <font>
      <b/>
      <sz val="10"/>
      <color rgb="FF000000"/>
      <name val="Aptos Narrow"/>
      <family val="2"/>
    </font>
    <font>
      <b/>
      <sz val="10"/>
      <name val="Aptos Narrow"/>
      <family val="2"/>
    </font>
    <font>
      <sz val="10"/>
      <name val="Aptos Narrow"/>
      <family val="2"/>
      <scheme val="minor"/>
    </font>
    <font>
      <b/>
      <sz val="14"/>
      <color theme="1"/>
      <name val="Aptos Narrow"/>
      <family val="2"/>
      <scheme val="minor"/>
    </font>
    <font>
      <b/>
      <sz val="11"/>
      <color rgb="FFFF0000"/>
      <name val="Aptos Narrow"/>
      <family val="2"/>
      <scheme val="minor"/>
    </font>
    <font>
      <b/>
      <sz val="9"/>
      <color rgb="FF000000"/>
      <name val="Tahoma"/>
      <family val="2"/>
    </font>
    <font>
      <sz val="9"/>
      <color rgb="FF000000"/>
      <name val="Tahoma"/>
      <family val="2"/>
    </font>
  </fonts>
  <fills count="24">
    <fill>
      <patternFill patternType="none"/>
    </fill>
    <fill>
      <patternFill patternType="gray125"/>
    </fill>
    <fill>
      <patternFill patternType="solid">
        <fgColor rgb="FFD9D9D9"/>
        <bgColor rgb="FF000000"/>
      </patternFill>
    </fill>
    <fill>
      <patternFill patternType="solid">
        <fgColor rgb="FF83E28E"/>
        <bgColor rgb="FF000000"/>
      </patternFill>
    </fill>
    <fill>
      <patternFill patternType="solid">
        <fgColor rgb="FFDAE9F8"/>
        <bgColor rgb="FF000000"/>
      </patternFill>
    </fill>
    <fill>
      <patternFill patternType="solid">
        <fgColor rgb="FFFFC000"/>
        <bgColor rgb="FF000000"/>
      </patternFill>
    </fill>
    <fill>
      <patternFill patternType="solid">
        <fgColor rgb="FFC0E6F5"/>
        <bgColor indexed="64"/>
      </patternFill>
    </fill>
    <fill>
      <patternFill patternType="solid">
        <fgColor rgb="FFFFFFFF"/>
        <bgColor indexed="64"/>
      </patternFill>
    </fill>
    <fill>
      <patternFill patternType="solid">
        <fgColor theme="0"/>
        <bgColor rgb="FF000000"/>
      </patternFill>
    </fill>
    <fill>
      <patternFill patternType="solid">
        <fgColor theme="4" tint="0.79998168889431442"/>
        <bgColor indexed="64"/>
      </patternFill>
    </fill>
    <fill>
      <patternFill patternType="solid">
        <fgColor theme="9" tint="0.59999389629810485"/>
        <bgColor indexed="64"/>
      </patternFill>
    </fill>
    <fill>
      <patternFill patternType="solid">
        <fgColor rgb="FF92D050"/>
        <bgColor rgb="FF000000"/>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3" tint="0.89999084444715716"/>
        <bgColor indexed="64"/>
      </patternFill>
    </fill>
    <fill>
      <patternFill patternType="solid">
        <fgColor theme="4" tint="0.79998168889431442"/>
        <bgColor rgb="FF000000"/>
      </patternFill>
    </fill>
    <fill>
      <patternFill patternType="solid">
        <fgColor theme="5"/>
        <bgColor rgb="FF000000"/>
      </patternFill>
    </fill>
    <fill>
      <patternFill patternType="solid">
        <fgColor rgb="FFFFFF00"/>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2" tint="-0.249977111117893"/>
        <bgColor rgb="FF000000"/>
      </patternFill>
    </fill>
    <fill>
      <patternFill patternType="solid">
        <fgColor rgb="FF00B050"/>
        <bgColor rgb="FF000000"/>
      </patternFill>
    </fill>
    <fill>
      <patternFill patternType="solid">
        <fgColor theme="7" tint="0.39997558519241921"/>
        <bgColor rgb="FF000000"/>
      </patternFill>
    </fill>
    <fill>
      <patternFill patternType="solid">
        <fgColor theme="0"/>
        <bgColor indexed="64"/>
      </patternFill>
    </fill>
  </fills>
  <borders count="15">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104">
    <xf numFmtId="0" fontId="0" fillId="0" borderId="0" xfId="0"/>
    <xf numFmtId="0" fontId="3" fillId="0" borderId="0" xfId="0" applyFont="1" applyAlignment="1">
      <alignment horizontal="center"/>
    </xf>
    <xf numFmtId="0" fontId="4" fillId="2" borderId="0" xfId="0" applyFont="1" applyFill="1"/>
    <xf numFmtId="6" fontId="4" fillId="2" borderId="0" xfId="0" applyNumberFormat="1" applyFont="1" applyFill="1"/>
    <xf numFmtId="0" fontId="4" fillId="0" borderId="0" xfId="0" applyFont="1"/>
    <xf numFmtId="0" fontId="4" fillId="0" borderId="0" xfId="0" applyFont="1" applyAlignment="1">
      <alignment horizontal="center"/>
    </xf>
    <xf numFmtId="9" fontId="4" fillId="2" borderId="0" xfId="0" applyNumberFormat="1" applyFont="1" applyFill="1"/>
    <xf numFmtId="10" fontId="4" fillId="3" borderId="0" xfId="0" applyNumberFormat="1" applyFont="1" applyFill="1" applyAlignment="1">
      <alignment horizontal="center"/>
    </xf>
    <xf numFmtId="10" fontId="4" fillId="2" borderId="0" xfId="0" applyNumberFormat="1" applyFont="1" applyFill="1" applyAlignment="1">
      <alignment horizontal="center"/>
    </xf>
    <xf numFmtId="0" fontId="3" fillId="4" borderId="0" xfId="0" applyFont="1" applyFill="1" applyAlignment="1">
      <alignment horizontal="center"/>
    </xf>
    <xf numFmtId="6" fontId="3" fillId="2" borderId="0" xfId="0" applyNumberFormat="1" applyFont="1" applyFill="1" applyAlignment="1">
      <alignment horizontal="center"/>
    </xf>
    <xf numFmtId="0" fontId="3" fillId="2" borderId="0" xfId="0" applyFont="1" applyFill="1" applyAlignment="1">
      <alignment horizontal="center"/>
    </xf>
    <xf numFmtId="9" fontId="3" fillId="2" borderId="0" xfId="0" applyNumberFormat="1" applyFont="1" applyFill="1" applyAlignment="1">
      <alignment horizontal="center"/>
    </xf>
    <xf numFmtId="0" fontId="4" fillId="2" borderId="0" xfId="0" applyFont="1" applyFill="1" applyAlignment="1">
      <alignment horizontal="center"/>
    </xf>
    <xf numFmtId="0" fontId="5" fillId="0" borderId="0" xfId="0" applyFont="1" applyAlignment="1">
      <alignment vertical="center"/>
    </xf>
    <xf numFmtId="0" fontId="6" fillId="0" borderId="0" xfId="0" applyFont="1" applyAlignment="1">
      <alignment vertical="center"/>
    </xf>
    <xf numFmtId="0" fontId="7" fillId="6" borderId="1" xfId="0" applyFont="1" applyFill="1" applyBorder="1" applyAlignment="1">
      <alignment vertical="center"/>
    </xf>
    <xf numFmtId="0" fontId="7" fillId="6" borderId="2" xfId="0" applyFont="1" applyFill="1" applyBorder="1" applyAlignment="1">
      <alignment horizontal="center" vertical="center" wrapText="1"/>
    </xf>
    <xf numFmtId="0" fontId="8" fillId="7" borderId="1" xfId="0" applyFont="1" applyFill="1" applyBorder="1" applyAlignment="1">
      <alignment horizontal="left" vertical="center"/>
    </xf>
    <xf numFmtId="164" fontId="8" fillId="7" borderId="2" xfId="0" applyNumberFormat="1" applyFont="1" applyFill="1" applyBorder="1" applyAlignment="1">
      <alignment vertical="center"/>
    </xf>
    <xf numFmtId="0" fontId="5" fillId="0" borderId="0" xfId="0" applyFont="1" applyAlignment="1">
      <alignment horizontal="center" vertical="center" wrapText="1"/>
    </xf>
    <xf numFmtId="0" fontId="5" fillId="0" borderId="0" xfId="0" applyFont="1" applyAlignment="1">
      <alignment horizontal="right" vertical="center" wrapText="1"/>
    </xf>
    <xf numFmtId="0" fontId="6" fillId="0" borderId="0" xfId="0" applyFont="1" applyAlignment="1">
      <alignment vertical="center" wrapText="1"/>
    </xf>
    <xf numFmtId="0" fontId="6" fillId="0" borderId="0" xfId="0" applyFont="1" applyAlignment="1">
      <alignment horizontal="right" vertical="center" wrapText="1"/>
    </xf>
    <xf numFmtId="10" fontId="6" fillId="0" borderId="0" xfId="0" applyNumberFormat="1" applyFont="1" applyAlignment="1">
      <alignment horizontal="right" vertical="center" wrapText="1"/>
    </xf>
    <xf numFmtId="3" fontId="6" fillId="0" borderId="0" xfId="0" applyNumberFormat="1" applyFont="1" applyAlignment="1">
      <alignment horizontal="right" vertical="center" wrapText="1"/>
    </xf>
    <xf numFmtId="164" fontId="6" fillId="0" borderId="0" xfId="0" applyNumberFormat="1" applyFont="1" applyAlignment="1">
      <alignment vertical="center"/>
    </xf>
    <xf numFmtId="0" fontId="8" fillId="0" borderId="1" xfId="0" applyFont="1" applyBorder="1" applyAlignment="1">
      <alignment horizontal="left" vertical="center"/>
    </xf>
    <xf numFmtId="0" fontId="8" fillId="0" borderId="2" xfId="0" applyFont="1" applyBorder="1" applyAlignment="1">
      <alignment horizontal="right" vertical="center"/>
    </xf>
    <xf numFmtId="0" fontId="8" fillId="0" borderId="2" xfId="0" applyFont="1" applyBorder="1" applyAlignment="1">
      <alignment vertical="center"/>
    </xf>
    <xf numFmtId="0" fontId="6" fillId="0" borderId="3" xfId="0" applyFont="1" applyBorder="1" applyAlignment="1">
      <alignment vertical="center" wrapText="1"/>
    </xf>
    <xf numFmtId="0" fontId="6" fillId="0" borderId="3" xfId="0" applyFont="1" applyBorder="1" applyAlignment="1">
      <alignment horizontal="right" vertical="center" wrapText="1"/>
    </xf>
    <xf numFmtId="0" fontId="6" fillId="0" borderId="3" xfId="0" applyFont="1" applyBorder="1" applyAlignment="1">
      <alignment vertical="center"/>
    </xf>
    <xf numFmtId="6" fontId="6" fillId="0" borderId="3" xfId="0" applyNumberFormat="1" applyFont="1" applyBorder="1" applyAlignment="1">
      <alignment vertical="center"/>
    </xf>
    <xf numFmtId="0" fontId="9" fillId="0" borderId="0" xfId="0" applyFont="1" applyAlignment="1">
      <alignment vertical="center"/>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6" fillId="0" borderId="4" xfId="0" applyFont="1" applyBorder="1" applyAlignment="1">
      <alignment horizontal="center" vertical="center"/>
    </xf>
    <xf numFmtId="10" fontId="6" fillId="0" borderId="4" xfId="3" applyNumberFormat="1" applyFont="1" applyBorder="1" applyAlignment="1">
      <alignment horizontal="center" vertical="center"/>
    </xf>
    <xf numFmtId="164" fontId="6" fillId="0" borderId="4" xfId="0" applyNumberFormat="1" applyFont="1" applyBorder="1" applyAlignment="1">
      <alignment vertical="center"/>
    </xf>
    <xf numFmtId="165" fontId="4" fillId="8" borderId="0" xfId="2" applyNumberFormat="1" applyFont="1" applyFill="1" applyAlignment="1">
      <alignment horizontal="center"/>
    </xf>
    <xf numFmtId="165" fontId="3" fillId="2" borderId="0" xfId="0" applyNumberFormat="1" applyFont="1" applyFill="1"/>
    <xf numFmtId="165" fontId="3" fillId="2" borderId="0" xfId="0" applyNumberFormat="1" applyFont="1" applyFill="1" applyAlignment="1">
      <alignment horizontal="center"/>
    </xf>
    <xf numFmtId="165" fontId="3" fillId="2" borderId="0" xfId="2" applyNumberFormat="1" applyFont="1" applyFill="1" applyAlignment="1">
      <alignment horizontal="center"/>
    </xf>
    <xf numFmtId="0" fontId="12" fillId="9" borderId="0" xfId="4" applyFont="1" applyFill="1" applyAlignment="1">
      <alignment horizontal="center" vertical="center"/>
    </xf>
    <xf numFmtId="0" fontId="0" fillId="0" borderId="4" xfId="0" applyBorder="1"/>
    <xf numFmtId="0" fontId="13" fillId="10" borderId="4" xfId="5" applyFont="1" applyFill="1" applyBorder="1" applyAlignment="1">
      <alignment horizontal="right" vertical="center"/>
    </xf>
    <xf numFmtId="166" fontId="14" fillId="0" borderId="4" xfId="5" applyNumberFormat="1" applyFont="1" applyBorder="1"/>
    <xf numFmtId="166" fontId="15" fillId="11" borderId="4" xfId="5" applyNumberFormat="1" applyFont="1" applyFill="1" applyBorder="1"/>
    <xf numFmtId="0" fontId="13" fillId="12" borderId="4" xfId="5" applyFont="1" applyFill="1" applyBorder="1" applyAlignment="1">
      <alignment horizontal="right" vertical="center"/>
    </xf>
    <xf numFmtId="166" fontId="15" fillId="13" borderId="4" xfId="5" applyNumberFormat="1" applyFont="1" applyFill="1" applyBorder="1"/>
    <xf numFmtId="166" fontId="16" fillId="11" borderId="4" xfId="5" applyNumberFormat="1" applyFont="1" applyFill="1" applyBorder="1"/>
    <xf numFmtId="165" fontId="2" fillId="14" borderId="4" xfId="2" applyNumberFormat="1" applyFont="1" applyFill="1" applyBorder="1"/>
    <xf numFmtId="0" fontId="2" fillId="0" borderId="4" xfId="0" applyFont="1" applyBorder="1" applyAlignment="1">
      <alignment horizontal="center"/>
    </xf>
    <xf numFmtId="0" fontId="2" fillId="0" borderId="0" xfId="0" applyFont="1" applyAlignment="1">
      <alignment horizontal="center"/>
    </xf>
    <xf numFmtId="165" fontId="0" fillId="0" borderId="0" xfId="0" applyNumberFormat="1"/>
    <xf numFmtId="0" fontId="2" fillId="14" borderId="4" xfId="2" applyNumberFormat="1" applyFont="1" applyFill="1" applyBorder="1" applyAlignment="1">
      <alignment horizontal="center"/>
    </xf>
    <xf numFmtId="0" fontId="0" fillId="0" borderId="4" xfId="1" applyNumberFormat="1" applyFont="1" applyBorder="1" applyAlignment="1">
      <alignment horizontal="center" vertical="center"/>
    </xf>
    <xf numFmtId="0" fontId="0" fillId="0" borderId="5" xfId="1" applyNumberFormat="1" applyFont="1" applyBorder="1" applyAlignment="1">
      <alignment horizontal="center" vertical="center"/>
    </xf>
    <xf numFmtId="165" fontId="17" fillId="8" borderId="0" xfId="2" applyNumberFormat="1" applyFont="1" applyFill="1" applyAlignment="1">
      <alignment horizontal="center"/>
    </xf>
    <xf numFmtId="165" fontId="3" fillId="15" borderId="0" xfId="0" applyNumberFormat="1" applyFont="1" applyFill="1"/>
    <xf numFmtId="165" fontId="4" fillId="3" borderId="0" xfId="2" applyNumberFormat="1" applyFont="1" applyFill="1" applyAlignment="1">
      <alignment horizontal="center"/>
    </xf>
    <xf numFmtId="1" fontId="3" fillId="5" borderId="0" xfId="0" applyNumberFormat="1" applyFont="1" applyFill="1" applyAlignment="1">
      <alignment horizontal="center"/>
    </xf>
    <xf numFmtId="10" fontId="4" fillId="16" borderId="0" xfId="0" applyNumberFormat="1" applyFont="1" applyFill="1" applyAlignment="1">
      <alignment horizontal="center"/>
    </xf>
    <xf numFmtId="165" fontId="3" fillId="3" borderId="0" xfId="2" applyNumberFormat="1" applyFont="1" applyFill="1" applyAlignment="1">
      <alignment horizontal="center"/>
    </xf>
    <xf numFmtId="164" fontId="6" fillId="17" borderId="0" xfId="0" applyNumberFormat="1" applyFont="1" applyFill="1" applyAlignment="1">
      <alignment vertical="center"/>
    </xf>
    <xf numFmtId="164" fontId="6" fillId="17" borderId="3" xfId="0" applyNumberFormat="1" applyFont="1" applyFill="1" applyBorder="1" applyAlignment="1">
      <alignment vertical="center"/>
    </xf>
    <xf numFmtId="164" fontId="6" fillId="0" borderId="3" xfId="0" applyNumberFormat="1" applyFont="1" applyBorder="1" applyAlignment="1">
      <alignment vertical="center"/>
    </xf>
    <xf numFmtId="3" fontId="6" fillId="9" borderId="0" xfId="0" applyNumberFormat="1" applyFont="1" applyFill="1" applyAlignment="1">
      <alignment horizontal="right" vertical="center" wrapText="1"/>
    </xf>
    <xf numFmtId="0" fontId="6" fillId="9" borderId="0" xfId="0" applyFont="1" applyFill="1" applyAlignment="1">
      <alignment horizontal="right" vertical="center" wrapText="1"/>
    </xf>
    <xf numFmtId="0" fontId="6" fillId="9" borderId="3" xfId="0" applyFont="1" applyFill="1" applyBorder="1" applyAlignment="1">
      <alignment vertical="center"/>
    </xf>
    <xf numFmtId="3" fontId="6" fillId="17" borderId="0" xfId="0" applyNumberFormat="1" applyFont="1" applyFill="1" applyAlignment="1">
      <alignment vertical="center"/>
    </xf>
    <xf numFmtId="0" fontId="0" fillId="0" borderId="0" xfId="0" applyAlignment="1">
      <alignment horizontal="left" wrapText="1"/>
    </xf>
    <xf numFmtId="10" fontId="6" fillId="0" borderId="0" xfId="3" applyNumberFormat="1" applyFont="1" applyAlignment="1">
      <alignment horizontal="center" vertical="center"/>
    </xf>
    <xf numFmtId="10" fontId="6" fillId="0" borderId="3" xfId="3" applyNumberFormat="1" applyFont="1" applyBorder="1" applyAlignment="1">
      <alignment horizontal="center" vertical="center"/>
    </xf>
    <xf numFmtId="10" fontId="6" fillId="0" borderId="0" xfId="0" applyNumberFormat="1" applyFont="1" applyAlignment="1">
      <alignment horizontal="center" vertical="center"/>
    </xf>
    <xf numFmtId="167" fontId="6" fillId="17" borderId="0" xfId="3" applyNumberFormat="1" applyFont="1" applyFill="1" applyAlignment="1">
      <alignment vertical="center"/>
    </xf>
    <xf numFmtId="0" fontId="3" fillId="19" borderId="0" xfId="0" applyFont="1" applyFill="1" applyAlignment="1">
      <alignment horizontal="center"/>
    </xf>
    <xf numFmtId="0" fontId="3" fillId="20" borderId="0" xfId="0" applyFont="1" applyFill="1" applyAlignment="1">
      <alignment horizontal="center"/>
    </xf>
    <xf numFmtId="6" fontId="3" fillId="20" borderId="0" xfId="0" applyNumberFormat="1" applyFont="1" applyFill="1" applyAlignment="1">
      <alignment horizontal="center"/>
    </xf>
    <xf numFmtId="165" fontId="4" fillId="3" borderId="6" xfId="2" applyNumberFormat="1" applyFont="1" applyFill="1" applyBorder="1" applyAlignment="1">
      <alignment horizontal="center"/>
    </xf>
    <xf numFmtId="1" fontId="4" fillId="20" borderId="0" xfId="0" applyNumberFormat="1" applyFont="1" applyFill="1" applyAlignment="1">
      <alignment horizontal="center"/>
    </xf>
    <xf numFmtId="1" fontId="3" fillId="20" borderId="0" xfId="0" applyNumberFormat="1" applyFont="1" applyFill="1" applyAlignment="1">
      <alignment horizontal="center"/>
    </xf>
    <xf numFmtId="165" fontId="3" fillId="3" borderId="6" xfId="2" applyNumberFormat="1" applyFont="1" applyFill="1" applyBorder="1" applyAlignment="1">
      <alignment horizontal="center"/>
    </xf>
    <xf numFmtId="1" fontId="3" fillId="21" borderId="0" xfId="0" applyNumberFormat="1" applyFont="1" applyFill="1" applyAlignment="1">
      <alignment horizontal="center"/>
    </xf>
    <xf numFmtId="0" fontId="3" fillId="22" borderId="0" xfId="0" applyFont="1" applyFill="1" applyAlignment="1">
      <alignment horizontal="center"/>
    </xf>
    <xf numFmtId="9" fontId="0" fillId="0" borderId="0" xfId="3" applyFont="1"/>
    <xf numFmtId="0" fontId="0" fillId="23" borderId="0" xfId="0" applyFill="1"/>
    <xf numFmtId="0" fontId="3" fillId="8" borderId="0" xfId="0" applyFont="1" applyFill="1" applyAlignment="1">
      <alignment horizontal="center"/>
    </xf>
    <xf numFmtId="0" fontId="4" fillId="18" borderId="7" xfId="0" applyFont="1" applyFill="1" applyBorder="1" applyAlignment="1">
      <alignment horizontal="left" wrapText="1"/>
    </xf>
    <xf numFmtId="0" fontId="4" fillId="18" borderId="8" xfId="0" applyFont="1" applyFill="1" applyBorder="1" applyAlignment="1">
      <alignment horizontal="left"/>
    </xf>
    <xf numFmtId="0" fontId="4" fillId="18" borderId="9" xfId="0" applyFont="1" applyFill="1" applyBorder="1" applyAlignment="1">
      <alignment horizontal="left"/>
    </xf>
    <xf numFmtId="0" fontId="4" fillId="18" borderId="10" xfId="0" applyFont="1" applyFill="1" applyBorder="1" applyAlignment="1">
      <alignment horizontal="left"/>
    </xf>
    <xf numFmtId="0" fontId="4" fillId="18" borderId="0" xfId="0" applyFont="1" applyFill="1" applyAlignment="1">
      <alignment horizontal="left"/>
    </xf>
    <xf numFmtId="0" fontId="4" fillId="18" borderId="11" xfId="0" applyFont="1" applyFill="1" applyBorder="1" applyAlignment="1">
      <alignment horizontal="left"/>
    </xf>
    <xf numFmtId="0" fontId="4" fillId="18" borderId="12" xfId="0" applyFont="1" applyFill="1" applyBorder="1" applyAlignment="1">
      <alignment horizontal="left"/>
    </xf>
    <xf numFmtId="0" fontId="4" fillId="18" borderId="13" xfId="0" applyFont="1" applyFill="1" applyBorder="1" applyAlignment="1">
      <alignment horizontal="left"/>
    </xf>
    <xf numFmtId="0" fontId="4" fillId="18" borderId="14" xfId="0" applyFont="1" applyFill="1" applyBorder="1" applyAlignment="1">
      <alignment horizontal="left"/>
    </xf>
    <xf numFmtId="0" fontId="0" fillId="0" borderId="0" xfId="0" applyAlignment="1">
      <alignment horizontal="left" wrapText="1"/>
    </xf>
    <xf numFmtId="0" fontId="18" fillId="0" borderId="0" xfId="0" applyFont="1" applyAlignment="1">
      <alignment horizontal="center"/>
    </xf>
    <xf numFmtId="0" fontId="0" fillId="0" borderId="0" xfId="0" applyAlignment="1">
      <alignment horizontal="left" vertical="center" wrapText="1"/>
    </xf>
    <xf numFmtId="0" fontId="0" fillId="0" borderId="0" xfId="0" applyAlignment="1">
      <alignment horizontal="left" vertical="center"/>
    </xf>
    <xf numFmtId="0" fontId="6" fillId="0" borderId="4" xfId="0" applyFont="1" applyBorder="1" applyAlignment="1">
      <alignment horizontal="center" vertical="center" wrapText="1"/>
    </xf>
    <xf numFmtId="0" fontId="6" fillId="0" borderId="4" xfId="0" applyFont="1" applyBorder="1" applyAlignment="1">
      <alignment horizontal="center" vertical="center"/>
    </xf>
  </cellXfs>
  <cellStyles count="6">
    <cellStyle name="Millares" xfId="1" builtinId="3"/>
    <cellStyle name="Moneda" xfId="2" builtinId="4"/>
    <cellStyle name="Normal" xfId="0" builtinId="0"/>
    <cellStyle name="Normal 2 2" xfId="5" xr:uid="{F097F00F-0F72-4FEB-8A8C-A439942786D8}"/>
    <cellStyle name="Normal 3" xfId="4" xr:uid="{936D81D3-4595-4726-9BAF-9AE85B253B4C}"/>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3F5E-71AC-4ED0-AA90-A479495C9C88}">
  <dimension ref="A1:H54"/>
  <sheetViews>
    <sheetView workbookViewId="0">
      <pane ySplit="1" topLeftCell="A2" activePane="bottomLeft" state="frozen"/>
      <selection pane="bottomLeft" activeCell="G16" sqref="G16"/>
    </sheetView>
  </sheetViews>
  <sheetFormatPr baseColWidth="10" defaultColWidth="11.44140625" defaultRowHeight="14.4" x14ac:dyDescent="0.3"/>
  <sheetData>
    <row r="1" spans="1:8" ht="18" x14ac:dyDescent="0.35">
      <c r="A1" s="99" t="s">
        <v>0</v>
      </c>
      <c r="B1" s="99"/>
      <c r="C1" s="99"/>
      <c r="D1" s="99"/>
      <c r="E1" s="99"/>
      <c r="F1" s="99"/>
      <c r="G1" s="99"/>
      <c r="H1" s="99"/>
    </row>
    <row r="3" spans="1:8" x14ac:dyDescent="0.3">
      <c r="A3" s="98" t="s">
        <v>1</v>
      </c>
      <c r="B3" s="98"/>
      <c r="C3" s="98"/>
      <c r="D3" s="98"/>
      <c r="E3" s="98"/>
      <c r="F3" s="98"/>
      <c r="G3" s="98"/>
      <c r="H3" s="98"/>
    </row>
    <row r="4" spans="1:8" x14ac:dyDescent="0.3">
      <c r="A4" s="98"/>
      <c r="B4" s="98"/>
      <c r="C4" s="98"/>
      <c r="D4" s="98"/>
      <c r="E4" s="98"/>
      <c r="F4" s="98"/>
      <c r="G4" s="98"/>
      <c r="H4" s="98"/>
    </row>
    <row r="5" spans="1:8" x14ac:dyDescent="0.3">
      <c r="A5" s="98"/>
      <c r="B5" s="98"/>
      <c r="C5" s="98"/>
      <c r="D5" s="98"/>
      <c r="E5" s="98"/>
      <c r="F5" s="98"/>
      <c r="G5" s="98"/>
      <c r="H5" s="98"/>
    </row>
    <row r="6" spans="1:8" x14ac:dyDescent="0.3">
      <c r="A6" s="98"/>
      <c r="B6" s="98"/>
      <c r="C6" s="98"/>
      <c r="D6" s="98"/>
      <c r="E6" s="98"/>
      <c r="F6" s="98"/>
      <c r="G6" s="98"/>
      <c r="H6" s="98"/>
    </row>
    <row r="7" spans="1:8" x14ac:dyDescent="0.3">
      <c r="A7" s="98"/>
      <c r="B7" s="98"/>
      <c r="C7" s="98"/>
      <c r="D7" s="98"/>
      <c r="E7" s="98"/>
      <c r="F7" s="98"/>
      <c r="G7" s="98"/>
      <c r="H7" s="98"/>
    </row>
    <row r="8" spans="1:8" x14ac:dyDescent="0.3">
      <c r="A8" s="98"/>
      <c r="B8" s="98"/>
      <c r="C8" s="98"/>
      <c r="D8" s="98"/>
      <c r="E8" s="98"/>
      <c r="F8" s="98"/>
      <c r="G8" s="98"/>
      <c r="H8" s="98"/>
    </row>
    <row r="9" spans="1:8" x14ac:dyDescent="0.3">
      <c r="A9" s="98"/>
      <c r="B9" s="98"/>
      <c r="C9" s="98"/>
      <c r="D9" s="98"/>
      <c r="E9" s="98"/>
      <c r="F9" s="98"/>
      <c r="G9" s="98"/>
      <c r="H9" s="98"/>
    </row>
    <row r="11" spans="1:8" ht="14.55" customHeight="1" x14ac:dyDescent="0.3">
      <c r="A11" s="98" t="s">
        <v>2</v>
      </c>
      <c r="B11" s="98"/>
      <c r="C11" s="98"/>
      <c r="D11" s="98"/>
      <c r="E11" s="98"/>
      <c r="F11" s="98"/>
      <c r="G11" s="98"/>
      <c r="H11" s="98"/>
    </row>
    <row r="12" spans="1:8" x14ac:dyDescent="0.3">
      <c r="A12" s="98"/>
      <c r="B12" s="98"/>
      <c r="C12" s="98"/>
      <c r="D12" s="98"/>
      <c r="E12" s="98"/>
      <c r="F12" s="98"/>
      <c r="G12" s="98"/>
      <c r="H12" s="98"/>
    </row>
    <row r="13" spans="1:8" x14ac:dyDescent="0.3">
      <c r="A13" s="98"/>
      <c r="B13" s="98"/>
      <c r="C13" s="98"/>
      <c r="D13" s="98"/>
      <c r="E13" s="98"/>
      <c r="F13" s="98"/>
      <c r="G13" s="98"/>
      <c r="H13" s="98"/>
    </row>
    <row r="14" spans="1:8" x14ac:dyDescent="0.3">
      <c r="A14" s="98"/>
      <c r="B14" s="98"/>
      <c r="C14" s="98"/>
      <c r="D14" s="98"/>
      <c r="E14" s="98"/>
      <c r="F14" s="98"/>
      <c r="G14" s="98"/>
      <c r="H14" s="98"/>
    </row>
    <row r="15" spans="1:8" x14ac:dyDescent="0.3">
      <c r="A15" s="98"/>
      <c r="B15" s="98"/>
      <c r="C15" s="98"/>
      <c r="D15" s="98"/>
      <c r="E15" s="98"/>
      <c r="F15" s="98"/>
      <c r="G15" s="98"/>
      <c r="H15" s="98"/>
    </row>
    <row r="17" spans="1:8" ht="14.55" customHeight="1" x14ac:dyDescent="0.3">
      <c r="A17" s="98" t="s">
        <v>3</v>
      </c>
      <c r="B17" s="98"/>
      <c r="C17" s="98"/>
      <c r="D17" s="98"/>
      <c r="E17" s="98"/>
      <c r="F17" s="98"/>
      <c r="G17" s="98"/>
      <c r="H17" s="98"/>
    </row>
    <row r="18" spans="1:8" x14ac:dyDescent="0.3">
      <c r="A18" s="98"/>
      <c r="B18" s="98"/>
      <c r="C18" s="98"/>
      <c r="D18" s="98"/>
      <c r="E18" s="98"/>
      <c r="F18" s="98"/>
      <c r="G18" s="98"/>
      <c r="H18" s="98"/>
    </row>
    <row r="19" spans="1:8" x14ac:dyDescent="0.3">
      <c r="A19" s="98"/>
      <c r="B19" s="98"/>
      <c r="C19" s="98"/>
      <c r="D19" s="98"/>
      <c r="E19" s="98"/>
      <c r="F19" s="98"/>
      <c r="G19" s="98"/>
      <c r="H19" s="98"/>
    </row>
    <row r="20" spans="1:8" x14ac:dyDescent="0.3">
      <c r="A20" s="98"/>
      <c r="B20" s="98"/>
      <c r="C20" s="98"/>
      <c r="D20" s="98"/>
      <c r="E20" s="98"/>
      <c r="F20" s="98"/>
      <c r="G20" s="98"/>
      <c r="H20" s="98"/>
    </row>
    <row r="21" spans="1:8" x14ac:dyDescent="0.3">
      <c r="A21" s="98"/>
      <c r="B21" s="98"/>
      <c r="C21" s="98"/>
      <c r="D21" s="98"/>
      <c r="E21" s="98"/>
      <c r="F21" s="98"/>
      <c r="G21" s="98"/>
      <c r="H21" s="98"/>
    </row>
    <row r="22" spans="1:8" x14ac:dyDescent="0.3">
      <c r="A22" s="98"/>
      <c r="B22" s="98"/>
      <c r="C22" s="98"/>
      <c r="D22" s="98"/>
      <c r="E22" s="98"/>
      <c r="F22" s="98"/>
      <c r="G22" s="98"/>
      <c r="H22" s="98"/>
    </row>
    <row r="23" spans="1:8" x14ac:dyDescent="0.3">
      <c r="A23" s="72"/>
      <c r="B23" s="72"/>
      <c r="C23" s="72"/>
      <c r="D23" s="72"/>
      <c r="E23" s="72"/>
      <c r="F23" s="72"/>
      <c r="G23" s="72"/>
      <c r="H23" s="72"/>
    </row>
    <row r="24" spans="1:8" ht="14.55" customHeight="1" x14ac:dyDescent="0.3">
      <c r="A24" s="98" t="s">
        <v>4</v>
      </c>
      <c r="B24" s="98"/>
      <c r="C24" s="98"/>
      <c r="D24" s="98"/>
      <c r="E24" s="98"/>
      <c r="F24" s="98"/>
      <c r="G24" s="98"/>
      <c r="H24" s="98"/>
    </row>
    <row r="25" spans="1:8" x14ac:dyDescent="0.3">
      <c r="A25" s="98"/>
      <c r="B25" s="98"/>
      <c r="C25" s="98"/>
      <c r="D25" s="98"/>
      <c r="E25" s="98"/>
      <c r="F25" s="98"/>
      <c r="G25" s="98"/>
      <c r="H25" s="98"/>
    </row>
    <row r="26" spans="1:8" x14ac:dyDescent="0.3">
      <c r="A26" s="98"/>
      <c r="B26" s="98"/>
      <c r="C26" s="98"/>
      <c r="D26" s="98"/>
      <c r="E26" s="98"/>
      <c r="F26" s="98"/>
      <c r="G26" s="98"/>
      <c r="H26" s="98"/>
    </row>
    <row r="27" spans="1:8" x14ac:dyDescent="0.3">
      <c r="A27" s="98"/>
      <c r="B27" s="98"/>
      <c r="C27" s="98"/>
      <c r="D27" s="98"/>
      <c r="E27" s="98"/>
      <c r="F27" s="98"/>
      <c r="G27" s="98"/>
      <c r="H27" s="98"/>
    </row>
    <row r="28" spans="1:8" x14ac:dyDescent="0.3">
      <c r="A28" s="98"/>
      <c r="B28" s="98"/>
      <c r="C28" s="98"/>
      <c r="D28" s="98"/>
      <c r="E28" s="98"/>
      <c r="F28" s="98"/>
      <c r="G28" s="98"/>
      <c r="H28" s="98"/>
    </row>
    <row r="29" spans="1:8" x14ac:dyDescent="0.3">
      <c r="A29" s="98"/>
      <c r="B29" s="98"/>
      <c r="C29" s="98"/>
      <c r="D29" s="98"/>
      <c r="E29" s="98"/>
      <c r="F29" s="98"/>
      <c r="G29" s="98"/>
      <c r="H29" s="98"/>
    </row>
    <row r="31" spans="1:8" ht="14.55" customHeight="1" x14ac:dyDescent="0.3">
      <c r="A31" s="98" t="s">
        <v>5</v>
      </c>
      <c r="B31" s="98"/>
      <c r="C31" s="98"/>
      <c r="D31" s="98"/>
      <c r="E31" s="98"/>
      <c r="F31" s="98"/>
      <c r="G31" s="98"/>
      <c r="H31" s="98"/>
    </row>
    <row r="32" spans="1:8" x14ac:dyDescent="0.3">
      <c r="A32" s="98"/>
      <c r="B32" s="98"/>
      <c r="C32" s="98"/>
      <c r="D32" s="98"/>
      <c r="E32" s="98"/>
      <c r="F32" s="98"/>
      <c r="G32" s="98"/>
      <c r="H32" s="98"/>
    </row>
    <row r="33" spans="1:8" x14ac:dyDescent="0.3">
      <c r="A33" s="98"/>
      <c r="B33" s="98"/>
      <c r="C33" s="98"/>
      <c r="D33" s="98"/>
      <c r="E33" s="98"/>
      <c r="F33" s="98"/>
      <c r="G33" s="98"/>
      <c r="H33" s="98"/>
    </row>
    <row r="34" spans="1:8" x14ac:dyDescent="0.3">
      <c r="A34" s="98"/>
      <c r="B34" s="98"/>
      <c r="C34" s="98"/>
      <c r="D34" s="98"/>
      <c r="E34" s="98"/>
      <c r="F34" s="98"/>
      <c r="G34" s="98"/>
      <c r="H34" s="98"/>
    </row>
    <row r="35" spans="1:8" x14ac:dyDescent="0.3">
      <c r="A35" s="98"/>
      <c r="B35" s="98"/>
      <c r="C35" s="98"/>
      <c r="D35" s="98"/>
      <c r="E35" s="98"/>
      <c r="F35" s="98"/>
      <c r="G35" s="98"/>
      <c r="H35" s="98"/>
    </row>
    <row r="36" spans="1:8" x14ac:dyDescent="0.3">
      <c r="A36" s="98"/>
      <c r="B36" s="98"/>
      <c r="C36" s="98"/>
      <c r="D36" s="98"/>
      <c r="E36" s="98"/>
      <c r="F36" s="98"/>
      <c r="G36" s="98"/>
      <c r="H36" s="98"/>
    </row>
    <row r="38" spans="1:8" ht="14.55" customHeight="1" x14ac:dyDescent="0.3">
      <c r="A38" s="98" t="s">
        <v>6</v>
      </c>
      <c r="B38" s="98"/>
      <c r="C38" s="98"/>
      <c r="D38" s="98"/>
      <c r="E38" s="98"/>
      <c r="F38" s="98"/>
      <c r="G38" s="98"/>
      <c r="H38" s="98"/>
    </row>
    <row r="39" spans="1:8" x14ac:dyDescent="0.3">
      <c r="A39" s="98"/>
      <c r="B39" s="98"/>
      <c r="C39" s="98"/>
      <c r="D39" s="98"/>
      <c r="E39" s="98"/>
      <c r="F39" s="98"/>
      <c r="G39" s="98"/>
      <c r="H39" s="98"/>
    </row>
    <row r="40" spans="1:8" x14ac:dyDescent="0.3">
      <c r="A40" s="98"/>
      <c r="B40" s="98"/>
      <c r="C40" s="98"/>
      <c r="D40" s="98"/>
      <c r="E40" s="98"/>
      <c r="F40" s="98"/>
      <c r="G40" s="98"/>
      <c r="H40" s="98"/>
    </row>
    <row r="41" spans="1:8" x14ac:dyDescent="0.3">
      <c r="A41" s="98"/>
      <c r="B41" s="98"/>
      <c r="C41" s="98"/>
      <c r="D41" s="98"/>
      <c r="E41" s="98"/>
      <c r="F41" s="98"/>
      <c r="G41" s="98"/>
      <c r="H41" s="98"/>
    </row>
    <row r="42" spans="1:8" x14ac:dyDescent="0.3">
      <c r="A42" s="98"/>
      <c r="B42" s="98"/>
      <c r="C42" s="98"/>
      <c r="D42" s="98"/>
      <c r="E42" s="98"/>
      <c r="F42" s="98"/>
      <c r="G42" s="98"/>
      <c r="H42" s="98"/>
    </row>
    <row r="43" spans="1:8" x14ac:dyDescent="0.3">
      <c r="A43" s="72"/>
      <c r="B43" s="72"/>
      <c r="C43" s="72"/>
      <c r="D43" s="72"/>
      <c r="E43" s="72"/>
      <c r="F43" s="72"/>
      <c r="G43" s="72"/>
      <c r="H43" s="72"/>
    </row>
    <row r="44" spans="1:8" x14ac:dyDescent="0.3">
      <c r="A44" s="98" t="s">
        <v>7</v>
      </c>
      <c r="B44" s="98"/>
      <c r="C44" s="98"/>
      <c r="D44" s="98"/>
      <c r="E44" s="98"/>
      <c r="F44" s="98"/>
      <c r="G44" s="98"/>
      <c r="H44" s="98"/>
    </row>
    <row r="45" spans="1:8" x14ac:dyDescent="0.3">
      <c r="A45" s="98"/>
      <c r="B45" s="98"/>
      <c r="C45" s="98"/>
      <c r="D45" s="98"/>
      <c r="E45" s="98"/>
      <c r="F45" s="98"/>
      <c r="G45" s="98"/>
      <c r="H45" s="98"/>
    </row>
    <row r="46" spans="1:8" x14ac:dyDescent="0.3">
      <c r="A46" s="98"/>
      <c r="B46" s="98"/>
      <c r="C46" s="98"/>
      <c r="D46" s="98"/>
      <c r="E46" s="98"/>
      <c r="F46" s="98"/>
      <c r="G46" s="98"/>
      <c r="H46" s="98"/>
    </row>
    <row r="47" spans="1:8" x14ac:dyDescent="0.3">
      <c r="A47" s="98"/>
      <c r="B47" s="98"/>
      <c r="C47" s="98"/>
      <c r="D47" s="98"/>
      <c r="E47" s="98"/>
      <c r="F47" s="98"/>
      <c r="G47" s="98"/>
      <c r="H47" s="98"/>
    </row>
    <row r="48" spans="1:8" x14ac:dyDescent="0.3">
      <c r="A48" s="98"/>
      <c r="B48" s="98"/>
      <c r="C48" s="98"/>
      <c r="D48" s="98"/>
      <c r="E48" s="98"/>
      <c r="F48" s="98"/>
      <c r="G48" s="98"/>
      <c r="H48" s="98"/>
    </row>
    <row r="49" spans="1:8" x14ac:dyDescent="0.3">
      <c r="A49" s="72"/>
      <c r="B49" s="72"/>
      <c r="C49" s="72"/>
      <c r="D49" s="72"/>
      <c r="E49" s="72"/>
      <c r="F49" s="72"/>
      <c r="G49" s="72"/>
      <c r="H49" s="72"/>
    </row>
    <row r="50" spans="1:8" x14ac:dyDescent="0.3">
      <c r="A50" s="98" t="s">
        <v>8</v>
      </c>
      <c r="B50" s="98"/>
      <c r="C50" s="98"/>
      <c r="D50" s="98"/>
      <c r="E50" s="98"/>
      <c r="F50" s="98"/>
      <c r="G50" s="98"/>
      <c r="H50" s="98"/>
    </row>
    <row r="51" spans="1:8" x14ac:dyDescent="0.3">
      <c r="A51" s="98"/>
      <c r="B51" s="98"/>
      <c r="C51" s="98"/>
      <c r="D51" s="98"/>
      <c r="E51" s="98"/>
      <c r="F51" s="98"/>
      <c r="G51" s="98"/>
      <c r="H51" s="98"/>
    </row>
    <row r="52" spans="1:8" x14ac:dyDescent="0.3">
      <c r="A52" s="98"/>
      <c r="B52" s="98"/>
      <c r="C52" s="98"/>
      <c r="D52" s="98"/>
      <c r="E52" s="98"/>
      <c r="F52" s="98"/>
      <c r="G52" s="98"/>
      <c r="H52" s="98"/>
    </row>
    <row r="53" spans="1:8" x14ac:dyDescent="0.3">
      <c r="A53" s="98"/>
      <c r="B53" s="98"/>
      <c r="C53" s="98"/>
      <c r="D53" s="98"/>
      <c r="E53" s="98"/>
      <c r="F53" s="98"/>
      <c r="G53" s="98"/>
      <c r="H53" s="98"/>
    </row>
    <row r="54" spans="1:8" x14ac:dyDescent="0.3">
      <c r="A54" s="98"/>
      <c r="B54" s="98"/>
      <c r="C54" s="98"/>
      <c r="D54" s="98"/>
      <c r="E54" s="98"/>
      <c r="F54" s="98"/>
      <c r="G54" s="98"/>
      <c r="H54" s="98"/>
    </row>
  </sheetData>
  <sheetProtection algorithmName="SHA-512" hashValue="OlXplJHy42EyTitVbnS3pOevxaMeRRtNr6CHorTHcHko+3YjJUb/CwUPQQTC+ztI+QBcqPnXzXRcxaNqSyTT9Q==" saltValue="j9QEbl5UBOFJRWcwheAZQg==" spinCount="100000" sheet="1" objects="1" scenarios="1"/>
  <mergeCells count="9">
    <mergeCell ref="A38:H42"/>
    <mergeCell ref="A44:H48"/>
    <mergeCell ref="A50:H54"/>
    <mergeCell ref="A24:H29"/>
    <mergeCell ref="A1:H1"/>
    <mergeCell ref="A11:H15"/>
    <mergeCell ref="A17:H22"/>
    <mergeCell ref="A31:H36"/>
    <mergeCell ref="A3:H9"/>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8E23A-D64D-4B61-A06D-54BFFD87B734}">
  <dimension ref="A1:H33"/>
  <sheetViews>
    <sheetView workbookViewId="0">
      <pane ySplit="1" topLeftCell="A2" activePane="bottomLeft" state="frozen"/>
      <selection pane="bottomLeft" activeCell="A3" sqref="A3:H8"/>
    </sheetView>
  </sheetViews>
  <sheetFormatPr baseColWidth="10" defaultColWidth="11.44140625" defaultRowHeight="14.4" x14ac:dyDescent="0.3"/>
  <sheetData>
    <row r="1" spans="1:8" ht="18" x14ac:dyDescent="0.35">
      <c r="A1" s="99" t="s">
        <v>9</v>
      </c>
      <c r="B1" s="99"/>
      <c r="C1" s="99"/>
      <c r="D1" s="99"/>
      <c r="E1" s="99"/>
      <c r="F1" s="99"/>
      <c r="G1" s="99"/>
      <c r="H1" s="99"/>
    </row>
    <row r="3" spans="1:8" ht="14.55" customHeight="1" x14ac:dyDescent="0.3">
      <c r="A3" s="100" t="s">
        <v>10</v>
      </c>
      <c r="B3" s="100"/>
      <c r="C3" s="100"/>
      <c r="D3" s="100"/>
      <c r="E3" s="100"/>
      <c r="F3" s="100"/>
      <c r="G3" s="100"/>
      <c r="H3" s="100"/>
    </row>
    <row r="4" spans="1:8" x14ac:dyDescent="0.3">
      <c r="A4" s="100"/>
      <c r="B4" s="100"/>
      <c r="C4" s="100"/>
      <c r="D4" s="100"/>
      <c r="E4" s="100"/>
      <c r="F4" s="100"/>
      <c r="G4" s="100"/>
      <c r="H4" s="100"/>
    </row>
    <row r="5" spans="1:8" x14ac:dyDescent="0.3">
      <c r="A5" s="100"/>
      <c r="B5" s="100"/>
      <c r="C5" s="100"/>
      <c r="D5" s="100"/>
      <c r="E5" s="100"/>
      <c r="F5" s="100"/>
      <c r="G5" s="100"/>
      <c r="H5" s="100"/>
    </row>
    <row r="6" spans="1:8" x14ac:dyDescent="0.3">
      <c r="A6" s="100"/>
      <c r="B6" s="100"/>
      <c r="C6" s="100"/>
      <c r="D6" s="100"/>
      <c r="E6" s="100"/>
      <c r="F6" s="100"/>
      <c r="G6" s="100"/>
      <c r="H6" s="100"/>
    </row>
    <row r="7" spans="1:8" x14ac:dyDescent="0.3">
      <c r="A7" s="100"/>
      <c r="B7" s="100"/>
      <c r="C7" s="100"/>
      <c r="D7" s="100"/>
      <c r="E7" s="100"/>
      <c r="F7" s="100"/>
      <c r="G7" s="100"/>
      <c r="H7" s="100"/>
    </row>
    <row r="8" spans="1:8" x14ac:dyDescent="0.3">
      <c r="A8" s="100"/>
      <c r="B8" s="100"/>
      <c r="C8" s="100"/>
      <c r="D8" s="100"/>
      <c r="E8" s="100"/>
      <c r="F8" s="100"/>
      <c r="G8" s="100"/>
      <c r="H8" s="100"/>
    </row>
    <row r="10" spans="1:8" x14ac:dyDescent="0.3">
      <c r="A10" s="100" t="s">
        <v>11</v>
      </c>
      <c r="B10" s="101"/>
      <c r="C10" s="101"/>
      <c r="D10" s="101"/>
      <c r="E10" s="101"/>
      <c r="F10" s="101"/>
      <c r="G10" s="101"/>
      <c r="H10" s="101"/>
    </row>
    <row r="11" spans="1:8" x14ac:dyDescent="0.3">
      <c r="A11" s="101"/>
      <c r="B11" s="101"/>
      <c r="C11" s="101"/>
      <c r="D11" s="101"/>
      <c r="E11" s="101"/>
      <c r="F11" s="101"/>
      <c r="G11" s="101"/>
      <c r="H11" s="101"/>
    </row>
    <row r="12" spans="1:8" x14ac:dyDescent="0.3">
      <c r="A12" s="101"/>
      <c r="B12" s="101"/>
      <c r="C12" s="101"/>
      <c r="D12" s="101"/>
      <c r="E12" s="101"/>
      <c r="F12" s="101"/>
      <c r="G12" s="101"/>
      <c r="H12" s="101"/>
    </row>
    <row r="13" spans="1:8" x14ac:dyDescent="0.3">
      <c r="A13" s="101"/>
      <c r="B13" s="101"/>
      <c r="C13" s="101"/>
      <c r="D13" s="101"/>
      <c r="E13" s="101"/>
      <c r="F13" s="101"/>
      <c r="G13" s="101"/>
      <c r="H13" s="101"/>
    </row>
    <row r="14" spans="1:8" x14ac:dyDescent="0.3">
      <c r="A14" s="101"/>
      <c r="B14" s="101"/>
      <c r="C14" s="101"/>
      <c r="D14" s="101"/>
      <c r="E14" s="101"/>
      <c r="F14" s="101"/>
      <c r="G14" s="101"/>
      <c r="H14" s="101"/>
    </row>
    <row r="16" spans="1:8" ht="14.55" customHeight="1" x14ac:dyDescent="0.3">
      <c r="A16" s="98" t="s">
        <v>12</v>
      </c>
      <c r="B16" s="98"/>
      <c r="C16" s="98"/>
      <c r="D16" s="98"/>
      <c r="E16" s="98"/>
      <c r="F16" s="98"/>
      <c r="G16" s="98"/>
      <c r="H16" s="98"/>
    </row>
    <row r="17" spans="1:8" x14ac:dyDescent="0.3">
      <c r="A17" s="98"/>
      <c r="B17" s="98"/>
      <c r="C17" s="98"/>
      <c r="D17" s="98"/>
      <c r="E17" s="98"/>
      <c r="F17" s="98"/>
      <c r="G17" s="98"/>
      <c r="H17" s="98"/>
    </row>
    <row r="18" spans="1:8" x14ac:dyDescent="0.3">
      <c r="A18" s="98"/>
      <c r="B18" s="98"/>
      <c r="C18" s="98"/>
      <c r="D18" s="98"/>
      <c r="E18" s="98"/>
      <c r="F18" s="98"/>
      <c r="G18" s="98"/>
      <c r="H18" s="98"/>
    </row>
    <row r="19" spans="1:8" x14ac:dyDescent="0.3">
      <c r="A19" s="98"/>
      <c r="B19" s="98"/>
      <c r="C19" s="98"/>
      <c r="D19" s="98"/>
      <c r="E19" s="98"/>
      <c r="F19" s="98"/>
      <c r="G19" s="98"/>
      <c r="H19" s="98"/>
    </row>
    <row r="20" spans="1:8" x14ac:dyDescent="0.3">
      <c r="A20" s="98"/>
      <c r="B20" s="98"/>
      <c r="C20" s="98"/>
      <c r="D20" s="98"/>
      <c r="E20" s="98"/>
      <c r="F20" s="98"/>
      <c r="G20" s="98"/>
      <c r="H20" s="98"/>
    </row>
    <row r="21" spans="1:8" x14ac:dyDescent="0.3">
      <c r="A21" s="98"/>
      <c r="B21" s="98"/>
      <c r="C21" s="98"/>
      <c r="D21" s="98"/>
      <c r="E21" s="98"/>
      <c r="F21" s="98"/>
      <c r="G21" s="98"/>
      <c r="H21" s="98"/>
    </row>
    <row r="23" spans="1:8" x14ac:dyDescent="0.3">
      <c r="A23" s="100" t="s">
        <v>13</v>
      </c>
      <c r="B23" s="100"/>
      <c r="C23" s="100"/>
      <c r="D23" s="100"/>
      <c r="E23" s="100"/>
      <c r="F23" s="100"/>
      <c r="G23" s="100"/>
      <c r="H23" s="100"/>
    </row>
    <row r="24" spans="1:8" x14ac:dyDescent="0.3">
      <c r="A24" s="100"/>
      <c r="B24" s="100"/>
      <c r="C24" s="100"/>
      <c r="D24" s="100"/>
      <c r="E24" s="100"/>
      <c r="F24" s="100"/>
      <c r="G24" s="100"/>
      <c r="H24" s="100"/>
    </row>
    <row r="25" spans="1:8" x14ac:dyDescent="0.3">
      <c r="A25" s="100"/>
      <c r="B25" s="100"/>
      <c r="C25" s="100"/>
      <c r="D25" s="100"/>
      <c r="E25" s="100"/>
      <c r="F25" s="100"/>
      <c r="G25" s="100"/>
      <c r="H25" s="100"/>
    </row>
    <row r="26" spans="1:8" x14ac:dyDescent="0.3">
      <c r="A26" s="100"/>
      <c r="B26" s="100"/>
      <c r="C26" s="100"/>
      <c r="D26" s="100"/>
      <c r="E26" s="100"/>
      <c r="F26" s="100"/>
      <c r="G26" s="100"/>
      <c r="H26" s="100"/>
    </row>
    <row r="27" spans="1:8" x14ac:dyDescent="0.3">
      <c r="A27" s="100"/>
      <c r="B27" s="100"/>
      <c r="C27" s="100"/>
      <c r="D27" s="100"/>
      <c r="E27" s="100"/>
      <c r="F27" s="100"/>
      <c r="G27" s="100"/>
      <c r="H27" s="100"/>
    </row>
    <row r="29" spans="1:8" x14ac:dyDescent="0.3">
      <c r="A29" s="100" t="s">
        <v>14</v>
      </c>
      <c r="B29" s="100"/>
      <c r="C29" s="100"/>
      <c r="D29" s="100"/>
      <c r="E29" s="100"/>
      <c r="F29" s="100"/>
      <c r="G29" s="100"/>
      <c r="H29" s="100"/>
    </row>
    <row r="30" spans="1:8" x14ac:dyDescent="0.3">
      <c r="A30" s="100"/>
      <c r="B30" s="100"/>
      <c r="C30" s="100"/>
      <c r="D30" s="100"/>
      <c r="E30" s="100"/>
      <c r="F30" s="100"/>
      <c r="G30" s="100"/>
      <c r="H30" s="100"/>
    </row>
    <row r="31" spans="1:8" x14ac:dyDescent="0.3">
      <c r="A31" s="100"/>
      <c r="B31" s="100"/>
      <c r="C31" s="100"/>
      <c r="D31" s="100"/>
      <c r="E31" s="100"/>
      <c r="F31" s="100"/>
      <c r="G31" s="100"/>
      <c r="H31" s="100"/>
    </row>
    <row r="32" spans="1:8" x14ac:dyDescent="0.3">
      <c r="A32" s="100"/>
      <c r="B32" s="100"/>
      <c r="C32" s="100"/>
      <c r="D32" s="100"/>
      <c r="E32" s="100"/>
      <c r="F32" s="100"/>
      <c r="G32" s="100"/>
      <c r="H32" s="100"/>
    </row>
    <row r="33" spans="1:8" x14ac:dyDescent="0.3">
      <c r="A33" s="100"/>
      <c r="B33" s="100"/>
      <c r="C33" s="100"/>
      <c r="D33" s="100"/>
      <c r="E33" s="100"/>
      <c r="F33" s="100"/>
      <c r="G33" s="100"/>
      <c r="H33" s="100"/>
    </row>
  </sheetData>
  <sheetProtection algorithmName="SHA-512" hashValue="uN9LKVPGbNkJzq0IVJG2hYXem5eTtiwoHXbRcS5wJq/F6CpPJZLltk7D3ehf6PvRz2rG0x1PH1ZBpM5yPoHWIg==" saltValue="N8UxJWj9H8KQ6aFeXLZ3lg==" spinCount="100000" sheet="1" objects="1" scenarios="1"/>
  <mergeCells count="6">
    <mergeCell ref="A29:H33"/>
    <mergeCell ref="A1:H1"/>
    <mergeCell ref="A3:H8"/>
    <mergeCell ref="A10:H14"/>
    <mergeCell ref="A16:H21"/>
    <mergeCell ref="A23:H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C673A-7864-4357-9874-53E640A195E3}">
  <sheetPr>
    <tabColor rgb="FFFF0000"/>
  </sheetPr>
  <dimension ref="B1:AQ40"/>
  <sheetViews>
    <sheetView showGridLines="0" tabSelected="1" topLeftCell="S18" workbookViewId="0">
      <selection activeCell="AN32" sqref="AN32"/>
    </sheetView>
  </sheetViews>
  <sheetFormatPr baseColWidth="10" defaultColWidth="11.44140625" defaultRowHeight="14.4" x14ac:dyDescent="0.3"/>
  <cols>
    <col min="1" max="1" width="3.33203125" customWidth="1"/>
    <col min="2" max="2" width="28.44140625" bestFit="1" customWidth="1"/>
    <col min="3" max="3" width="13.33203125" bestFit="1" customWidth="1"/>
    <col min="4" max="4" width="16.109375" bestFit="1" customWidth="1"/>
    <col min="5" max="5" width="12.33203125" bestFit="1" customWidth="1"/>
    <col min="6" max="6" width="11.77734375" bestFit="1" customWidth="1"/>
    <col min="7" max="14" width="11.44140625" bestFit="1" customWidth="1"/>
    <col min="15" max="16" width="11.109375" customWidth="1"/>
    <col min="18" max="18" width="13.5546875" bestFit="1" customWidth="1"/>
    <col min="19" max="19" width="19" bestFit="1" customWidth="1"/>
    <col min="20" max="20" width="11.44140625" bestFit="1" customWidth="1"/>
    <col min="32" max="32" width="12.33203125" bestFit="1" customWidth="1"/>
    <col min="33" max="33" width="13.5546875" bestFit="1" customWidth="1"/>
    <col min="34" max="34" width="7.6640625" customWidth="1"/>
    <col min="35" max="35" width="15" bestFit="1" customWidth="1"/>
    <col min="36" max="36" width="14.6640625" customWidth="1"/>
    <col min="37" max="37" width="13.44140625" bestFit="1" customWidth="1"/>
    <col min="38" max="38" width="16.77734375" customWidth="1"/>
    <col min="39" max="39" width="15" bestFit="1" customWidth="1"/>
    <col min="40" max="40" width="13.44140625" bestFit="1" customWidth="1"/>
    <col min="41" max="41" width="15" bestFit="1" customWidth="1"/>
  </cols>
  <sheetData>
    <row r="1" spans="2:18" ht="15" thickBot="1" x14ac:dyDescent="0.35">
      <c r="B1" s="77" t="s">
        <v>15</v>
      </c>
      <c r="C1" s="77" t="s">
        <v>16</v>
      </c>
      <c r="D1" s="77" t="s">
        <v>17</v>
      </c>
      <c r="E1" s="77" t="s">
        <v>18</v>
      </c>
      <c r="F1" s="1"/>
      <c r="G1" s="1"/>
      <c r="H1" s="1"/>
      <c r="I1" s="1"/>
      <c r="J1" s="1"/>
      <c r="K1" s="1"/>
      <c r="L1" s="1"/>
      <c r="M1" s="1"/>
      <c r="N1" s="1"/>
      <c r="O1" s="1"/>
      <c r="P1" s="1"/>
      <c r="Q1" s="1"/>
      <c r="R1" s="1"/>
    </row>
    <row r="2" spans="2:18" x14ac:dyDescent="0.3">
      <c r="B2" s="2" t="s">
        <v>19</v>
      </c>
      <c r="C2" s="13">
        <v>12</v>
      </c>
      <c r="D2" s="3">
        <f>+'Data SAIGC'!Y16</f>
        <v>15236639</v>
      </c>
      <c r="E2" s="8">
        <f>VLOOKUP(D2,'Data SAIGC'!$Y$7:$AA$16,3,0)</f>
        <v>4.3508310992628378E-3</v>
      </c>
      <c r="F2" s="4"/>
      <c r="G2" s="89" t="s">
        <v>20</v>
      </c>
      <c r="H2" s="90"/>
      <c r="I2" s="90"/>
      <c r="J2" s="90"/>
      <c r="K2" s="90"/>
      <c r="L2" s="90"/>
      <c r="M2" s="91"/>
      <c r="N2" s="1"/>
      <c r="O2" s="1"/>
      <c r="P2" s="1"/>
      <c r="Q2" s="4"/>
      <c r="R2" s="4"/>
    </row>
    <row r="3" spans="2:18" x14ac:dyDescent="0.3">
      <c r="B3" s="2" t="s">
        <v>19</v>
      </c>
      <c r="C3" s="13">
        <v>10</v>
      </c>
      <c r="D3" s="3">
        <f>+'Data SAIGC'!Y15</f>
        <v>9271095</v>
      </c>
      <c r="E3" s="8">
        <f>VLOOKUP(D3,'Data SAIGC'!$Y$7:$AA$16,3,0)</f>
        <v>0.18720663473335555</v>
      </c>
      <c r="F3" s="4"/>
      <c r="G3" s="92"/>
      <c r="H3" s="93"/>
      <c r="I3" s="93"/>
      <c r="J3" s="93"/>
      <c r="K3" s="93"/>
      <c r="L3" s="93"/>
      <c r="M3" s="94"/>
      <c r="N3" s="1"/>
      <c r="O3" s="1"/>
      <c r="P3" s="1"/>
      <c r="Q3" s="4"/>
      <c r="R3" s="4"/>
    </row>
    <row r="4" spans="2:18" x14ac:dyDescent="0.3">
      <c r="B4" s="2" t="s">
        <v>19</v>
      </c>
      <c r="C4" s="13">
        <v>9</v>
      </c>
      <c r="D4" s="3">
        <f>+'Data SAIGC'!Y14</f>
        <v>9673640</v>
      </c>
      <c r="E4" s="8">
        <f>VLOOKUP(D4,'Data SAIGC'!$Y$7:$AA$16,3,0)</f>
        <v>0.14472549710764399</v>
      </c>
      <c r="F4" s="4"/>
      <c r="G4" s="92"/>
      <c r="H4" s="93"/>
      <c r="I4" s="93"/>
      <c r="J4" s="93"/>
      <c r="K4" s="93"/>
      <c r="L4" s="93"/>
      <c r="M4" s="94"/>
      <c r="N4" s="1"/>
      <c r="O4" s="1"/>
      <c r="P4" s="1"/>
      <c r="Q4" s="4"/>
      <c r="R4" s="4"/>
    </row>
    <row r="5" spans="2:18" x14ac:dyDescent="0.3">
      <c r="B5" s="2" t="s">
        <v>19</v>
      </c>
      <c r="C5" s="13">
        <v>8</v>
      </c>
      <c r="D5" s="3">
        <f>+'Data SAIGC'!Y13</f>
        <v>13083974</v>
      </c>
      <c r="E5" s="8">
        <f>VLOOKUP(D5,'Data SAIGC'!$Y$7:$AA$16,3,0)</f>
        <v>0.60205168782145202</v>
      </c>
      <c r="F5" s="4"/>
      <c r="G5" s="92"/>
      <c r="H5" s="93"/>
      <c r="I5" s="93"/>
      <c r="J5" s="93"/>
      <c r="K5" s="93"/>
      <c r="L5" s="93"/>
      <c r="M5" s="94"/>
      <c r="N5" s="1"/>
      <c r="O5" s="1"/>
      <c r="P5" s="1"/>
      <c r="Q5" s="4"/>
      <c r="R5" s="4"/>
    </row>
    <row r="6" spans="2:18" x14ac:dyDescent="0.3">
      <c r="B6" s="2" t="s">
        <v>19</v>
      </c>
      <c r="C6" s="13">
        <v>7</v>
      </c>
      <c r="D6" s="3">
        <f>+'Data SAIGC'!Y12</f>
        <v>6605726</v>
      </c>
      <c r="E6" s="8">
        <f>VLOOKUP(D6,'Data SAIGC'!$Y$7:$AA$16,3,0)</f>
        <v>1.3675449443054079E-2</v>
      </c>
      <c r="F6" s="4"/>
      <c r="G6" s="92"/>
      <c r="H6" s="93"/>
      <c r="I6" s="93"/>
      <c r="J6" s="93"/>
      <c r="K6" s="93"/>
      <c r="L6" s="93"/>
      <c r="M6" s="94"/>
      <c r="N6" s="1"/>
      <c r="O6" s="1"/>
      <c r="P6" s="1"/>
      <c r="Q6" s="4"/>
      <c r="R6" s="4"/>
    </row>
    <row r="7" spans="2:18" x14ac:dyDescent="0.3">
      <c r="B7" s="2" t="s">
        <v>21</v>
      </c>
      <c r="C7" s="13">
        <v>7</v>
      </c>
      <c r="D7" s="3">
        <f>+'Data SAIGC'!Y11</f>
        <v>5120736</v>
      </c>
      <c r="E7" s="8">
        <f>VLOOKUP(D7,'Data SAIGC'!$Y$7:$AA$16,3,0)</f>
        <v>1.3525619483352713E-2</v>
      </c>
      <c r="F7" s="4"/>
      <c r="G7" s="92"/>
      <c r="H7" s="93"/>
      <c r="I7" s="93"/>
      <c r="J7" s="93"/>
      <c r="K7" s="93"/>
      <c r="L7" s="93"/>
      <c r="M7" s="94"/>
      <c r="N7" s="1"/>
      <c r="O7" s="1"/>
      <c r="P7" s="1"/>
      <c r="Q7" s="4"/>
      <c r="R7" s="4"/>
    </row>
    <row r="8" spans="2:18" x14ac:dyDescent="0.3">
      <c r="B8" s="2" t="s">
        <v>21</v>
      </c>
      <c r="C8" s="13">
        <v>6</v>
      </c>
      <c r="D8" s="3">
        <f>+'Data SAIGC'!Y10</f>
        <v>4063770</v>
      </c>
      <c r="E8" s="8">
        <f>VLOOKUP(D8,'Data SAIGC'!$Y$7:$AA$16,3,0)</f>
        <v>1.8235043817618531E-2</v>
      </c>
      <c r="F8" s="4"/>
      <c r="G8" s="92"/>
      <c r="H8" s="93"/>
      <c r="I8" s="93"/>
      <c r="J8" s="93"/>
      <c r="K8" s="93"/>
      <c r="L8" s="93"/>
      <c r="M8" s="94"/>
      <c r="N8" s="1"/>
      <c r="O8" s="1"/>
      <c r="P8" s="1"/>
      <c r="Q8" s="4"/>
      <c r="R8" s="4"/>
    </row>
    <row r="9" spans="2:18" x14ac:dyDescent="0.3">
      <c r="B9" s="2" t="s">
        <v>21</v>
      </c>
      <c r="C9" s="13">
        <v>5</v>
      </c>
      <c r="D9" s="3">
        <f>+'Data SAIGC'!Y9</f>
        <v>4886495</v>
      </c>
      <c r="E9" s="8">
        <f>VLOOKUP(D9,'Data SAIGC'!$Y$7:$AA$16,3,0)</f>
        <v>4.9833624285495455E-3</v>
      </c>
      <c r="F9" s="4"/>
      <c r="G9" s="92"/>
      <c r="H9" s="93"/>
      <c r="I9" s="93"/>
      <c r="J9" s="93"/>
      <c r="K9" s="93"/>
      <c r="L9" s="93"/>
      <c r="M9" s="94"/>
      <c r="N9" s="1"/>
      <c r="O9" s="1"/>
      <c r="P9" s="1"/>
      <c r="Q9" s="4"/>
      <c r="R9" s="4"/>
    </row>
    <row r="10" spans="2:18" x14ac:dyDescent="0.3">
      <c r="B10" s="2" t="s">
        <v>22</v>
      </c>
      <c r="C10" s="13">
        <v>4</v>
      </c>
      <c r="D10" s="3">
        <f>+'Data SAIGC'!Y8</f>
        <v>3114976</v>
      </c>
      <c r="E10" s="8">
        <f>VLOOKUP(D10,'Data SAIGC'!$Y$7:$AA$16,3,0)</f>
        <v>7.6664980793698344E-3</v>
      </c>
      <c r="F10" s="4"/>
      <c r="G10" s="92"/>
      <c r="H10" s="93"/>
      <c r="I10" s="93"/>
      <c r="J10" s="93"/>
      <c r="K10" s="93"/>
      <c r="L10" s="93"/>
      <c r="M10" s="94"/>
      <c r="N10" s="1"/>
      <c r="O10" s="1"/>
      <c r="P10" s="1"/>
      <c r="Q10" s="4"/>
      <c r="R10" s="4"/>
    </row>
    <row r="11" spans="2:18" ht="15" thickBot="1" x14ac:dyDescent="0.35">
      <c r="B11" s="2" t="s">
        <v>22</v>
      </c>
      <c r="C11" s="13">
        <v>3</v>
      </c>
      <c r="D11" s="3">
        <f>+'Data SAIGC'!Y7</f>
        <v>2658939</v>
      </c>
      <c r="E11" s="8">
        <f>VLOOKUP(D11,'Data SAIGC'!$Y$7:$AA$16,3,0)</f>
        <v>3.5793759863408706E-3</v>
      </c>
      <c r="F11" s="4"/>
      <c r="G11" s="95"/>
      <c r="H11" s="96"/>
      <c r="I11" s="96"/>
      <c r="J11" s="96"/>
      <c r="K11" s="96"/>
      <c r="L11" s="96"/>
      <c r="M11" s="97"/>
      <c r="N11" s="1"/>
      <c r="O11" s="1"/>
      <c r="P11" s="1"/>
      <c r="Q11" s="4"/>
      <c r="R11" s="4"/>
    </row>
    <row r="12" spans="2:18" x14ac:dyDescent="0.3">
      <c r="B12" s="4"/>
      <c r="C12" s="4"/>
      <c r="D12" s="4"/>
      <c r="E12" s="5"/>
      <c r="F12" s="4"/>
      <c r="G12" s="4"/>
      <c r="H12" s="1"/>
      <c r="I12" s="1"/>
      <c r="J12" s="1"/>
      <c r="K12" s="1"/>
      <c r="L12" s="1"/>
      <c r="M12" s="1"/>
      <c r="N12" s="1"/>
      <c r="O12" s="1"/>
      <c r="P12" s="1"/>
      <c r="Q12" s="4"/>
      <c r="R12" s="4"/>
    </row>
    <row r="13" spans="2:18" x14ac:dyDescent="0.3">
      <c r="B13" s="78" t="s">
        <v>23</v>
      </c>
      <c r="C13" s="78" t="s">
        <v>24</v>
      </c>
      <c r="D13" s="78">
        <v>2026</v>
      </c>
      <c r="E13" s="78">
        <v>2027</v>
      </c>
      <c r="F13" s="78">
        <v>2028</v>
      </c>
      <c r="G13" s="5"/>
      <c r="H13" s="5"/>
      <c r="I13" s="5"/>
      <c r="J13" s="5"/>
      <c r="K13" s="1"/>
      <c r="L13" s="1"/>
      <c r="M13" s="1"/>
      <c r="N13" s="1"/>
      <c r="O13" s="1"/>
      <c r="P13" s="1"/>
      <c r="Q13" s="4"/>
      <c r="R13" s="4"/>
    </row>
    <row r="14" spans="2:18" x14ac:dyDescent="0.3">
      <c r="B14" s="2" t="s">
        <v>25</v>
      </c>
      <c r="C14" s="61">
        <v>1750905</v>
      </c>
      <c r="D14" s="63">
        <v>0.23</v>
      </c>
      <c r="E14" s="7">
        <v>0.13</v>
      </c>
      <c r="F14" s="7">
        <v>0.1</v>
      </c>
      <c r="G14" s="4"/>
      <c r="H14" s="1"/>
      <c r="I14" s="1"/>
      <c r="J14" s="1"/>
      <c r="K14" s="1"/>
      <c r="L14" s="1"/>
      <c r="M14" s="1"/>
      <c r="N14" s="1"/>
      <c r="O14" s="1"/>
      <c r="P14" s="1"/>
      <c r="Q14" s="4"/>
      <c r="R14" s="4"/>
    </row>
    <row r="15" spans="2:18" x14ac:dyDescent="0.3">
      <c r="B15" s="2" t="s">
        <v>26</v>
      </c>
      <c r="C15" s="3"/>
      <c r="D15" s="6"/>
      <c r="E15" s="6"/>
      <c r="F15" s="7">
        <v>0.03</v>
      </c>
      <c r="G15" s="4"/>
      <c r="H15" s="1"/>
      <c r="I15" s="1"/>
      <c r="J15" s="1"/>
      <c r="K15" s="1"/>
      <c r="L15" s="1"/>
      <c r="M15" s="1"/>
      <c r="N15" s="1"/>
      <c r="O15" s="1"/>
      <c r="P15" s="1"/>
      <c r="Q15" s="4"/>
      <c r="R15" s="4"/>
    </row>
    <row r="16" spans="2:18" x14ac:dyDescent="0.3">
      <c r="B16" s="2" t="s">
        <v>27</v>
      </c>
      <c r="C16" s="2"/>
      <c r="D16" s="7">
        <v>5.0999999999999997E-2</v>
      </c>
      <c r="E16" s="7">
        <v>6.3E-2</v>
      </c>
      <c r="F16" s="7">
        <v>4.2500000000000003E-2</v>
      </c>
      <c r="G16" s="4"/>
      <c r="H16" s="1"/>
      <c r="I16" s="1"/>
      <c r="J16" s="1"/>
      <c r="K16" s="1"/>
      <c r="L16" s="1"/>
      <c r="M16" s="1"/>
      <c r="N16" s="1"/>
      <c r="O16" s="1"/>
      <c r="P16" s="1"/>
      <c r="Q16" s="4"/>
      <c r="R16" s="4"/>
    </row>
    <row r="17" spans="2:43" x14ac:dyDescent="0.3">
      <c r="B17" s="2" t="s">
        <v>28</v>
      </c>
      <c r="C17" s="2"/>
      <c r="D17" s="2"/>
      <c r="E17" s="8">
        <v>0</v>
      </c>
      <c r="F17" s="8"/>
      <c r="G17" s="4"/>
      <c r="H17" s="1"/>
      <c r="I17" s="1"/>
      <c r="J17" s="1"/>
      <c r="K17" s="1"/>
      <c r="L17" s="1"/>
      <c r="M17" s="1"/>
      <c r="N17" s="1"/>
      <c r="O17" s="1"/>
      <c r="P17" s="1"/>
      <c r="Q17" s="4"/>
      <c r="R17" s="4"/>
    </row>
    <row r="18" spans="2:43" x14ac:dyDescent="0.3">
      <c r="B18" s="2" t="s">
        <v>29</v>
      </c>
      <c r="C18" s="7">
        <v>0.7</v>
      </c>
      <c r="D18" s="2"/>
      <c r="E18" s="2"/>
      <c r="F18" s="8"/>
      <c r="G18" s="4"/>
      <c r="H18" s="1"/>
      <c r="I18" s="1"/>
      <c r="J18" s="1"/>
      <c r="K18" s="1"/>
      <c r="L18" s="1"/>
      <c r="M18" s="1"/>
      <c r="N18" s="1"/>
      <c r="O18" s="1"/>
      <c r="P18" s="1"/>
      <c r="Q18" s="4"/>
      <c r="R18" s="4"/>
    </row>
    <row r="19" spans="2:43" x14ac:dyDescent="0.3">
      <c r="B19" s="2" t="s">
        <v>30</v>
      </c>
      <c r="C19" s="7">
        <v>0.3</v>
      </c>
      <c r="D19" s="2"/>
      <c r="E19" s="2"/>
      <c r="F19" s="8"/>
      <c r="G19" s="4"/>
      <c r="H19" s="1"/>
      <c r="I19" s="1"/>
      <c r="J19" s="1"/>
      <c r="K19" s="1"/>
      <c r="L19" s="1"/>
      <c r="M19" s="1"/>
      <c r="N19" s="1"/>
      <c r="O19" s="1"/>
      <c r="P19" s="1"/>
      <c r="Q19" s="4"/>
      <c r="R19" s="4"/>
    </row>
    <row r="20" spans="2:43" x14ac:dyDescent="0.3">
      <c r="B20" s="2"/>
      <c r="C20" s="2"/>
      <c r="D20" s="2"/>
      <c r="E20" s="2"/>
      <c r="F20" s="8"/>
      <c r="G20" s="4"/>
      <c r="H20" s="1"/>
      <c r="I20" s="1"/>
      <c r="J20" s="1"/>
      <c r="K20" s="1"/>
      <c r="L20" s="1"/>
      <c r="M20" s="1"/>
      <c r="N20" s="1"/>
      <c r="O20" s="1"/>
      <c r="P20" s="1"/>
      <c r="Q20" s="4"/>
      <c r="R20" s="4"/>
    </row>
    <row r="21" spans="2:43" x14ac:dyDescent="0.3">
      <c r="B21" s="4"/>
      <c r="C21" s="4"/>
      <c r="D21" s="4"/>
      <c r="E21" s="4"/>
      <c r="F21" s="4"/>
      <c r="G21" s="4"/>
      <c r="H21" s="4"/>
      <c r="I21" s="4"/>
      <c r="J21" s="4"/>
      <c r="K21" s="4"/>
      <c r="L21" s="4"/>
      <c r="M21" s="4"/>
      <c r="N21" s="4"/>
      <c r="O21" s="4"/>
      <c r="P21" s="4"/>
      <c r="Q21" s="4"/>
      <c r="R21" s="4"/>
    </row>
    <row r="22" spans="2:43" ht="15" thickBot="1" x14ac:dyDescent="0.35">
      <c r="B22" s="4"/>
      <c r="C22" s="4"/>
      <c r="D22" s="4"/>
      <c r="E22" s="9" t="s">
        <v>31</v>
      </c>
      <c r="F22" s="9" t="s">
        <v>32</v>
      </c>
      <c r="G22" s="9" t="s">
        <v>33</v>
      </c>
      <c r="H22" s="9" t="s">
        <v>34</v>
      </c>
      <c r="I22" s="4"/>
      <c r="J22" s="4"/>
      <c r="K22" s="4"/>
      <c r="L22" s="4"/>
      <c r="M22" s="4"/>
      <c r="N22" s="4"/>
      <c r="O22" s="4"/>
      <c r="P22" s="4"/>
      <c r="Q22" s="4"/>
      <c r="R22" s="4"/>
    </row>
    <row r="23" spans="2:43" ht="15" thickBot="1" x14ac:dyDescent="0.35">
      <c r="B23" s="78">
        <v>1</v>
      </c>
      <c r="C23" s="79"/>
      <c r="D23" s="80">
        <v>3556559032</v>
      </c>
      <c r="E23" s="81">
        <f>+AH25+AH26+AH27+AH28+AH29</f>
        <v>35</v>
      </c>
      <c r="F23" s="81">
        <f>+AH30+AH31+AH32</f>
        <v>5</v>
      </c>
      <c r="G23" s="81">
        <f>+AH33+AH34</f>
        <v>10</v>
      </c>
      <c r="H23" s="82">
        <f>SUM(E23:G23)</f>
        <v>50</v>
      </c>
      <c r="I23" s="4"/>
      <c r="J23" s="4"/>
      <c r="K23" s="4"/>
      <c r="L23" s="4"/>
      <c r="M23" s="4"/>
      <c r="N23" s="4"/>
      <c r="O23" s="4"/>
      <c r="P23" s="4"/>
      <c r="Q23" s="4"/>
      <c r="R23" s="4"/>
      <c r="AJ23" s="87"/>
      <c r="AK23" s="87"/>
      <c r="AL23" s="87"/>
      <c r="AM23" s="87"/>
      <c r="AN23" s="87"/>
      <c r="AO23" s="87"/>
      <c r="AP23" s="87"/>
      <c r="AQ23" s="87"/>
    </row>
    <row r="24" spans="2:43" ht="15" thickBot="1" x14ac:dyDescent="0.35">
      <c r="B24" s="83" t="s">
        <v>35</v>
      </c>
      <c r="C24" s="11" t="s">
        <v>16</v>
      </c>
      <c r="D24" s="11" t="s">
        <v>36</v>
      </c>
      <c r="E24" s="11" t="s">
        <v>37</v>
      </c>
      <c r="F24" s="11" t="s">
        <v>38</v>
      </c>
      <c r="G24" s="11" t="s">
        <v>39</v>
      </c>
      <c r="H24" s="11" t="s">
        <v>40</v>
      </c>
      <c r="I24" s="11" t="s">
        <v>41</v>
      </c>
      <c r="J24" s="11" t="s">
        <v>42</v>
      </c>
      <c r="K24" s="11" t="s">
        <v>43</v>
      </c>
      <c r="L24" s="11" t="s">
        <v>44</v>
      </c>
      <c r="M24" s="11" t="s">
        <v>45</v>
      </c>
      <c r="N24" s="11" t="s">
        <v>46</v>
      </c>
      <c r="O24" s="11" t="s">
        <v>47</v>
      </c>
      <c r="P24" s="11" t="s">
        <v>48</v>
      </c>
      <c r="Q24" s="12">
        <v>0.1</v>
      </c>
      <c r="R24" s="11" t="s">
        <v>49</v>
      </c>
      <c r="S24" s="11" t="s">
        <v>50</v>
      </c>
      <c r="T24" s="11" t="s">
        <v>37</v>
      </c>
      <c r="U24" s="11" t="s">
        <v>38</v>
      </c>
      <c r="V24" s="11" t="s">
        <v>39</v>
      </c>
      <c r="W24" s="11" t="s">
        <v>40</v>
      </c>
      <c r="X24" s="11" t="s">
        <v>41</v>
      </c>
      <c r="Y24" s="11" t="s">
        <v>42</v>
      </c>
      <c r="Z24" s="11" t="s">
        <v>43</v>
      </c>
      <c r="AA24" s="11" t="s">
        <v>44</v>
      </c>
      <c r="AB24" s="11" t="s">
        <v>45</v>
      </c>
      <c r="AC24" s="11" t="s">
        <v>46</v>
      </c>
      <c r="AD24" s="11" t="s">
        <v>47</v>
      </c>
      <c r="AE24" s="11" t="s">
        <v>48</v>
      </c>
      <c r="AF24" s="11" t="s">
        <v>51</v>
      </c>
      <c r="AG24" s="11" t="s">
        <v>52</v>
      </c>
      <c r="AH24" s="11" t="s">
        <v>53</v>
      </c>
      <c r="AI24" s="11" t="s">
        <v>54</v>
      </c>
      <c r="AJ24" s="88"/>
      <c r="AK24" s="88"/>
      <c r="AL24" s="88"/>
      <c r="AM24" s="88"/>
      <c r="AN24" s="87"/>
      <c r="AO24" s="87"/>
      <c r="AP24" s="88"/>
      <c r="AQ24" s="87"/>
    </row>
    <row r="25" spans="2:43" x14ac:dyDescent="0.3">
      <c r="B25" s="2" t="s">
        <v>19</v>
      </c>
      <c r="C25" s="13">
        <v>12</v>
      </c>
      <c r="D25" s="43">
        <f>+$D$2*$C$18</f>
        <v>10665647.299999999</v>
      </c>
      <c r="E25" s="40">
        <f>IF($C25&gt;=COUNTA($E$24:E$24),D25*(1+E$16),0)</f>
        <v>11337583.079899998</v>
      </c>
      <c r="F25" s="40">
        <f>IF($C25&gt;=COUNTA($E$24:F$24),E25*(1+C$16),0)</f>
        <v>11337583.079899998</v>
      </c>
      <c r="G25" s="40">
        <f>IF($C25&gt;=COUNTA($E$24:G$24),F25*(1+F$16),0)</f>
        <v>11819430.360795747</v>
      </c>
      <c r="H25" s="40">
        <f>IF($C25&gt;=COUNTA($E$24:H$24),G25*(1+E$15),0)</f>
        <v>11819430.360795747</v>
      </c>
      <c r="I25" s="40">
        <f>IF($C25&gt;=COUNTA($E$24:I$24),H25*(1+F$15),0)</f>
        <v>12174013.27161962</v>
      </c>
      <c r="J25" s="40">
        <f>IF($C25&gt;=COUNTA($E$24:J$24),I25*(1+E$15),0)</f>
        <v>12174013.27161962</v>
      </c>
      <c r="K25" s="40">
        <f>IF($C25&gt;=COUNTA($E$24:K$24),J25*(1+F$15),0)</f>
        <v>12539233.669768209</v>
      </c>
      <c r="L25" s="40">
        <f>IF($C25&gt;=COUNTA($E$24:L$24),K25*(1+E$15),0)</f>
        <v>12539233.669768209</v>
      </c>
      <c r="M25" s="40">
        <f>IF($C25&gt;=COUNTA($E$24:M$24),L25*(1+F$15),0)</f>
        <v>12915410.679861255</v>
      </c>
      <c r="N25" s="40">
        <f>IF($C25&gt;=COUNTA($E$24:N$24),M25*(1+E$15),0)</f>
        <v>12915410.679861255</v>
      </c>
      <c r="O25" s="40">
        <f>IF($C25&gt;=COUNTA($E$24:O$24),N25*(1+F$15),0)</f>
        <v>13302873.000257093</v>
      </c>
      <c r="P25" s="40">
        <f>IF($C25&gt;=COUNTA($E$24:P$24),O25*(1+E$15),0)</f>
        <v>13302873.000257093</v>
      </c>
      <c r="Q25" s="3">
        <f>SUM(E25:P25)*$E$17</f>
        <v>0</v>
      </c>
      <c r="R25" s="41">
        <f>SUM(E25:Q25)</f>
        <v>148177088.12440386</v>
      </c>
      <c r="S25" s="43">
        <f>+$C$14</f>
        <v>1750905</v>
      </c>
      <c r="T25" s="40">
        <f>ROUND(IF($C25&gt;=COUNTA(T$24:$T$24),$C$14*(1+E$14),0),0)</f>
        <v>1978523</v>
      </c>
      <c r="U25" s="40">
        <f>ROUND(IF($C25&gt;=COUNTA($T$24:U$24),$C$14*(1+$E$14),0),0)</f>
        <v>1978523</v>
      </c>
      <c r="V25" s="40">
        <f>ROUND(IF($C25&gt;=COUNTA($T$24:V$24),$U25*(1+$F$14),0),0)</f>
        <v>2176375</v>
      </c>
      <c r="W25" s="40">
        <f>ROUND(IF($C25&gt;=COUNTA($T$24:W$24),$U25*(1+F$14),0),0)</f>
        <v>2176375</v>
      </c>
      <c r="X25" s="40">
        <f>ROUND(IF($C25&gt;=COUNTA($T$24:X$24),$W25*(1+$F$14),0),0)</f>
        <v>2394013</v>
      </c>
      <c r="Y25" s="40">
        <f>ROUND(IF($C25&gt;=COUNTA($T$24:Y$24),$W25*(1+$F$14),0),0)</f>
        <v>2394013</v>
      </c>
      <c r="Z25" s="40">
        <f>ROUND(IF($C25&gt;=COUNTA($T$24:Z$24),$Y25*(1+F$14),0),0)</f>
        <v>2633414</v>
      </c>
      <c r="AA25" s="40">
        <f>ROUND(IF($C25&gt;=COUNTA($T$24:AA$24),$Y25*(1+F$14),0),0)</f>
        <v>2633414</v>
      </c>
      <c r="AB25" s="40">
        <f>ROUND(IF($C25&gt;=COUNTA($T$24:AB$24),$AA25*(1+F$14),0),0)</f>
        <v>2896755</v>
      </c>
      <c r="AC25" s="40">
        <f>ROUND(IF($C25&gt;=COUNTA($T$24:AC$24),$AA25*(1+F$14),0),0)</f>
        <v>2896755</v>
      </c>
      <c r="AD25" s="40">
        <f>ROUND(IF($C25&gt;=COUNTA($T$24:AD$24),$AC25*(1+F$14),0),0)</f>
        <v>3186431</v>
      </c>
      <c r="AE25" s="40">
        <f>ROUND(IF($C25&gt;=COUNTA($T$24:AE$24),$AC25*(1+F$14),0),0)</f>
        <v>3186431</v>
      </c>
      <c r="AF25" s="41">
        <f>SUM(T25:AE25)</f>
        <v>30531022</v>
      </c>
      <c r="AG25" s="41">
        <f>ROUND(R25+AF25,0)</f>
        <v>178708110</v>
      </c>
      <c r="AH25" s="44">
        <f>+ROUND((($D$23*E2)/AG25),0)</f>
        <v>0</v>
      </c>
      <c r="AI25" s="60">
        <f>+AG25*AH25</f>
        <v>0</v>
      </c>
      <c r="AP25" s="86"/>
    </row>
    <row r="26" spans="2:43" x14ac:dyDescent="0.3">
      <c r="B26" s="2" t="s">
        <v>19</v>
      </c>
      <c r="C26" s="13">
        <v>10</v>
      </c>
      <c r="D26" s="43">
        <f>+$D$3*$C$18</f>
        <v>6489766.5</v>
      </c>
      <c r="E26" s="40">
        <f>IF($C26&gt;=COUNTA($E$24:E$24),D26*(1+E$16),0)</f>
        <v>6898621.7895</v>
      </c>
      <c r="F26" s="40">
        <f>IF($C26&gt;=COUNTA($E$24:F$24),E26*(1+C$16),0)</f>
        <v>6898621.7895</v>
      </c>
      <c r="G26" s="40">
        <f>IF($C26&gt;=COUNTA($E$24:G$24),F26*(1+F$16),0)</f>
        <v>7191813.2155537503</v>
      </c>
      <c r="H26" s="40">
        <f>IF($C26&gt;=COUNTA($E$24:H$24),G26*(1+E$15),0)</f>
        <v>7191813.2155537503</v>
      </c>
      <c r="I26" s="40">
        <f>IF($C26&gt;=COUNTA($E$24:I$24),H26*(1+F$15),0)</f>
        <v>7407567.6120203631</v>
      </c>
      <c r="J26" s="40">
        <f>IF($C26&gt;=COUNTA($E$24:J$24),I26*(1+E$15),0)</f>
        <v>7407567.6120203631</v>
      </c>
      <c r="K26" s="40">
        <f>IF($C26&gt;=COUNTA($E$24:K$24),J26*(1+F$15),0)</f>
        <v>7629794.6403809739</v>
      </c>
      <c r="L26" s="40">
        <f>IF($C26&gt;=COUNTA($E$24:L$24),K26*(1+E$15),0)</f>
        <v>7629794.6403809739</v>
      </c>
      <c r="M26" s="40">
        <f>IF($C26&gt;=COUNTA($E$24:M$24),L26*(1+F$15),0)</f>
        <v>7858688.4795924034</v>
      </c>
      <c r="N26" s="59">
        <f>IF($C26&gt;=COUNTA($E$24:N$24),M26*(1+E$15),0)</f>
        <v>7858688.4795924034</v>
      </c>
      <c r="O26" s="3"/>
      <c r="P26" s="3"/>
      <c r="Q26" s="3">
        <f t="shared" ref="Q26:Q34" si="0">SUM(E26:P26)*$E$17</f>
        <v>0</v>
      </c>
      <c r="R26" s="41">
        <f t="shared" ref="R26:R34" si="1">SUM(E26:Q26)</f>
        <v>73972971.474094972</v>
      </c>
      <c r="S26" s="43">
        <f t="shared" ref="S26:S34" si="2">+$C$14</f>
        <v>1750905</v>
      </c>
      <c r="T26" s="40">
        <f>ROUND(IF($C26&gt;=COUNTA(T$24:$T$24),$C$14*(1+E$14),0),0)</f>
        <v>1978523</v>
      </c>
      <c r="U26" s="40">
        <f>ROUND(IF($C26&gt;=COUNTA($T$24:U$24),$C$14*(1+$E$14),0),0)</f>
        <v>1978523</v>
      </c>
      <c r="V26" s="40">
        <f>ROUND(IF($C26&gt;=COUNTA($T$24:V$24),$U26*(1+$F$14),0),0)</f>
        <v>2176375</v>
      </c>
      <c r="W26" s="40">
        <f>ROUND(IF($C26&gt;=COUNTA($T$24:W$24),$U26*(1+F$14),0),0)</f>
        <v>2176375</v>
      </c>
      <c r="X26" s="40">
        <f>ROUND(IF($C26&gt;=COUNTA($T$24:X$24),$W26*(1+$F$14),0),0)</f>
        <v>2394013</v>
      </c>
      <c r="Y26" s="40">
        <f>ROUND(IF($C26&gt;=COUNTA($T$24:Y$24),$W26*(1+$F$14),0),0)</f>
        <v>2394013</v>
      </c>
      <c r="Z26" s="40">
        <f>ROUND(IF($C26&gt;=COUNTA($T$24:Z$24),$Y26*(1+F$14),0),0)</f>
        <v>2633414</v>
      </c>
      <c r="AA26" s="40">
        <f>ROUND(IF($C26&gt;=COUNTA($T$24:AA$24),$Y26*(1+F$14),0),0)</f>
        <v>2633414</v>
      </c>
      <c r="AB26" s="40">
        <f>ROUND(IF($C26&gt;=COUNTA($T$24:AB$24),$AA26*(1+F$14),0),0)</f>
        <v>2896755</v>
      </c>
      <c r="AC26" s="40">
        <f>ROUND(IF($C26&gt;=COUNTA($T$24:AC$24),$AA26*(1+F$14),0),0)</f>
        <v>2896755</v>
      </c>
      <c r="AD26" s="3"/>
      <c r="AE26" s="3"/>
      <c r="AF26" s="41">
        <f t="shared" ref="AF26:AF34" si="3">SUM(T26:AE26)</f>
        <v>24158160</v>
      </c>
      <c r="AG26" s="41">
        <f t="shared" ref="AG26:AG34" si="4">ROUND(R26+AF26,0)</f>
        <v>98131131</v>
      </c>
      <c r="AH26" s="44">
        <f t="shared" ref="AH26:AH31" si="5">+ROUND((($D$23*E3)/AG26),0)</f>
        <v>7</v>
      </c>
      <c r="AI26" s="60">
        <f>+AG26*AH26</f>
        <v>686917917</v>
      </c>
      <c r="AJ26" s="55"/>
      <c r="AK26" s="55"/>
      <c r="AL26" s="55"/>
      <c r="AP26" s="86"/>
    </row>
    <row r="27" spans="2:43" x14ac:dyDescent="0.3">
      <c r="B27" s="2" t="s">
        <v>19</v>
      </c>
      <c r="C27" s="13">
        <v>9</v>
      </c>
      <c r="D27" s="43">
        <f>+$D$4*$C$18</f>
        <v>6771548</v>
      </c>
      <c r="E27" s="40">
        <f>IF($C27&gt;=COUNTA($E$24:E$24),D27*(1+E$16),0)</f>
        <v>7198155.5239999993</v>
      </c>
      <c r="F27" s="40">
        <f>IF($C27&gt;=COUNTA($E$24:F$24),E27*(1+C$16),0)</f>
        <v>7198155.5239999993</v>
      </c>
      <c r="G27" s="40">
        <f>IF($C27&gt;=COUNTA($E$24:G$24),F27*(1+F$16),0)</f>
        <v>7504077.1337699993</v>
      </c>
      <c r="H27" s="40">
        <f>IF($C27&gt;=COUNTA($E$24:H$24),G27*(1+E$15),0)</f>
        <v>7504077.1337699993</v>
      </c>
      <c r="I27" s="40">
        <f>IF($C27&gt;=COUNTA($E$24:I$24),H27*(1+F$15),0)</f>
        <v>7729199.4477830995</v>
      </c>
      <c r="J27" s="40">
        <f>IF($C27&gt;=COUNTA($E$24:J$24),I27*(1+E$15),0)</f>
        <v>7729199.4477830995</v>
      </c>
      <c r="K27" s="40">
        <f>IF($C27&gt;=COUNTA($E$24:K$24),J27*(1+F$15),0)</f>
        <v>7961075.4312165929</v>
      </c>
      <c r="L27" s="40">
        <f>IF($C27&gt;=COUNTA($E$24:L$24),K27*(1+E$15),0)</f>
        <v>7961075.4312165929</v>
      </c>
      <c r="M27" s="40">
        <f>IF($C27&gt;=COUNTA($E$24:M$24),L27*(1+F$15),0)</f>
        <v>8199907.6941530909</v>
      </c>
      <c r="N27" s="3"/>
      <c r="O27" s="3"/>
      <c r="P27" s="3"/>
      <c r="Q27" s="3">
        <f t="shared" si="0"/>
        <v>0</v>
      </c>
      <c r="R27" s="41">
        <f t="shared" si="1"/>
        <v>68984922.767692462</v>
      </c>
      <c r="S27" s="43">
        <f t="shared" si="2"/>
        <v>1750905</v>
      </c>
      <c r="T27" s="40">
        <f>ROUND(IF($C27&gt;=COUNTA(T$24:$T$24),$C$14*(1+E$14),0),0)</f>
        <v>1978523</v>
      </c>
      <c r="U27" s="40">
        <f>ROUND(IF($C27&gt;=COUNTA($T$24:U$24),$C$14*(1+$E$14),0),0)</f>
        <v>1978523</v>
      </c>
      <c r="V27" s="40">
        <f>ROUND(IF($C27&gt;=COUNTA($T$24:V$24),$U27*(1+$F$14),0),0)</f>
        <v>2176375</v>
      </c>
      <c r="W27" s="40">
        <f>ROUND(IF($C27&gt;=COUNTA($T$24:W$24),$U27*(1+F$14),0),0)</f>
        <v>2176375</v>
      </c>
      <c r="X27" s="40">
        <f>ROUND(IF($C27&gt;=COUNTA($T$24:X$24),$W27*(1+$F$14),0),0)</f>
        <v>2394013</v>
      </c>
      <c r="Y27" s="40">
        <f>ROUND(IF($C27&gt;=COUNTA($T$24:Y$24),$W27*(1+$F$14),0),0)</f>
        <v>2394013</v>
      </c>
      <c r="Z27" s="40">
        <f>ROUND(IF($C27&gt;=COUNTA($T$24:Z$24),$Y27*(1+F$14),0),0)</f>
        <v>2633414</v>
      </c>
      <c r="AA27" s="40">
        <f>ROUND(IF($C27&gt;=COUNTA($T$24:AA$24),$Y27*(1+F$14),0),0)</f>
        <v>2633414</v>
      </c>
      <c r="AB27" s="40">
        <f>ROUND(IF($C27&gt;=COUNTA($T$24:AB$24),$AA27*(1+F$14),0),0)</f>
        <v>2896755</v>
      </c>
      <c r="AC27" s="3"/>
      <c r="AD27" s="3"/>
      <c r="AE27" s="3"/>
      <c r="AF27" s="41">
        <f t="shared" si="3"/>
        <v>21261405</v>
      </c>
      <c r="AG27" s="41">
        <f t="shared" si="4"/>
        <v>90246328</v>
      </c>
      <c r="AH27" s="44">
        <f t="shared" si="5"/>
        <v>6</v>
      </c>
      <c r="AI27" s="60">
        <f>+AG27*AH27</f>
        <v>541477968</v>
      </c>
      <c r="AJ27" s="55"/>
      <c r="AK27" s="55"/>
      <c r="AL27" s="55"/>
      <c r="AP27" s="86"/>
    </row>
    <row r="28" spans="2:43" x14ac:dyDescent="0.3">
      <c r="B28" s="2" t="s">
        <v>19</v>
      </c>
      <c r="C28" s="13">
        <v>8</v>
      </c>
      <c r="D28" s="43">
        <f>+$D$5*$C$18</f>
        <v>9158781.7999999989</v>
      </c>
      <c r="E28" s="40">
        <f>IF($C28&gt;=COUNTA($E$24:E$24),D28*(1+E$16),0)</f>
        <v>9735785.0533999987</v>
      </c>
      <c r="F28" s="40">
        <f>IF($C28&gt;=COUNTA($E$24:F$24),E28*(1+C$16),0)</f>
        <v>9735785.0533999987</v>
      </c>
      <c r="G28" s="40">
        <f>IF($C28&gt;=COUNTA($E$24:G$24),F28*(1+F$16),0)</f>
        <v>10149555.918169498</v>
      </c>
      <c r="H28" s="40">
        <f>IF($C28&gt;=COUNTA($E$24:H$24),G28*(1+E$15),0)</f>
        <v>10149555.918169498</v>
      </c>
      <c r="I28" s="40">
        <f>IF($C28&gt;=COUNTA($E$24:I$24),H28*(1+F$15),0)</f>
        <v>10454042.595714584</v>
      </c>
      <c r="J28" s="40">
        <f>IF($C28&gt;=COUNTA($E$24:J$24),I28*(1+E$15),0)</f>
        <v>10454042.595714584</v>
      </c>
      <c r="K28" s="40">
        <f>IF($C28&gt;=COUNTA($E$24:K$24),J28*(1+F$15),0)</f>
        <v>10767663.873586021</v>
      </c>
      <c r="L28" s="40">
        <f>IF($C28&gt;=COUNTA($E$24:L$24),K28*(1+E$15),0)</f>
        <v>10767663.873586021</v>
      </c>
      <c r="M28" s="3"/>
      <c r="N28" s="3"/>
      <c r="O28" s="3"/>
      <c r="P28" s="3"/>
      <c r="Q28" s="3">
        <f t="shared" si="0"/>
        <v>0</v>
      </c>
      <c r="R28" s="41">
        <f t="shared" si="1"/>
        <v>82214094.881740212</v>
      </c>
      <c r="S28" s="43">
        <f t="shared" si="2"/>
        <v>1750905</v>
      </c>
      <c r="T28" s="40">
        <f>ROUND(IF($C28&gt;=COUNTA(T$24:$T$24),$C$14*(1+E$14),0),0)</f>
        <v>1978523</v>
      </c>
      <c r="U28" s="40">
        <f>ROUND(IF($C28&gt;=COUNTA($T$24:U$24),$C$14*(1+$E$14),0),0)</f>
        <v>1978523</v>
      </c>
      <c r="V28" s="40">
        <f>ROUND(IF($C28&gt;=COUNTA($T$24:V$24),$U28*(1+$F$14),0),0)</f>
        <v>2176375</v>
      </c>
      <c r="W28" s="40">
        <f>ROUND(IF($C28&gt;=COUNTA($T$24:W$24),$U28*(1+F$14),0),0)</f>
        <v>2176375</v>
      </c>
      <c r="X28" s="40">
        <f>ROUND(IF($C28&gt;=COUNTA($T$24:X$24),$W28*(1+$F$14),0),0)</f>
        <v>2394013</v>
      </c>
      <c r="Y28" s="40">
        <f>ROUND(IF($C28&gt;=COUNTA($T$24:Y$24),$W28*(1+$F$14),0),0)</f>
        <v>2394013</v>
      </c>
      <c r="Z28" s="40">
        <f>ROUND(IF($C28&gt;=COUNTA($T$24:Z$24),$Y28*(1+F$14),0),0)</f>
        <v>2633414</v>
      </c>
      <c r="AA28" s="40">
        <f>ROUND(IF($C28&gt;=COUNTA($T$24:AA$24),$Y28*(1+F$14),0),0)</f>
        <v>2633414</v>
      </c>
      <c r="AB28" s="3"/>
      <c r="AC28" s="3"/>
      <c r="AD28" s="3"/>
      <c r="AE28" s="3"/>
      <c r="AF28" s="41">
        <f t="shared" si="3"/>
        <v>18364650</v>
      </c>
      <c r="AG28" s="41">
        <f t="shared" si="4"/>
        <v>100578745</v>
      </c>
      <c r="AH28" s="44">
        <f>+ROUND((($D$23*E5)/AG28),0)-3</f>
        <v>18</v>
      </c>
      <c r="AI28" s="60">
        <f>+AG28*AH28</f>
        <v>1810417410</v>
      </c>
      <c r="AJ28" s="55"/>
      <c r="AK28" s="55"/>
      <c r="AL28" s="55"/>
      <c r="AP28" s="86"/>
    </row>
    <row r="29" spans="2:43" x14ac:dyDescent="0.3">
      <c r="B29" s="2" t="s">
        <v>19</v>
      </c>
      <c r="C29" s="13">
        <v>7</v>
      </c>
      <c r="D29" s="43">
        <f>+$D$6*$C$18</f>
        <v>4624008.1999999993</v>
      </c>
      <c r="E29" s="40">
        <f>IF($C29&gt;=COUNTA($E$24:E$24),D29*(1+E$16),0)</f>
        <v>4915320.716599999</v>
      </c>
      <c r="F29" s="40">
        <f>IF($C29&gt;=COUNTA($E$24:F$24),E29*(1+C$16),0)</f>
        <v>4915320.716599999</v>
      </c>
      <c r="G29" s="40">
        <f>IF($C29&gt;=COUNTA($E$24:G$24),F29*(1+F$16),0)</f>
        <v>5124221.8470554985</v>
      </c>
      <c r="H29" s="40">
        <f>IF($C29&gt;=COUNTA($E$24:H$24),G29*(1+E$15),0)</f>
        <v>5124221.8470554985</v>
      </c>
      <c r="I29" s="40">
        <f>IF($C29&gt;=COUNTA($E$24:I$24),H29*(1+F$15),0)</f>
        <v>5277948.5024671638</v>
      </c>
      <c r="J29" s="40">
        <f>IF($C29&gt;=COUNTA($E$24:J$24),I29*(1+E$15),0)</f>
        <v>5277948.5024671638</v>
      </c>
      <c r="K29" s="40">
        <f>IF($C29&gt;=COUNTA($E$24:K$24),J29*(1+F$15),0)</f>
        <v>5436286.9575411789</v>
      </c>
      <c r="L29" s="3"/>
      <c r="M29" s="3"/>
      <c r="N29" s="3"/>
      <c r="O29" s="3"/>
      <c r="P29" s="3"/>
      <c r="Q29" s="3">
        <f t="shared" si="0"/>
        <v>0</v>
      </c>
      <c r="R29" s="41">
        <f t="shared" si="1"/>
        <v>36071269.0897865</v>
      </c>
      <c r="S29" s="43">
        <f t="shared" si="2"/>
        <v>1750905</v>
      </c>
      <c r="T29" s="40">
        <f>ROUND(IF($C29&gt;=COUNTA(T$24:$T$24),$C$14*(1+E$14),0),0)</f>
        <v>1978523</v>
      </c>
      <c r="U29" s="40">
        <f>ROUND(IF($C29&gt;=COUNTA($T$24:U$24),$C$14*(1+$E$14),0),0)</f>
        <v>1978523</v>
      </c>
      <c r="V29" s="40">
        <f>ROUND(IF($C29&gt;=COUNTA($T$24:V$24),$U29*(1+$F$14),0),0)</f>
        <v>2176375</v>
      </c>
      <c r="W29" s="40">
        <f>ROUND(IF($C29&gt;=COUNTA($T$24:W$24),$U29*(1+F$14),0),0)</f>
        <v>2176375</v>
      </c>
      <c r="X29" s="40">
        <f>ROUND(IF($C29&gt;=COUNTA($T$24:X$24),$W29*(1+$F$14),0),0)</f>
        <v>2394013</v>
      </c>
      <c r="Y29" s="40">
        <f>ROUND(IF($C29&gt;=COUNTA($T$24:Y$24),$W29*(1+$F$14),0),0)</f>
        <v>2394013</v>
      </c>
      <c r="Z29" s="40">
        <f>ROUND(IF($C29&gt;=COUNTA($T$24:Z$24),$Y29*(1+F$14),0),0)</f>
        <v>2633414</v>
      </c>
      <c r="AA29" s="3"/>
      <c r="AB29" s="3"/>
      <c r="AC29" s="3"/>
      <c r="AD29" s="3"/>
      <c r="AE29" s="3"/>
      <c r="AF29" s="41">
        <f t="shared" si="3"/>
        <v>15731236</v>
      </c>
      <c r="AG29" s="41">
        <f t="shared" si="4"/>
        <v>51802505</v>
      </c>
      <c r="AH29" s="44">
        <f>+ROUND((($D$23*E6)/AG29),0)+3</f>
        <v>4</v>
      </c>
      <c r="AI29" s="60">
        <f t="shared" ref="AI29:AI34" si="6">+AG29*AH29</f>
        <v>207210020</v>
      </c>
      <c r="AJ29" s="55"/>
      <c r="AK29" s="55"/>
      <c r="AL29" s="55"/>
      <c r="AM29" s="55"/>
      <c r="AN29" s="55"/>
      <c r="AO29" s="55"/>
      <c r="AP29" s="86"/>
    </row>
    <row r="30" spans="2:43" x14ac:dyDescent="0.3">
      <c r="B30" s="2" t="s">
        <v>21</v>
      </c>
      <c r="C30" s="13">
        <v>7</v>
      </c>
      <c r="D30" s="43">
        <f>+$D$7*$C$18</f>
        <v>3584515.1999999997</v>
      </c>
      <c r="E30" s="40">
        <f>IF($C30&gt;=COUNTA($E$24:E$24),D30*(1+E$16),0)</f>
        <v>3810339.6575999996</v>
      </c>
      <c r="F30" s="40">
        <f>IF($C30&gt;=COUNTA($E$24:F$24),E30*(1+C$16),0)</f>
        <v>3810339.6575999996</v>
      </c>
      <c r="G30" s="40">
        <f>IF($C30&gt;=COUNTA($E$24:G$24),F30*(1+F$16),0)</f>
        <v>3972279.0930479993</v>
      </c>
      <c r="H30" s="40">
        <f>IF($C30&gt;=COUNTA($E$24:H$24),G30*(1+E$15),0)</f>
        <v>3972279.0930479993</v>
      </c>
      <c r="I30" s="40">
        <f>IF($C30&gt;=COUNTA($E$24:I$24),H30*(1+F$15),0)</f>
        <v>4091447.4658394395</v>
      </c>
      <c r="J30" s="40">
        <f>IF($C30&gt;=COUNTA($E$24:J$24),I30*(1+E$15),0)</f>
        <v>4091447.4658394395</v>
      </c>
      <c r="K30" s="40">
        <f>IF($C30&gt;=COUNTA($E$24:K$24),J30*(1+F$15),0)</f>
        <v>4214190.8898146227</v>
      </c>
      <c r="L30" s="2"/>
      <c r="M30" s="2"/>
      <c r="N30" s="2"/>
      <c r="O30" s="2"/>
      <c r="P30" s="2"/>
      <c r="Q30" s="3">
        <f t="shared" si="0"/>
        <v>0</v>
      </c>
      <c r="R30" s="41">
        <f t="shared" si="1"/>
        <v>27962323.322789498</v>
      </c>
      <c r="S30" s="43">
        <f t="shared" si="2"/>
        <v>1750905</v>
      </c>
      <c r="T30" s="40">
        <f>ROUND(IF($C30&gt;=COUNTA(T$24:$T$24),$C$14*(1+E$14),0),0)</f>
        <v>1978523</v>
      </c>
      <c r="U30" s="40">
        <f>ROUND(IF($C30&gt;=COUNTA($T$24:U$24),$C$14*(1+$E$14),0),0)</f>
        <v>1978523</v>
      </c>
      <c r="V30" s="40">
        <f>ROUND(IF($C30&gt;=COUNTA($T$24:V$24),$U30*(1+$F$14),0),0)</f>
        <v>2176375</v>
      </c>
      <c r="W30" s="40">
        <f>ROUND(IF($C30&gt;=COUNTA($T$24:W$24),$U30*(1+F$14),0),0)</f>
        <v>2176375</v>
      </c>
      <c r="X30" s="40">
        <f>ROUND(IF($C30&gt;=COUNTA($T$24:X$24),$W30*(1+$F$14),0),0)</f>
        <v>2394013</v>
      </c>
      <c r="Y30" s="40">
        <f>ROUND(IF($C30&gt;=COUNTA($T$24:Y$24),$W30*(1+$F$14),0),0)</f>
        <v>2394013</v>
      </c>
      <c r="Z30" s="40">
        <f>ROUND(IF($C30&gt;=COUNTA($T$24:Z$24),$Y30*(1+F$14),0),0)</f>
        <v>2633414</v>
      </c>
      <c r="AA30" s="2"/>
      <c r="AB30" s="2"/>
      <c r="AC30" s="2"/>
      <c r="AD30" s="2"/>
      <c r="AE30" s="2"/>
      <c r="AF30" s="41">
        <f t="shared" si="3"/>
        <v>15731236</v>
      </c>
      <c r="AG30" s="41">
        <f t="shared" si="4"/>
        <v>43693559</v>
      </c>
      <c r="AH30" s="44">
        <f t="shared" si="5"/>
        <v>1</v>
      </c>
      <c r="AI30" s="60">
        <f t="shared" si="6"/>
        <v>43693559</v>
      </c>
      <c r="AJ30" s="55"/>
      <c r="AK30" s="55"/>
      <c r="AL30" s="55"/>
      <c r="AP30" s="86"/>
    </row>
    <row r="31" spans="2:43" x14ac:dyDescent="0.3">
      <c r="B31" s="2" t="s">
        <v>21</v>
      </c>
      <c r="C31" s="13">
        <v>6</v>
      </c>
      <c r="D31" s="43">
        <f>+$D$8*$C$18</f>
        <v>2844639</v>
      </c>
      <c r="E31" s="40">
        <f>IF($C31&gt;=COUNTA($E$24:E$24),D31*(1+E$16),0)</f>
        <v>3023851.2569999998</v>
      </c>
      <c r="F31" s="40">
        <f>IF($C31&gt;=COUNTA($E$24:F$24),E31*(1+C$16),0)</f>
        <v>3023851.2569999998</v>
      </c>
      <c r="G31" s="40">
        <f>IF($C31&gt;=COUNTA($E$24:G$24),F31*(1+F$16),0)</f>
        <v>3152364.9354224997</v>
      </c>
      <c r="H31" s="40">
        <f>IF($C31&gt;=COUNTA($E$24:H$24),G31*(1+E$15),0)</f>
        <v>3152364.9354224997</v>
      </c>
      <c r="I31" s="40">
        <f>IF($C31&gt;=COUNTA($E$24:I$24),H31*(1+F$15),0)</f>
        <v>3246935.8834851747</v>
      </c>
      <c r="J31" s="40">
        <f>IF($C31&gt;=COUNTA($E$24:J$24),I31*(1+E$15),0)</f>
        <v>3246935.8834851747</v>
      </c>
      <c r="K31" s="2"/>
      <c r="L31" s="2"/>
      <c r="M31" s="2"/>
      <c r="N31" s="2"/>
      <c r="O31" s="2"/>
      <c r="P31" s="2"/>
      <c r="Q31" s="3">
        <f t="shared" si="0"/>
        <v>0</v>
      </c>
      <c r="R31" s="41">
        <f t="shared" si="1"/>
        <v>18846304.151815351</v>
      </c>
      <c r="S31" s="43">
        <f t="shared" si="2"/>
        <v>1750905</v>
      </c>
      <c r="T31" s="40">
        <f>ROUND(IF($C31&gt;=COUNTA(T$24:$T$24),$C$14*(1+E$14),0),0)</f>
        <v>1978523</v>
      </c>
      <c r="U31" s="40">
        <f>ROUND(IF($C31&gt;=COUNTA($T$24:U$24),$C$14*(1+$E$14),0),0)</f>
        <v>1978523</v>
      </c>
      <c r="V31" s="40">
        <f>ROUND(IF($C31&gt;=COUNTA($T$24:V$24),$U31*(1+$F$14),0),0)</f>
        <v>2176375</v>
      </c>
      <c r="W31" s="40">
        <f>ROUND(IF($C31&gt;=COUNTA($T$24:W$24),$U31*(1+F$14),0),0)</f>
        <v>2176375</v>
      </c>
      <c r="X31" s="40">
        <f>ROUND(IF($C31&gt;=COUNTA($T$24:X$24),$W31*(1+$F$14),0),0)</f>
        <v>2394013</v>
      </c>
      <c r="Y31" s="40">
        <f>ROUND(IF($C31&gt;=COUNTA($T$24:Y$24),$W31*(1+$F$14),0),0)</f>
        <v>2394013</v>
      </c>
      <c r="Z31" s="2"/>
      <c r="AA31" s="2"/>
      <c r="AB31" s="2"/>
      <c r="AC31" s="2"/>
      <c r="AD31" s="2"/>
      <c r="AE31" s="2"/>
      <c r="AF31" s="41">
        <f t="shared" si="3"/>
        <v>13097822</v>
      </c>
      <c r="AG31" s="41">
        <f t="shared" si="4"/>
        <v>31944126</v>
      </c>
      <c r="AH31" s="44">
        <f t="shared" si="5"/>
        <v>2</v>
      </c>
      <c r="AI31" s="60">
        <f t="shared" si="6"/>
        <v>63888252</v>
      </c>
      <c r="AJ31" s="55"/>
      <c r="AK31" s="55"/>
      <c r="AL31" s="55"/>
      <c r="AP31" s="86"/>
    </row>
    <row r="32" spans="2:43" x14ac:dyDescent="0.3">
      <c r="B32" s="2" t="s">
        <v>21</v>
      </c>
      <c r="C32" s="13">
        <v>5</v>
      </c>
      <c r="D32" s="43">
        <f>+$D$9*$C$18</f>
        <v>3420546.5</v>
      </c>
      <c r="E32" s="40">
        <f>IF($C32&gt;=COUNTA($E$24:E$24),D32*(1+E$16),0)</f>
        <v>3636040.9294999996</v>
      </c>
      <c r="F32" s="40">
        <f>IF($C32&gt;=COUNTA($E$24:F$24),E32*(1+C$16),0)</f>
        <v>3636040.9294999996</v>
      </c>
      <c r="G32" s="40">
        <f>IF($C32&gt;=COUNTA($E$24:G$24),F32*(1+F$16),0)</f>
        <v>3790572.6690037497</v>
      </c>
      <c r="H32" s="40">
        <f>IF($C32&gt;=COUNTA($E$24:H$24),G32*(1+E$15),0)</f>
        <v>3790572.6690037497</v>
      </c>
      <c r="I32" s="40">
        <f>IF($C32&gt;=COUNTA($E$24:I$24),H32*(1+F$15),0)</f>
        <v>3904289.8490738622</v>
      </c>
      <c r="J32" s="2"/>
      <c r="K32" s="2"/>
      <c r="L32" s="2"/>
      <c r="M32" s="2"/>
      <c r="N32" s="2"/>
      <c r="O32" s="2"/>
      <c r="P32" s="2"/>
      <c r="Q32" s="3">
        <f t="shared" si="0"/>
        <v>0</v>
      </c>
      <c r="R32" s="41">
        <f t="shared" si="1"/>
        <v>18757517.04608136</v>
      </c>
      <c r="S32" s="43">
        <f t="shared" si="2"/>
        <v>1750905</v>
      </c>
      <c r="T32" s="40">
        <f>ROUND(IF($C32&gt;=COUNTA(T$24:$T$24),$C$14*(1+E$14),0),0)</f>
        <v>1978523</v>
      </c>
      <c r="U32" s="40">
        <f>ROUND(IF($C32&gt;=COUNTA($T$24:U$24),$C$14*(1+$E$14),0),0)</f>
        <v>1978523</v>
      </c>
      <c r="V32" s="40">
        <f>ROUND(IF($C32&gt;=COUNTA($T$24:V$24),$U32*(1+$F$14),0),0)</f>
        <v>2176375</v>
      </c>
      <c r="W32" s="40">
        <f>ROUND(IF($C32&gt;=COUNTA($T$24:W$24),$U32*(1+F$14),0),0)</f>
        <v>2176375</v>
      </c>
      <c r="X32" s="40">
        <f>ROUND(IF($C32&gt;=COUNTA($T$24:X$24),$W32*(1+$F$14),0),0)</f>
        <v>2394013</v>
      </c>
      <c r="Y32" s="2"/>
      <c r="Z32" s="2"/>
      <c r="AA32" s="2"/>
      <c r="AB32" s="2"/>
      <c r="AC32" s="2"/>
      <c r="AD32" s="2"/>
      <c r="AE32" s="2"/>
      <c r="AF32" s="41">
        <f t="shared" si="3"/>
        <v>10703809</v>
      </c>
      <c r="AG32" s="41">
        <f t="shared" si="4"/>
        <v>29461326</v>
      </c>
      <c r="AH32" s="44">
        <f>+ROUND((($D$23*E9)/AG32),0)+1</f>
        <v>2</v>
      </c>
      <c r="AI32" s="60">
        <f t="shared" si="6"/>
        <v>58922652</v>
      </c>
      <c r="AJ32" s="55"/>
      <c r="AK32" s="55"/>
      <c r="AL32" s="55"/>
      <c r="AM32" s="55"/>
      <c r="AN32" s="55"/>
      <c r="AO32" s="55"/>
      <c r="AP32" s="86"/>
    </row>
    <row r="33" spans="2:42" x14ac:dyDescent="0.3">
      <c r="B33" s="2" t="s">
        <v>22</v>
      </c>
      <c r="C33" s="13">
        <v>4</v>
      </c>
      <c r="D33" s="43">
        <f>+$D$10*$C$18</f>
        <v>2180483.1999999997</v>
      </c>
      <c r="E33" s="40">
        <f>IF($C33&gt;=COUNTA($E$24:E$24),D33*(1+E$16),0)</f>
        <v>2317853.6415999997</v>
      </c>
      <c r="F33" s="40">
        <f>IF($C33&gt;=COUNTA($E$24:F$24),E33*(1+C$16),0)</f>
        <v>2317853.6415999997</v>
      </c>
      <c r="G33" s="40">
        <f>IF($C33&gt;=COUNTA($E$24:G$24),F33*(1+F$16),0)</f>
        <v>2416362.4213679996</v>
      </c>
      <c r="H33" s="40">
        <f>IF($C33&gt;=COUNTA($E$24:H$24),G33*(1+E$15),0)</f>
        <v>2416362.4213679996</v>
      </c>
      <c r="I33" s="2"/>
      <c r="J33" s="2"/>
      <c r="K33" s="2"/>
      <c r="L33" s="2"/>
      <c r="M33" s="2"/>
      <c r="N33" s="2"/>
      <c r="O33" s="2"/>
      <c r="P33" s="2"/>
      <c r="Q33" s="3">
        <f t="shared" si="0"/>
        <v>0</v>
      </c>
      <c r="R33" s="41">
        <f t="shared" si="1"/>
        <v>9468432.1259359978</v>
      </c>
      <c r="S33" s="43">
        <f t="shared" si="2"/>
        <v>1750905</v>
      </c>
      <c r="T33" s="40">
        <f>ROUND(IF($C33&gt;=COUNTA(T$24:$T$24),$C$14*(1+E$14),0),0)</f>
        <v>1978523</v>
      </c>
      <c r="U33" s="40">
        <f>ROUND(IF($C33&gt;=COUNTA($T$24:U$24),$C$14*(1+$E$14),0),0)</f>
        <v>1978523</v>
      </c>
      <c r="V33" s="40">
        <f>ROUND(IF($C33&gt;=COUNTA($T$24:V$24),$U33*(1+$F$14),0),0)</f>
        <v>2176375</v>
      </c>
      <c r="W33" s="40">
        <f>ROUND(IF($C33&gt;=COUNTA($T$24:W$24),$U33*(1+F$14),0),0)</f>
        <v>2176375</v>
      </c>
      <c r="X33" s="2"/>
      <c r="Y33" s="2"/>
      <c r="Z33" s="2"/>
      <c r="AA33" s="2"/>
      <c r="AB33" s="2"/>
      <c r="AC33" s="2"/>
      <c r="AD33" s="2"/>
      <c r="AE33" s="2"/>
      <c r="AF33" s="41">
        <f t="shared" si="3"/>
        <v>8309796</v>
      </c>
      <c r="AG33" s="41">
        <f t="shared" si="4"/>
        <v>17778228</v>
      </c>
      <c r="AH33" s="44">
        <f>+ROUND((($D$23*E10)/AG33),0)+2</f>
        <v>4</v>
      </c>
      <c r="AI33" s="60">
        <f t="shared" si="6"/>
        <v>71112912</v>
      </c>
      <c r="AJ33" s="55"/>
      <c r="AK33" s="55"/>
      <c r="AL33" s="55"/>
      <c r="AP33" s="86"/>
    </row>
    <row r="34" spans="2:42" x14ac:dyDescent="0.3">
      <c r="B34" s="2" t="s">
        <v>22</v>
      </c>
      <c r="C34" s="13">
        <v>3</v>
      </c>
      <c r="D34" s="43">
        <f>+$D$11*$C$18</f>
        <v>1861257.2999999998</v>
      </c>
      <c r="E34" s="40">
        <f>IF($C34&gt;=COUNTA($E$24:E$24),D34*(1+E$16),0)</f>
        <v>1978516.5098999997</v>
      </c>
      <c r="F34" s="40">
        <f>IF($C34&gt;=COUNTA($E$24:F$24),E34*(1+C$16),0)</f>
        <v>1978516.5098999997</v>
      </c>
      <c r="G34" s="40">
        <f>IF($C34&gt;=COUNTA($E$24:G$24),F34*(1+F$16),0)</f>
        <v>2062603.4615707498</v>
      </c>
      <c r="H34" s="2"/>
      <c r="I34" s="2"/>
      <c r="J34" s="2"/>
      <c r="K34" s="2"/>
      <c r="L34" s="2"/>
      <c r="M34" s="2"/>
      <c r="N34" s="2"/>
      <c r="O34" s="2"/>
      <c r="P34" s="2"/>
      <c r="Q34" s="3">
        <f t="shared" si="0"/>
        <v>0</v>
      </c>
      <c r="R34" s="41">
        <f t="shared" si="1"/>
        <v>6019636.481370749</v>
      </c>
      <c r="S34" s="43">
        <f t="shared" si="2"/>
        <v>1750905</v>
      </c>
      <c r="T34" s="40">
        <f>ROUND(IF($C34&gt;=COUNTA(T$24:$T$24),$C$14*(1+E$14),0),0)</f>
        <v>1978523</v>
      </c>
      <c r="U34" s="40">
        <f>ROUND(IF($C34&gt;=COUNTA($T$24:U$24),$C$14*(1+$E$14),0),0)</f>
        <v>1978523</v>
      </c>
      <c r="V34" s="40">
        <f>ROUND(IF($C34&gt;=COUNTA($T$24:V$24),$U34*(1+$F$14),0),0)</f>
        <v>2176375</v>
      </c>
      <c r="W34" s="2"/>
      <c r="X34" s="2"/>
      <c r="Y34" s="2"/>
      <c r="Z34" s="2"/>
      <c r="AA34" s="2"/>
      <c r="AB34" s="2"/>
      <c r="AC34" s="2"/>
      <c r="AD34" s="2"/>
      <c r="AE34" s="2"/>
      <c r="AF34" s="41">
        <f t="shared" si="3"/>
        <v>6133421</v>
      </c>
      <c r="AG34" s="41">
        <f t="shared" si="4"/>
        <v>12153057</v>
      </c>
      <c r="AH34" s="44">
        <f>+ROUND((($D$23*E11)/AG34),0)+5</f>
        <v>6</v>
      </c>
      <c r="AI34" s="60">
        <f t="shared" si="6"/>
        <v>72918342</v>
      </c>
      <c r="AJ34" s="55"/>
      <c r="AK34" s="55"/>
      <c r="AL34" s="55"/>
      <c r="AM34" s="55"/>
      <c r="AN34" s="55"/>
      <c r="AO34" s="55"/>
      <c r="AP34" s="86"/>
    </row>
    <row r="35" spans="2:42" x14ac:dyDescent="0.3">
      <c r="B35" s="11" t="s">
        <v>55</v>
      </c>
      <c r="C35" s="13"/>
      <c r="D35" s="11"/>
      <c r="E35" s="10">
        <f>SUM(E25:E34)</f>
        <v>54852068.158999987</v>
      </c>
      <c r="F35" s="10">
        <f t="shared" ref="F35:P35" si="7">SUM(F25:F34)</f>
        <v>54852068.158999987</v>
      </c>
      <c r="G35" s="10">
        <f t="shared" si="7"/>
        <v>57183281.055757493</v>
      </c>
      <c r="H35" s="10">
        <f t="shared" si="7"/>
        <v>55120677.594186746</v>
      </c>
      <c r="I35" s="10">
        <f t="shared" si="7"/>
        <v>54285444.628003307</v>
      </c>
      <c r="J35" s="10">
        <f t="shared" si="7"/>
        <v>50381154.778929442</v>
      </c>
      <c r="K35" s="10">
        <f t="shared" si="7"/>
        <v>48548245.462307595</v>
      </c>
      <c r="L35" s="10">
        <f t="shared" si="7"/>
        <v>38897767.614951797</v>
      </c>
      <c r="M35" s="10">
        <f t="shared" si="7"/>
        <v>28974006.853606753</v>
      </c>
      <c r="N35" s="10">
        <f t="shared" si="7"/>
        <v>20774099.15945366</v>
      </c>
      <c r="O35" s="10">
        <f t="shared" si="7"/>
        <v>13302873.000257093</v>
      </c>
      <c r="P35" s="10">
        <f t="shared" si="7"/>
        <v>13302873.000257093</v>
      </c>
      <c r="Q35" s="10">
        <f>SUM(Q25:Q34)</f>
        <v>0</v>
      </c>
      <c r="R35" s="42">
        <f>SUM(R25:R34)</f>
        <v>490474559.46571094</v>
      </c>
      <c r="S35" s="11"/>
      <c r="T35" s="42">
        <f>SUM(T25:T34)</f>
        <v>19785230</v>
      </c>
      <c r="U35" s="10">
        <f t="shared" ref="U35" si="8">SUM(U25:U34)</f>
        <v>19785230</v>
      </c>
      <c r="V35" s="10">
        <f t="shared" ref="V35" si="9">SUM(V25:V34)</f>
        <v>21763750</v>
      </c>
      <c r="W35" s="10">
        <f t="shared" ref="W35" si="10">SUM(W25:W34)</f>
        <v>19587375</v>
      </c>
      <c r="X35" s="10">
        <f t="shared" ref="X35" si="11">SUM(X25:X34)</f>
        <v>19152104</v>
      </c>
      <c r="Y35" s="10">
        <f t="shared" ref="Y35" si="12">SUM(Y25:Y34)</f>
        <v>16758091</v>
      </c>
      <c r="Z35" s="10">
        <f t="shared" ref="Z35" si="13">SUM(Z25:Z34)</f>
        <v>15800484</v>
      </c>
      <c r="AA35" s="10">
        <f t="shared" ref="AA35" si="14">SUM(AA25:AA34)</f>
        <v>10533656</v>
      </c>
      <c r="AB35" s="10">
        <f t="shared" ref="AB35" si="15">SUM(AB25:AB34)</f>
        <v>8690265</v>
      </c>
      <c r="AC35" s="10">
        <f t="shared" ref="AC35" si="16">SUM(AC25:AC34)</f>
        <v>5793510</v>
      </c>
      <c r="AD35" s="10">
        <f t="shared" ref="AD35" si="17">SUM(AD25:AD34)</f>
        <v>3186431</v>
      </c>
      <c r="AE35" s="10">
        <f t="shared" ref="AE35" si="18">SUM(AE25:AE34)</f>
        <v>3186431</v>
      </c>
      <c r="AF35" s="42">
        <f>SUM(AF25:AF34)</f>
        <v>164022557</v>
      </c>
      <c r="AG35" s="42">
        <f>SUM(AG25:AG34)</f>
        <v>654497115</v>
      </c>
      <c r="AH35" s="11">
        <f>SUM(AH25:AH34)</f>
        <v>50</v>
      </c>
      <c r="AI35" s="42">
        <f>SUM(AI25:AI34)</f>
        <v>3556559032</v>
      </c>
      <c r="AJ35" s="55"/>
      <c r="AK35" s="55"/>
      <c r="AL35" s="55"/>
      <c r="AM35" s="55"/>
      <c r="AN35" s="55"/>
      <c r="AO35" s="55"/>
      <c r="AP35" s="86"/>
    </row>
    <row r="36" spans="2:42" x14ac:dyDescent="0.3">
      <c r="AI36" s="55"/>
    </row>
    <row r="37" spans="2:42" x14ac:dyDescent="0.3">
      <c r="AI37" s="55"/>
      <c r="AM37" s="55"/>
      <c r="AO37" s="55"/>
    </row>
    <row r="38" spans="2:42" x14ac:dyDescent="0.3">
      <c r="E38" s="9" t="s">
        <v>31</v>
      </c>
      <c r="F38" s="9" t="s">
        <v>32</v>
      </c>
      <c r="G38" s="9" t="s">
        <v>33</v>
      </c>
      <c r="H38" s="85" t="s">
        <v>34</v>
      </c>
    </row>
    <row r="39" spans="2:42" x14ac:dyDescent="0.3">
      <c r="B39" s="11" t="s">
        <v>56</v>
      </c>
      <c r="C39" s="11"/>
      <c r="D39" s="64">
        <f>+D23</f>
        <v>3556559032</v>
      </c>
      <c r="E39" s="62">
        <f>+E23</f>
        <v>35</v>
      </c>
      <c r="F39" s="62">
        <f>+F23</f>
        <v>5</v>
      </c>
      <c r="G39" s="62">
        <f>+G23</f>
        <v>10</v>
      </c>
      <c r="H39" s="84">
        <f>SUM(E39:G39)</f>
        <v>50</v>
      </c>
      <c r="AI39" s="64">
        <f>AI35</f>
        <v>3556559032</v>
      </c>
    </row>
    <row r="40" spans="2:42" x14ac:dyDescent="0.3">
      <c r="D40" s="55"/>
      <c r="E40" s="86">
        <f>E39/H39</f>
        <v>0.7</v>
      </c>
      <c r="F40" s="86">
        <f>F39/H39</f>
        <v>0.1</v>
      </c>
      <c r="G40" s="86">
        <f>G39/H39</f>
        <v>0.2</v>
      </c>
    </row>
  </sheetData>
  <mergeCells count="1">
    <mergeCell ref="G2:M1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26174-F369-474C-B604-DF44BBDC710F}">
  <dimension ref="A2:AA33"/>
  <sheetViews>
    <sheetView topLeftCell="O1" zoomScale="90" zoomScaleNormal="90" workbookViewId="0">
      <selection activeCell="AA16" sqref="AA16"/>
    </sheetView>
  </sheetViews>
  <sheetFormatPr baseColWidth="10" defaultColWidth="11.44140625" defaultRowHeight="10.8" x14ac:dyDescent="0.3"/>
  <cols>
    <col min="1" max="1" width="15.6640625" style="15" customWidth="1"/>
    <col min="2" max="2" width="13" style="15" bestFit="1" customWidth="1"/>
    <col min="3" max="6" width="11.44140625" style="15" bestFit="1" customWidth="1"/>
    <col min="7" max="7" width="12.77734375" style="15" bestFit="1" customWidth="1"/>
    <col min="8" max="9" width="12" style="15" bestFit="1" customWidth="1"/>
    <col min="10" max="10" width="12.109375" style="15" bestFit="1" customWidth="1"/>
    <col min="11" max="12" width="11.44140625" style="15"/>
    <col min="13" max="13" width="17.44140625" style="15" customWidth="1"/>
    <col min="14" max="20" width="11.44140625" style="15" bestFit="1" customWidth="1"/>
    <col min="21" max="21" width="11.44140625" style="15"/>
    <col min="22" max="22" width="14.33203125" style="15" customWidth="1"/>
    <col min="23" max="25" width="11.44140625" style="15"/>
    <col min="26" max="26" width="14" style="15" customWidth="1"/>
    <col min="27" max="16384" width="11.44140625" style="15"/>
  </cols>
  <sheetData>
    <row r="2" spans="1:27" x14ac:dyDescent="0.3">
      <c r="A2" s="14" t="s">
        <v>57</v>
      </c>
      <c r="B2" s="15" t="s">
        <v>58</v>
      </c>
      <c r="M2" s="15" t="s">
        <v>59</v>
      </c>
      <c r="N2" s="15" t="s">
        <v>60</v>
      </c>
    </row>
    <row r="4" spans="1:27" x14ac:dyDescent="0.3">
      <c r="A4" s="16" t="s">
        <v>15</v>
      </c>
      <c r="B4" s="17" t="s">
        <v>61</v>
      </c>
      <c r="C4" s="17" t="s">
        <v>62</v>
      </c>
      <c r="D4" s="17" t="s">
        <v>63</v>
      </c>
      <c r="E4" s="17" t="s">
        <v>64</v>
      </c>
      <c r="F4" s="17" t="s">
        <v>65</v>
      </c>
      <c r="G4" s="17" t="s">
        <v>66</v>
      </c>
      <c r="H4" s="17" t="s">
        <v>67</v>
      </c>
      <c r="I4" s="17" t="s">
        <v>68</v>
      </c>
      <c r="J4" s="17" t="s">
        <v>69</v>
      </c>
      <c r="M4" s="14" t="s">
        <v>70</v>
      </c>
    </row>
    <row r="5" spans="1:27" x14ac:dyDescent="0.3">
      <c r="A5" s="18" t="s">
        <v>71</v>
      </c>
      <c r="B5" s="19">
        <v>2370104</v>
      </c>
      <c r="C5" s="19">
        <v>2562104</v>
      </c>
      <c r="D5" s="19"/>
      <c r="E5" s="19"/>
      <c r="F5" s="19"/>
      <c r="G5" s="19"/>
      <c r="H5" s="19"/>
      <c r="I5" s="19"/>
      <c r="J5" s="19"/>
    </row>
    <row r="6" spans="1:27" ht="21.6" x14ac:dyDescent="0.3">
      <c r="A6" s="18" t="s">
        <v>72</v>
      </c>
      <c r="B6" s="19"/>
      <c r="C6" s="19"/>
      <c r="D6" s="19">
        <v>3863485</v>
      </c>
      <c r="E6" s="19">
        <v>3153958</v>
      </c>
      <c r="F6" s="19">
        <v>3518078</v>
      </c>
      <c r="G6" s="19"/>
      <c r="H6" s="19"/>
      <c r="I6" s="19"/>
      <c r="J6" s="19"/>
      <c r="M6" s="20" t="s">
        <v>73</v>
      </c>
      <c r="N6" s="21" t="s">
        <v>74</v>
      </c>
      <c r="O6" s="21" t="s">
        <v>53</v>
      </c>
      <c r="P6" s="21" t="s">
        <v>75</v>
      </c>
      <c r="Q6" s="21" t="s">
        <v>76</v>
      </c>
      <c r="R6" s="21" t="s">
        <v>77</v>
      </c>
      <c r="S6" s="21" t="s">
        <v>78</v>
      </c>
      <c r="T6" s="21" t="s">
        <v>79</v>
      </c>
      <c r="U6" s="20" t="s">
        <v>80</v>
      </c>
      <c r="V6" s="20"/>
      <c r="W6" s="20" t="s">
        <v>81</v>
      </c>
      <c r="Y6" s="20" t="s">
        <v>82</v>
      </c>
      <c r="AA6" s="20" t="s">
        <v>83</v>
      </c>
    </row>
    <row r="7" spans="1:27" ht="21.6" x14ac:dyDescent="0.3">
      <c r="A7" s="18" t="s">
        <v>84</v>
      </c>
      <c r="B7" s="19"/>
      <c r="C7" s="19"/>
      <c r="D7" s="19"/>
      <c r="E7" s="19"/>
      <c r="F7" s="19">
        <v>6605726</v>
      </c>
      <c r="G7" s="19">
        <v>8203671</v>
      </c>
      <c r="H7" s="19">
        <v>6268084</v>
      </c>
      <c r="I7" s="19">
        <v>6368720</v>
      </c>
      <c r="J7" s="19">
        <v>30972163</v>
      </c>
      <c r="M7" s="22" t="s">
        <v>71</v>
      </c>
      <c r="N7" s="23">
        <v>3</v>
      </c>
      <c r="O7" s="23">
        <v>132</v>
      </c>
      <c r="P7" s="24">
        <v>3.6999999999999998E-2</v>
      </c>
      <c r="Q7" s="68">
        <v>2370104</v>
      </c>
      <c r="R7" s="68">
        <v>288835</v>
      </c>
      <c r="S7" s="25">
        <v>2283324</v>
      </c>
      <c r="T7" s="25">
        <v>2636514</v>
      </c>
      <c r="U7" s="26">
        <f>+N7*O7*Q7</f>
        <v>938561184</v>
      </c>
      <c r="V7" s="26"/>
      <c r="W7" s="73">
        <f>+U7/$U$17</f>
        <v>4.8608955746932371E-3</v>
      </c>
      <c r="Y7" s="71">
        <f>+Q7+R7</f>
        <v>2658939</v>
      </c>
      <c r="Z7" s="65">
        <f>+Y7*N7*O7</f>
        <v>1052939844</v>
      </c>
      <c r="AA7" s="76">
        <f>Z7/$Z$17</f>
        <v>3.5793759863408706E-3</v>
      </c>
    </row>
    <row r="8" spans="1:27" ht="21.6" x14ac:dyDescent="0.3">
      <c r="M8" s="22" t="s">
        <v>71</v>
      </c>
      <c r="N8" s="23">
        <v>4</v>
      </c>
      <c r="O8" s="23">
        <v>181</v>
      </c>
      <c r="P8" s="24">
        <v>5.0799999999999998E-2</v>
      </c>
      <c r="Q8" s="68">
        <v>2562104</v>
      </c>
      <c r="R8" s="68">
        <v>552872</v>
      </c>
      <c r="S8" s="25">
        <v>2640640</v>
      </c>
      <c r="T8" s="25">
        <v>2905276</v>
      </c>
      <c r="U8" s="26">
        <f t="shared" ref="U8:U16" si="0">+N8*O8*Q8</f>
        <v>1854963296</v>
      </c>
      <c r="V8" s="26"/>
      <c r="W8" s="73">
        <f t="shared" ref="W8:W16" si="1">+U8/$U$17</f>
        <v>9.6070272566745971E-3</v>
      </c>
      <c r="Y8" s="71">
        <f t="shared" ref="Y8:Y16" si="2">+Q8+R8</f>
        <v>3114976</v>
      </c>
      <c r="Z8" s="65">
        <f t="shared" ref="Z8:Z16" si="3">+Y8*N8*O8</f>
        <v>2255242624</v>
      </c>
      <c r="AA8" s="76">
        <f t="shared" ref="AA8:AA16" si="4">Z8/$Z$17</f>
        <v>7.6664980793698344E-3</v>
      </c>
    </row>
    <row r="9" spans="1:27" x14ac:dyDescent="0.3">
      <c r="A9" s="16" t="s">
        <v>15</v>
      </c>
      <c r="B9" s="17" t="s">
        <v>61</v>
      </c>
      <c r="C9" s="17" t="s">
        <v>62</v>
      </c>
      <c r="D9" s="17" t="s">
        <v>63</v>
      </c>
      <c r="E9" s="17" t="s">
        <v>64</v>
      </c>
      <c r="F9" s="17" t="s">
        <v>65</v>
      </c>
      <c r="G9" s="17" t="s">
        <v>66</v>
      </c>
      <c r="H9" s="17" t="s">
        <v>67</v>
      </c>
      <c r="I9" s="17" t="s">
        <v>68</v>
      </c>
      <c r="J9" s="17" t="s">
        <v>69</v>
      </c>
      <c r="M9" s="22" t="s">
        <v>72</v>
      </c>
      <c r="N9" s="23">
        <v>5</v>
      </c>
      <c r="O9" s="23">
        <v>60</v>
      </c>
      <c r="P9" s="24">
        <v>1.6799999999999999E-2</v>
      </c>
      <c r="Q9" s="68">
        <v>3973662</v>
      </c>
      <c r="R9" s="68">
        <v>912833</v>
      </c>
      <c r="S9" s="25">
        <v>4013536</v>
      </c>
      <c r="T9" s="25">
        <v>4349299</v>
      </c>
      <c r="U9" s="26">
        <f t="shared" si="0"/>
        <v>1192098600</v>
      </c>
      <c r="V9" s="26"/>
      <c r="W9" s="73">
        <f t="shared" si="1"/>
        <v>6.1739894085988574E-3</v>
      </c>
      <c r="Y9" s="71">
        <f t="shared" si="2"/>
        <v>4886495</v>
      </c>
      <c r="Z9" s="65">
        <f t="shared" si="3"/>
        <v>1465948500</v>
      </c>
      <c r="AA9" s="76">
        <f t="shared" si="4"/>
        <v>4.9833624285495455E-3</v>
      </c>
    </row>
    <row r="10" spans="1:27" x14ac:dyDescent="0.3">
      <c r="A10" s="27" t="s">
        <v>85</v>
      </c>
      <c r="B10" s="28">
        <v>132</v>
      </c>
      <c r="C10" s="28">
        <v>181</v>
      </c>
      <c r="D10" s="29"/>
      <c r="E10" s="29"/>
      <c r="F10" s="29"/>
      <c r="G10" s="29"/>
      <c r="H10" s="29"/>
      <c r="I10" s="29"/>
      <c r="J10" s="29"/>
      <c r="M10" s="22" t="s">
        <v>72</v>
      </c>
      <c r="N10" s="23">
        <v>6</v>
      </c>
      <c r="O10" s="23">
        <v>220</v>
      </c>
      <c r="P10" s="24">
        <v>6.1699999999999998E-2</v>
      </c>
      <c r="Q10" s="68">
        <v>3153958</v>
      </c>
      <c r="R10" s="68">
        <v>909812</v>
      </c>
      <c r="S10" s="25">
        <v>2921174</v>
      </c>
      <c r="T10" s="25">
        <v>3644185</v>
      </c>
      <c r="U10" s="26">
        <f t="shared" si="0"/>
        <v>4163224560</v>
      </c>
      <c r="V10" s="26"/>
      <c r="W10" s="73">
        <f t="shared" si="1"/>
        <v>2.1561726806036546E-2</v>
      </c>
      <c r="Y10" s="71">
        <f t="shared" si="2"/>
        <v>4063770</v>
      </c>
      <c r="Z10" s="65">
        <f t="shared" si="3"/>
        <v>5364176400</v>
      </c>
      <c r="AA10" s="76">
        <f t="shared" si="4"/>
        <v>1.8235043817618531E-2</v>
      </c>
    </row>
    <row r="11" spans="1:27" x14ac:dyDescent="0.3">
      <c r="A11" s="27" t="s">
        <v>72</v>
      </c>
      <c r="B11" s="29"/>
      <c r="C11" s="29"/>
      <c r="D11" s="28">
        <v>59</v>
      </c>
      <c r="E11" s="28">
        <v>220</v>
      </c>
      <c r="F11" s="28">
        <v>111</v>
      </c>
      <c r="G11" s="29"/>
      <c r="H11" s="29"/>
      <c r="I11" s="29"/>
      <c r="J11" s="29"/>
      <c r="M11" s="22" t="s">
        <v>72</v>
      </c>
      <c r="N11" s="23">
        <v>7</v>
      </c>
      <c r="O11" s="23">
        <v>111</v>
      </c>
      <c r="P11" s="24">
        <v>3.1099999999999999E-2</v>
      </c>
      <c r="Q11" s="68">
        <v>3518078</v>
      </c>
      <c r="R11" s="68">
        <v>1602658</v>
      </c>
      <c r="S11" s="25">
        <v>3518078</v>
      </c>
      <c r="T11" s="25">
        <v>4084703</v>
      </c>
      <c r="U11" s="26">
        <f t="shared" si="0"/>
        <v>2733546606</v>
      </c>
      <c r="V11" s="26"/>
      <c r="W11" s="73">
        <f t="shared" si="1"/>
        <v>1.4157291849311252E-2</v>
      </c>
      <c r="Y11" s="71">
        <f t="shared" si="2"/>
        <v>5120736</v>
      </c>
      <c r="Z11" s="65">
        <f t="shared" si="3"/>
        <v>3978811872</v>
      </c>
      <c r="AA11" s="76">
        <f t="shared" si="4"/>
        <v>1.3525619483352713E-2</v>
      </c>
    </row>
    <row r="12" spans="1:27" x14ac:dyDescent="0.3">
      <c r="A12" s="27" t="s">
        <v>84</v>
      </c>
      <c r="B12" s="29"/>
      <c r="C12" s="29"/>
      <c r="D12" s="29"/>
      <c r="E12" s="29"/>
      <c r="F12" s="28">
        <v>87</v>
      </c>
      <c r="G12" s="28">
        <v>1702</v>
      </c>
      <c r="H12" s="28">
        <v>479</v>
      </c>
      <c r="I12" s="28">
        <v>593</v>
      </c>
      <c r="J12" s="28">
        <v>7</v>
      </c>
      <c r="M12" s="22" t="s">
        <v>84</v>
      </c>
      <c r="N12" s="23">
        <v>7</v>
      </c>
      <c r="O12" s="23">
        <v>87</v>
      </c>
      <c r="P12" s="24">
        <v>2.4400000000000002E-2</v>
      </c>
      <c r="Q12" s="69">
        <v>6605726</v>
      </c>
      <c r="R12" s="69">
        <v>0</v>
      </c>
      <c r="S12" s="25">
        <v>6605726</v>
      </c>
      <c r="T12" s="25">
        <v>6605726</v>
      </c>
      <c r="U12" s="26">
        <f t="shared" si="0"/>
        <v>4022887134</v>
      </c>
      <c r="V12" s="26"/>
      <c r="W12" s="73">
        <f t="shared" si="1"/>
        <v>2.0834906237877145E-2</v>
      </c>
      <c r="Y12" s="71">
        <f t="shared" si="2"/>
        <v>6605726</v>
      </c>
      <c r="Z12" s="65">
        <f t="shared" si="3"/>
        <v>4022887134</v>
      </c>
      <c r="AA12" s="76">
        <f t="shared" si="4"/>
        <v>1.3675449443054079E-2</v>
      </c>
    </row>
    <row r="13" spans="1:27" x14ac:dyDescent="0.3">
      <c r="M13" s="22" t="s">
        <v>84</v>
      </c>
      <c r="N13" s="23">
        <v>8</v>
      </c>
      <c r="O13" s="25">
        <v>1692</v>
      </c>
      <c r="P13" s="24">
        <v>0.47449999999999998</v>
      </c>
      <c r="Q13" s="68">
        <v>8133378</v>
      </c>
      <c r="R13" s="68">
        <v>4950596</v>
      </c>
      <c r="S13" s="25">
        <v>6841239</v>
      </c>
      <c r="T13" s="25">
        <v>8805400</v>
      </c>
      <c r="U13" s="26">
        <f t="shared" si="0"/>
        <v>110093404608</v>
      </c>
      <c r="V13" s="26"/>
      <c r="W13" s="73">
        <f t="shared" si="1"/>
        <v>0.5701839713647685</v>
      </c>
      <c r="Y13" s="71">
        <f t="shared" si="2"/>
        <v>13083974</v>
      </c>
      <c r="Z13" s="65">
        <f t="shared" si="3"/>
        <v>177104672064</v>
      </c>
      <c r="AA13" s="76">
        <f t="shared" si="4"/>
        <v>0.60205168782145202</v>
      </c>
    </row>
    <row r="14" spans="1:27" x14ac:dyDescent="0.3">
      <c r="A14" s="14" t="s">
        <v>34</v>
      </c>
      <c r="B14" s="14">
        <f>SUM(B10:J12)</f>
        <v>3571</v>
      </c>
      <c r="M14" s="22" t="s">
        <v>84</v>
      </c>
      <c r="N14" s="23">
        <v>9</v>
      </c>
      <c r="O14" s="23">
        <v>489</v>
      </c>
      <c r="P14" s="24">
        <v>0.1371</v>
      </c>
      <c r="Q14" s="68">
        <v>6544698</v>
      </c>
      <c r="R14" s="68">
        <v>3128942</v>
      </c>
      <c r="S14" s="25">
        <v>5955881</v>
      </c>
      <c r="T14" s="25">
        <v>7766345</v>
      </c>
      <c r="U14" s="26">
        <f t="shared" si="0"/>
        <v>28803215898</v>
      </c>
      <c r="V14" s="26"/>
      <c r="W14" s="73">
        <f t="shared" si="1"/>
        <v>0.14917453127437463</v>
      </c>
      <c r="Y14" s="71">
        <f t="shared" si="2"/>
        <v>9673640</v>
      </c>
      <c r="Z14" s="65">
        <f t="shared" si="3"/>
        <v>42573689640</v>
      </c>
      <c r="AA14" s="76">
        <f t="shared" si="4"/>
        <v>0.14472549710764399</v>
      </c>
    </row>
    <row r="15" spans="1:27" x14ac:dyDescent="0.3">
      <c r="A15" s="14"/>
      <c r="B15" s="14"/>
      <c r="M15" s="22" t="s">
        <v>84</v>
      </c>
      <c r="N15" s="23">
        <v>10</v>
      </c>
      <c r="O15" s="23">
        <v>594</v>
      </c>
      <c r="P15" s="24">
        <v>0.1666</v>
      </c>
      <c r="Q15" s="68">
        <v>6397681</v>
      </c>
      <c r="R15" s="68">
        <v>2873414</v>
      </c>
      <c r="S15" s="25">
        <v>6577360</v>
      </c>
      <c r="T15" s="25">
        <v>8001346</v>
      </c>
      <c r="U15" s="26">
        <f t="shared" si="0"/>
        <v>38002225140</v>
      </c>
      <c r="V15" s="26"/>
      <c r="W15" s="73">
        <f t="shared" si="1"/>
        <v>0.19681705482881134</v>
      </c>
      <c r="Y15" s="71">
        <f t="shared" si="2"/>
        <v>9271095</v>
      </c>
      <c r="Z15" s="65">
        <f t="shared" si="3"/>
        <v>55070304300</v>
      </c>
      <c r="AA15" s="76">
        <f t="shared" si="4"/>
        <v>0.18720663473335555</v>
      </c>
    </row>
    <row r="16" spans="1:27" x14ac:dyDescent="0.3">
      <c r="A16" s="16" t="s">
        <v>15</v>
      </c>
      <c r="B16" s="17" t="s">
        <v>61</v>
      </c>
      <c r="C16" s="17" t="s">
        <v>62</v>
      </c>
      <c r="D16" s="17" t="s">
        <v>63</v>
      </c>
      <c r="E16" s="17" t="s">
        <v>64</v>
      </c>
      <c r="F16" s="17" t="s">
        <v>65</v>
      </c>
      <c r="G16" s="17" t="s">
        <v>66</v>
      </c>
      <c r="H16" s="17" t="s">
        <v>67</v>
      </c>
      <c r="I16" s="17" t="s">
        <v>68</v>
      </c>
      <c r="J16" s="17" t="s">
        <v>69</v>
      </c>
      <c r="M16" s="30" t="s">
        <v>84</v>
      </c>
      <c r="N16" s="31">
        <v>12</v>
      </c>
      <c r="O16" s="32">
        <f>+J12</f>
        <v>7</v>
      </c>
      <c r="P16" s="32"/>
      <c r="Q16" s="70">
        <v>15236639</v>
      </c>
      <c r="R16" s="70">
        <v>0</v>
      </c>
      <c r="S16" s="33">
        <v>14308023</v>
      </c>
      <c r="T16" s="32"/>
      <c r="U16" s="67">
        <f t="shared" si="0"/>
        <v>1279877676</v>
      </c>
      <c r="V16" s="67"/>
      <c r="W16" s="74">
        <f t="shared" si="1"/>
        <v>6.6286053988538537E-3</v>
      </c>
      <c r="X16" s="34" t="s">
        <v>86</v>
      </c>
      <c r="Y16" s="71">
        <f t="shared" si="2"/>
        <v>15236639</v>
      </c>
      <c r="Z16" s="66">
        <f t="shared" si="3"/>
        <v>1279877676</v>
      </c>
      <c r="AA16" s="76">
        <f t="shared" si="4"/>
        <v>4.3508310992628378E-3</v>
      </c>
    </row>
    <row r="17" spans="1:26" x14ac:dyDescent="0.3">
      <c r="A17" s="18" t="s">
        <v>71</v>
      </c>
      <c r="B17" s="19">
        <f>+B10*B5</f>
        <v>312853728</v>
      </c>
      <c r="C17" s="19">
        <f t="shared" ref="C17:J17" si="5">+C10*C5</f>
        <v>463740824</v>
      </c>
      <c r="D17" s="19">
        <f t="shared" si="5"/>
        <v>0</v>
      </c>
      <c r="E17" s="19">
        <f t="shared" si="5"/>
        <v>0</v>
      </c>
      <c r="F17" s="19">
        <f t="shared" si="5"/>
        <v>0</v>
      </c>
      <c r="G17" s="19">
        <f t="shared" si="5"/>
        <v>0</v>
      </c>
      <c r="H17" s="19">
        <f t="shared" si="5"/>
        <v>0</v>
      </c>
      <c r="I17" s="19">
        <f t="shared" si="5"/>
        <v>0</v>
      </c>
      <c r="J17" s="19">
        <f t="shared" si="5"/>
        <v>0</v>
      </c>
      <c r="O17" s="15">
        <f>SUM(O7:O16)</f>
        <v>3573</v>
      </c>
      <c r="U17" s="26">
        <f>SUM(U7:U16)</f>
        <v>193084004702</v>
      </c>
      <c r="V17" s="26"/>
      <c r="W17" s="75">
        <f>SUM(W7:W16)</f>
        <v>1</v>
      </c>
      <c r="Z17" s="26">
        <f>SUM(Z7:Z16)</f>
        <v>294168550054</v>
      </c>
    </row>
    <row r="18" spans="1:26" x14ac:dyDescent="0.3">
      <c r="A18" s="18" t="s">
        <v>72</v>
      </c>
      <c r="B18" s="19">
        <f t="shared" ref="B18:J19" si="6">+B11*B6</f>
        <v>0</v>
      </c>
      <c r="C18" s="19">
        <f t="shared" si="6"/>
        <v>0</v>
      </c>
      <c r="D18" s="19">
        <f t="shared" si="6"/>
        <v>227945615</v>
      </c>
      <c r="E18" s="19">
        <f t="shared" si="6"/>
        <v>693870760</v>
      </c>
      <c r="F18" s="19">
        <f t="shared" si="6"/>
        <v>390506658</v>
      </c>
      <c r="G18" s="19">
        <f t="shared" si="6"/>
        <v>0</v>
      </c>
      <c r="H18" s="19">
        <f t="shared" si="6"/>
        <v>0</v>
      </c>
      <c r="I18" s="19">
        <f t="shared" si="6"/>
        <v>0</v>
      </c>
      <c r="J18" s="19">
        <f t="shared" si="6"/>
        <v>0</v>
      </c>
      <c r="V18" s="26"/>
    </row>
    <row r="19" spans="1:26" x14ac:dyDescent="0.3">
      <c r="A19" s="18" t="s">
        <v>84</v>
      </c>
      <c r="B19" s="19">
        <f t="shared" si="6"/>
        <v>0</v>
      </c>
      <c r="C19" s="19">
        <f t="shared" si="6"/>
        <v>0</v>
      </c>
      <c r="D19" s="19">
        <f t="shared" si="6"/>
        <v>0</v>
      </c>
      <c r="E19" s="19">
        <f t="shared" si="6"/>
        <v>0</v>
      </c>
      <c r="F19" s="19">
        <f t="shared" si="6"/>
        <v>574698162</v>
      </c>
      <c r="G19" s="19">
        <f t="shared" si="6"/>
        <v>13962648042</v>
      </c>
      <c r="H19" s="19">
        <f t="shared" si="6"/>
        <v>3002412236</v>
      </c>
      <c r="I19" s="19">
        <f t="shared" si="6"/>
        <v>3776650960</v>
      </c>
      <c r="J19" s="19">
        <f t="shared" si="6"/>
        <v>216805141</v>
      </c>
    </row>
    <row r="21" spans="1:26" x14ac:dyDescent="0.3">
      <c r="A21" s="15" t="s">
        <v>87</v>
      </c>
      <c r="B21" s="26">
        <f>SUM(B17:J19)</f>
        <v>23622132126</v>
      </c>
    </row>
    <row r="23" spans="1:26" x14ac:dyDescent="0.3">
      <c r="A23" s="35" t="s">
        <v>15</v>
      </c>
      <c r="B23" s="36" t="s">
        <v>74</v>
      </c>
      <c r="C23" s="36" t="s">
        <v>88</v>
      </c>
      <c r="D23" s="36" t="s">
        <v>89</v>
      </c>
    </row>
    <row r="24" spans="1:26" x14ac:dyDescent="0.3">
      <c r="A24" s="102" t="s">
        <v>90</v>
      </c>
      <c r="B24" s="37">
        <v>3</v>
      </c>
      <c r="C24" s="38">
        <f>+B17/$B$21</f>
        <v>1.3244093561548306E-2</v>
      </c>
      <c r="D24" s="39">
        <f>+B5</f>
        <v>2370104</v>
      </c>
    </row>
    <row r="25" spans="1:26" x14ac:dyDescent="0.3">
      <c r="A25" s="102"/>
      <c r="B25" s="37">
        <v>4</v>
      </c>
      <c r="C25" s="38">
        <f>+C17/$B$21</f>
        <v>1.9631624339683452E-2</v>
      </c>
      <c r="D25" s="39">
        <f>+C5</f>
        <v>2562104</v>
      </c>
    </row>
    <row r="26" spans="1:26" x14ac:dyDescent="0.3">
      <c r="A26" s="103" t="s">
        <v>72</v>
      </c>
      <c r="B26" s="37">
        <v>5</v>
      </c>
      <c r="C26" s="38">
        <f>+D18/$B$21</f>
        <v>9.649663027204422E-3</v>
      </c>
      <c r="D26" s="39">
        <f>+D6</f>
        <v>3863485</v>
      </c>
    </row>
    <row r="27" spans="1:26" x14ac:dyDescent="0.3">
      <c r="A27" s="103"/>
      <c r="B27" s="37">
        <v>6</v>
      </c>
      <c r="C27" s="38">
        <f>+E18/$B$21</f>
        <v>2.9373756623614949E-2</v>
      </c>
      <c r="D27" s="39">
        <f>+E6</f>
        <v>3153958</v>
      </c>
    </row>
    <row r="28" spans="1:26" x14ac:dyDescent="0.3">
      <c r="A28" s="103"/>
      <c r="B28" s="37">
        <v>7</v>
      </c>
      <c r="C28" s="38">
        <f>+F18/$B$21</f>
        <v>1.6531389119197409E-2</v>
      </c>
      <c r="D28" s="39">
        <f>+F6</f>
        <v>3518078</v>
      </c>
    </row>
    <row r="29" spans="1:26" x14ac:dyDescent="0.3">
      <c r="A29" s="103" t="s">
        <v>84</v>
      </c>
      <c r="B29" s="37">
        <v>7</v>
      </c>
      <c r="C29" s="38">
        <f>+F19/$B$21</f>
        <v>2.4328801436490619E-2</v>
      </c>
      <c r="D29" s="39">
        <f>+F7</f>
        <v>6605726</v>
      </c>
    </row>
    <row r="30" spans="1:26" x14ac:dyDescent="0.3">
      <c r="A30" s="103"/>
      <c r="B30" s="37">
        <v>8</v>
      </c>
      <c r="C30" s="38">
        <f>+G19/$B$21</f>
        <v>0.59108330981824597</v>
      </c>
      <c r="D30" s="39">
        <f>+G7</f>
        <v>8203671</v>
      </c>
    </row>
    <row r="31" spans="1:26" x14ac:dyDescent="0.3">
      <c r="A31" s="103"/>
      <c r="B31" s="37">
        <v>9</v>
      </c>
      <c r="C31" s="38">
        <f>+H19/$B$21</f>
        <v>0.12710166127194575</v>
      </c>
      <c r="D31" s="39">
        <f>+H7</f>
        <v>6268084</v>
      </c>
    </row>
    <row r="32" spans="1:26" x14ac:dyDescent="0.3">
      <c r="A32" s="103"/>
      <c r="B32" s="37">
        <v>10</v>
      </c>
      <c r="C32" s="38">
        <f>+I19/$B$21</f>
        <v>0.15987764947953961</v>
      </c>
      <c r="D32" s="39">
        <f>+I7</f>
        <v>6368720</v>
      </c>
    </row>
    <row r="33" spans="1:4" x14ac:dyDescent="0.3">
      <c r="A33" s="103"/>
      <c r="B33" s="37">
        <v>12</v>
      </c>
      <c r="C33" s="38">
        <f>+J19/$B$21</f>
        <v>9.1780513225294628E-3</v>
      </c>
      <c r="D33" s="39">
        <f>+J7</f>
        <v>30972163</v>
      </c>
    </row>
  </sheetData>
  <sheetProtection algorithmName="SHA-512" hashValue="2gmc6SPT292lX/4s2QgOc8Hkxq1v9rn3ESmIY7lAFho+yL3c/NvzYDZtOJ/Mp3RaXFDMR0ZIib25FFkcO4rSZw==" saltValue="olAOMm++L6HB1RrAy0Yvzg==" spinCount="100000" sheet="1" objects="1" scenarios="1"/>
  <mergeCells count="3">
    <mergeCell ref="A24:A25"/>
    <mergeCell ref="A26:A28"/>
    <mergeCell ref="A29:A33"/>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B94A0-513B-42F3-819B-07D28702729D}">
  <dimension ref="A1:J15"/>
  <sheetViews>
    <sheetView workbookViewId="0">
      <selection activeCell="D18" sqref="D18"/>
    </sheetView>
  </sheetViews>
  <sheetFormatPr baseColWidth="10" defaultColWidth="11.44140625" defaultRowHeight="14.4" x14ac:dyDescent="0.3"/>
  <cols>
    <col min="2" max="2" width="14" bestFit="1" customWidth="1"/>
    <col min="3" max="4" width="17.6640625" bestFit="1" customWidth="1"/>
    <col min="5" max="5" width="15.109375" bestFit="1" customWidth="1"/>
    <col min="6" max="6" width="12.44140625" customWidth="1"/>
    <col min="7" max="7" width="13.109375" customWidth="1"/>
    <col min="8" max="8" width="11.44140625" bestFit="1" customWidth="1"/>
    <col min="9" max="10" width="18.33203125" customWidth="1"/>
    <col min="11" max="11" width="14.44140625" customWidth="1"/>
  </cols>
  <sheetData>
    <row r="1" spans="1:10" s="54" customFormat="1" x14ac:dyDescent="0.3">
      <c r="A1" s="53" t="s">
        <v>91</v>
      </c>
      <c r="B1" s="53" t="s">
        <v>92</v>
      </c>
      <c r="C1" s="53" t="s">
        <v>93</v>
      </c>
      <c r="D1" s="53" t="s">
        <v>94</v>
      </c>
      <c r="E1" s="53" t="s">
        <v>34</v>
      </c>
      <c r="F1" s="53" t="s">
        <v>95</v>
      </c>
      <c r="G1" s="53" t="s">
        <v>96</v>
      </c>
    </row>
    <row r="2" spans="1:10" x14ac:dyDescent="0.3">
      <c r="A2" s="45" t="s">
        <v>97</v>
      </c>
      <c r="B2" s="46" t="s">
        <v>98</v>
      </c>
      <c r="C2" s="47">
        <v>2041176000</v>
      </c>
      <c r="D2" s="47">
        <v>853376000</v>
      </c>
      <c r="E2" s="48">
        <f t="shared" ref="E2" si="0">SUM(C2:D2)</f>
        <v>2894552000</v>
      </c>
      <c r="F2" s="57">
        <v>40</v>
      </c>
      <c r="G2" s="57">
        <v>40</v>
      </c>
    </row>
    <row r="3" spans="1:10" x14ac:dyDescent="0.3">
      <c r="A3" s="45" t="s">
        <v>97</v>
      </c>
      <c r="B3" s="46" t="s">
        <v>99</v>
      </c>
      <c r="C3" s="47">
        <v>1134000000</v>
      </c>
      <c r="D3" s="47">
        <v>281000000</v>
      </c>
      <c r="E3" s="51">
        <f>SUM(C3:D3)</f>
        <v>1415000000</v>
      </c>
      <c r="F3" s="57">
        <v>40</v>
      </c>
      <c r="G3" s="58">
        <v>40</v>
      </c>
    </row>
    <row r="4" spans="1:10" x14ac:dyDescent="0.3">
      <c r="A4" s="45" t="s">
        <v>97</v>
      </c>
      <c r="B4" s="46" t="s">
        <v>100</v>
      </c>
      <c r="C4" s="47">
        <v>118573833</v>
      </c>
      <c r="D4" s="47">
        <v>90009391</v>
      </c>
      <c r="E4" s="48">
        <f t="shared" ref="E4" si="1">SUM(C4:D4)</f>
        <v>208583224</v>
      </c>
      <c r="F4" s="57">
        <v>6</v>
      </c>
      <c r="G4" s="58">
        <v>6</v>
      </c>
    </row>
    <row r="5" spans="1:10" x14ac:dyDescent="0.3">
      <c r="A5" s="45" t="s">
        <v>97</v>
      </c>
      <c r="B5" s="49" t="s">
        <v>101</v>
      </c>
      <c r="C5" s="47">
        <v>2400000000</v>
      </c>
      <c r="D5" s="47">
        <v>460000000</v>
      </c>
      <c r="E5" s="50">
        <f t="shared" ref="E5:E6" si="2">SUM(C5:D5)</f>
        <v>2860000000</v>
      </c>
      <c r="F5" s="57">
        <v>25</v>
      </c>
      <c r="G5" s="58">
        <v>25</v>
      </c>
    </row>
    <row r="6" spans="1:10" x14ac:dyDescent="0.3">
      <c r="A6" s="45" t="s">
        <v>97</v>
      </c>
      <c r="B6" s="49" t="s">
        <v>102</v>
      </c>
      <c r="C6" s="47">
        <v>1095000000</v>
      </c>
      <c r="D6" s="47">
        <v>275000000</v>
      </c>
      <c r="E6" s="50">
        <f t="shared" si="2"/>
        <v>1370000000</v>
      </c>
      <c r="F6" s="57">
        <v>18</v>
      </c>
      <c r="G6" s="58">
        <v>18</v>
      </c>
    </row>
    <row r="7" spans="1:10" x14ac:dyDescent="0.3">
      <c r="A7" s="52" t="s">
        <v>103</v>
      </c>
      <c r="B7" s="52"/>
      <c r="C7" s="52">
        <f>SUM(C2:C6)</f>
        <v>6788749833</v>
      </c>
      <c r="D7" s="52">
        <f t="shared" ref="D7:E7" si="3">SUM(D2:D6)</f>
        <v>1959385391</v>
      </c>
      <c r="E7" s="52">
        <f t="shared" si="3"/>
        <v>8748135224</v>
      </c>
      <c r="F7" s="56">
        <f>SUM(F2:F6)</f>
        <v>129</v>
      </c>
      <c r="G7" s="56">
        <f>SUM(G2:G6)</f>
        <v>129</v>
      </c>
    </row>
    <row r="9" spans="1:10" x14ac:dyDescent="0.3">
      <c r="A9" s="53" t="s">
        <v>91</v>
      </c>
      <c r="B9" s="53" t="s">
        <v>92</v>
      </c>
      <c r="C9" s="53" t="s">
        <v>104</v>
      </c>
      <c r="D9" s="53" t="s">
        <v>105</v>
      </c>
      <c r="E9" s="53" t="s">
        <v>106</v>
      </c>
      <c r="J9" s="55"/>
    </row>
    <row r="10" spans="1:10" x14ac:dyDescent="0.3">
      <c r="A10" s="45" t="s">
        <v>97</v>
      </c>
      <c r="B10" s="46" t="s">
        <v>98</v>
      </c>
      <c r="C10" s="47">
        <v>955613409.69373345</v>
      </c>
      <c r="D10" s="47">
        <v>1064672232.1362013</v>
      </c>
      <c r="E10" s="48">
        <f>+D10-C10</f>
        <v>109058822.44246781</v>
      </c>
    </row>
    <row r="11" spans="1:10" x14ac:dyDescent="0.3">
      <c r="A11" s="45" t="s">
        <v>97</v>
      </c>
      <c r="B11" s="46" t="s">
        <v>99</v>
      </c>
      <c r="C11" s="47">
        <v>416580621.8627876</v>
      </c>
      <c r="D11" s="47">
        <v>482902513.26909405</v>
      </c>
      <c r="E11" s="51">
        <f t="shared" ref="E11:E14" si="4">+D11-C11</f>
        <v>66321891.406306446</v>
      </c>
    </row>
    <row r="12" spans="1:10" x14ac:dyDescent="0.3">
      <c r="A12" s="45" t="s">
        <v>97</v>
      </c>
      <c r="B12" s="46" t="s">
        <v>100</v>
      </c>
      <c r="C12" s="47">
        <v>44077376.947378688</v>
      </c>
      <c r="D12" s="47">
        <v>51481772.235214025</v>
      </c>
      <c r="E12" s="48">
        <f t="shared" si="4"/>
        <v>7404395.2878353372</v>
      </c>
    </row>
    <row r="13" spans="1:10" x14ac:dyDescent="0.3">
      <c r="A13" s="45" t="s">
        <v>97</v>
      </c>
      <c r="B13" s="49" t="s">
        <v>101</v>
      </c>
      <c r="C13" s="47">
        <v>151070710.88640738</v>
      </c>
      <c r="D13" s="47">
        <v>276191600.19370925</v>
      </c>
      <c r="E13" s="50">
        <f t="shared" si="4"/>
        <v>125120889.30730188</v>
      </c>
    </row>
    <row r="14" spans="1:10" x14ac:dyDescent="0.3">
      <c r="A14" s="45" t="s">
        <v>97</v>
      </c>
      <c r="B14" s="49" t="s">
        <v>102</v>
      </c>
      <c r="C14" s="47">
        <v>0</v>
      </c>
      <c r="D14" s="47">
        <v>49723779.899705701</v>
      </c>
      <c r="E14" s="50">
        <f t="shared" si="4"/>
        <v>49723779.899705701</v>
      </c>
    </row>
    <row r="15" spans="1:10" x14ac:dyDescent="0.3">
      <c r="A15" s="52" t="s">
        <v>103</v>
      </c>
      <c r="B15" s="52"/>
      <c r="C15" s="52">
        <f>+C10+C11+C12+C13</f>
        <v>1567342119.3903069</v>
      </c>
      <c r="D15" s="52">
        <f>+D10+D11+D12+D13</f>
        <v>1875248117.8342185</v>
      </c>
      <c r="E15" s="52">
        <f>+E10+E11+E12+E13</f>
        <v>307905998.44391143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Variables</vt:lpstr>
      <vt:lpstr>Indice y Definiciones</vt:lpstr>
      <vt:lpstr>Calculadora V2026</vt:lpstr>
      <vt:lpstr>Data SAIGC</vt:lpstr>
      <vt:lpstr>Sumapaz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Ubadel Jose Ortega Gonzalez</dc:creator>
  <cp:keywords/>
  <dc:description/>
  <cp:lastModifiedBy>Jaime Camilo Roncancio Jaramillo</cp:lastModifiedBy>
  <cp:revision/>
  <dcterms:created xsi:type="dcterms:W3CDTF">2026-07-02T13:56:44Z</dcterms:created>
  <dcterms:modified xsi:type="dcterms:W3CDTF">2026-08-14T16:36:23Z</dcterms:modified>
  <cp:category/>
  <cp:contentStatus/>
</cp:coreProperties>
</file>