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dimelza_mendoza_gobiernobogota_gov_co/Documents/AL de Fontibón/Procesos contractuales Func - Inv. func/2026/Ascensor/20260721 Ascensor definitivo/"/>
    </mc:Choice>
  </mc:AlternateContent>
  <xr:revisionPtr revIDLastSave="0" documentId="8_{39C6ED62-4740-4AB8-B60B-EC7FE7730884}" xr6:coauthVersionLast="47" xr6:coauthVersionMax="47" xr10:uidLastSave="{00000000-0000-0000-0000-000000000000}"/>
  <bookViews>
    <workbookView xWindow="-120" yWindow="-120" windowWidth="20730" windowHeight="11160" xr2:uid="{6430BF59-F0B9-4126-8EA5-A6BB14C78BB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33" i="1" l="1"/>
  <c r="Y36" i="1"/>
  <c r="AC36" i="1"/>
  <c r="Y10" i="1"/>
  <c r="Y9" i="1"/>
  <c r="Z9" i="1"/>
  <c r="Y8" i="1"/>
  <c r="Z35" i="1"/>
  <c r="Y35" i="1"/>
  <c r="Y34" i="1"/>
  <c r="Y33" i="1"/>
  <c r="Y31" i="1"/>
  <c r="Z31" i="1"/>
  <c r="Z30" i="1"/>
  <c r="Y30" i="1"/>
  <c r="Y29" i="1"/>
  <c r="Z29" i="1"/>
  <c r="Z28" i="1"/>
  <c r="Y28" i="1"/>
  <c r="Y27" i="1"/>
  <c r="Z27" i="1"/>
  <c r="Y26" i="1"/>
  <c r="F8" i="1"/>
  <c r="J8" i="1"/>
  <c r="T30" i="1"/>
  <c r="T16" i="1"/>
  <c r="T11" i="1"/>
  <c r="R35" i="1"/>
  <c r="S35" i="1" s="1"/>
  <c r="T35" i="1" s="1"/>
  <c r="R34" i="1"/>
  <c r="S34" i="1" s="1"/>
  <c r="T34" i="1" s="1"/>
  <c r="R33" i="1"/>
  <c r="S33" i="1" s="1"/>
  <c r="T33" i="1" s="1"/>
  <c r="R31" i="1"/>
  <c r="S31" i="1" s="1"/>
  <c r="T31" i="1" s="1"/>
  <c r="R30" i="1"/>
  <c r="S30" i="1" s="1"/>
  <c r="R29" i="1"/>
  <c r="S29" i="1" s="1"/>
  <c r="T29" i="1" s="1"/>
  <c r="R28" i="1"/>
  <c r="S28" i="1" s="1"/>
  <c r="T28" i="1" s="1"/>
  <c r="R27" i="1"/>
  <c r="S27" i="1" s="1"/>
  <c r="T27" i="1" s="1"/>
  <c r="R26" i="1"/>
  <c r="S26" i="1" s="1"/>
  <c r="T26" i="1" s="1"/>
  <c r="R25" i="1"/>
  <c r="S25" i="1" s="1"/>
  <c r="T25" i="1" s="1"/>
  <c r="R24" i="1"/>
  <c r="S24" i="1" s="1"/>
  <c r="T24" i="1" s="1"/>
  <c r="R23" i="1"/>
  <c r="S23" i="1" s="1"/>
  <c r="T23" i="1" s="1"/>
  <c r="R21" i="1"/>
  <c r="S21" i="1" s="1"/>
  <c r="T21" i="1" s="1"/>
  <c r="R20" i="1"/>
  <c r="S20" i="1" s="1"/>
  <c r="T20" i="1" s="1"/>
  <c r="R19" i="1"/>
  <c r="S19" i="1" s="1"/>
  <c r="T19" i="1" s="1"/>
  <c r="R18" i="1"/>
  <c r="S18" i="1" s="1"/>
  <c r="T18" i="1" s="1"/>
  <c r="R16" i="1"/>
  <c r="S16" i="1" s="1"/>
  <c r="R15" i="1"/>
  <c r="S15" i="1" s="1"/>
  <c r="T15" i="1" s="1"/>
  <c r="R14" i="1"/>
  <c r="S14" i="1" s="1"/>
  <c r="T14" i="1" s="1"/>
  <c r="R13" i="1"/>
  <c r="S13" i="1" s="1"/>
  <c r="T13" i="1" s="1"/>
  <c r="R11" i="1"/>
  <c r="S11" i="1" s="1"/>
  <c r="R10" i="1"/>
  <c r="S10" i="1" s="1"/>
  <c r="T10" i="1" s="1"/>
  <c r="R9" i="1"/>
  <c r="S9" i="1" s="1"/>
  <c r="T9" i="1" s="1"/>
  <c r="R8" i="1"/>
  <c r="S8" i="1" s="1"/>
  <c r="T8" i="1" s="1"/>
  <c r="J9" i="1" l="1"/>
  <c r="G8" i="1"/>
  <c r="H8" i="1" s="1"/>
  <c r="V35" i="1"/>
  <c r="W35" i="1" s="1"/>
  <c r="X35" i="1" s="1"/>
  <c r="V34" i="1"/>
  <c r="W34" i="1" s="1"/>
  <c r="X34" i="1" s="1"/>
  <c r="V33" i="1"/>
  <c r="W33" i="1" s="1"/>
  <c r="X33" i="1" s="1"/>
  <c r="V31" i="1"/>
  <c r="W31" i="1" s="1"/>
  <c r="X31" i="1" s="1"/>
  <c r="V30" i="1"/>
  <c r="W30" i="1" s="1"/>
  <c r="X30" i="1" s="1"/>
  <c r="V29" i="1"/>
  <c r="W29" i="1" s="1"/>
  <c r="X29" i="1" s="1"/>
  <c r="V28" i="1"/>
  <c r="W28" i="1" s="1"/>
  <c r="X28" i="1" s="1"/>
  <c r="V27" i="1"/>
  <c r="W27" i="1" s="1"/>
  <c r="X27" i="1" s="1"/>
  <c r="V26" i="1"/>
  <c r="W26" i="1" s="1"/>
  <c r="X26" i="1" s="1"/>
  <c r="V25" i="1"/>
  <c r="W25" i="1" s="1"/>
  <c r="X25" i="1" s="1"/>
  <c r="V24" i="1"/>
  <c r="W24" i="1" s="1"/>
  <c r="X24" i="1" s="1"/>
  <c r="V23" i="1"/>
  <c r="W23" i="1" s="1"/>
  <c r="X23" i="1" s="1"/>
  <c r="V21" i="1"/>
  <c r="W21" i="1" s="1"/>
  <c r="X21" i="1" s="1"/>
  <c r="V20" i="1"/>
  <c r="W20" i="1" s="1"/>
  <c r="X20" i="1" s="1"/>
  <c r="V19" i="1"/>
  <c r="W19" i="1" s="1"/>
  <c r="X19" i="1" s="1"/>
  <c r="V18" i="1"/>
  <c r="W18" i="1" s="1"/>
  <c r="X18" i="1" s="1"/>
  <c r="V16" i="1"/>
  <c r="W16" i="1" s="1"/>
  <c r="X16" i="1" s="1"/>
  <c r="V15" i="1"/>
  <c r="W15" i="1" s="1"/>
  <c r="X15" i="1" s="1"/>
  <c r="V14" i="1"/>
  <c r="W14" i="1" s="1"/>
  <c r="X14" i="1" s="1"/>
  <c r="V13" i="1"/>
  <c r="W13" i="1" s="1"/>
  <c r="X13" i="1" s="1"/>
  <c r="V11" i="1"/>
  <c r="W11" i="1" s="1"/>
  <c r="X11" i="1" s="1"/>
  <c r="V10" i="1"/>
  <c r="W10" i="1" s="1"/>
  <c r="X10" i="1" s="1"/>
  <c r="V9" i="1"/>
  <c r="W9" i="1" s="1"/>
  <c r="X9" i="1" s="1"/>
  <c r="V8" i="1"/>
  <c r="W8" i="1" s="1"/>
  <c r="X8" i="1" s="1"/>
  <c r="X36" i="1" l="1"/>
  <c r="K9" i="1" l="1"/>
  <c r="L9" i="1" s="1"/>
  <c r="N35" i="1"/>
  <c r="O35" i="1" s="1"/>
  <c r="P35" i="1" s="1"/>
  <c r="N34" i="1"/>
  <c r="O34" i="1" s="1"/>
  <c r="P34" i="1" s="1"/>
  <c r="N33" i="1"/>
  <c r="O33" i="1" s="1"/>
  <c r="P33" i="1" s="1"/>
  <c r="N31" i="1"/>
  <c r="O31" i="1" s="1"/>
  <c r="P31" i="1" s="1"/>
  <c r="N30" i="1"/>
  <c r="O30" i="1" s="1"/>
  <c r="P30" i="1" s="1"/>
  <c r="N29" i="1"/>
  <c r="O29" i="1" s="1"/>
  <c r="P29" i="1" s="1"/>
  <c r="N28" i="1"/>
  <c r="O28" i="1" s="1"/>
  <c r="P28" i="1" s="1"/>
  <c r="N27" i="1"/>
  <c r="O27" i="1" s="1"/>
  <c r="P27" i="1" s="1"/>
  <c r="N26" i="1"/>
  <c r="O26" i="1" s="1"/>
  <c r="P26" i="1" s="1"/>
  <c r="N25" i="1"/>
  <c r="O25" i="1" s="1"/>
  <c r="P25" i="1" s="1"/>
  <c r="N24" i="1"/>
  <c r="O24" i="1" s="1"/>
  <c r="P24" i="1" s="1"/>
  <c r="N23" i="1"/>
  <c r="O23" i="1" s="1"/>
  <c r="P23" i="1" s="1"/>
  <c r="N21" i="1"/>
  <c r="O21" i="1" s="1"/>
  <c r="P21" i="1" s="1"/>
  <c r="N20" i="1"/>
  <c r="N19" i="1"/>
  <c r="O19" i="1" s="1"/>
  <c r="P19" i="1" s="1"/>
  <c r="N18" i="1"/>
  <c r="O18" i="1" s="1"/>
  <c r="P18" i="1" s="1"/>
  <c r="N16" i="1"/>
  <c r="O16" i="1" s="1"/>
  <c r="P16" i="1" s="1"/>
  <c r="N15" i="1"/>
  <c r="O15" i="1" s="1"/>
  <c r="P15" i="1" s="1"/>
  <c r="N14" i="1"/>
  <c r="O14" i="1" s="1"/>
  <c r="P14" i="1" s="1"/>
  <c r="N13" i="1"/>
  <c r="O13" i="1" s="1"/>
  <c r="P13" i="1" s="1"/>
  <c r="N11" i="1"/>
  <c r="O11" i="1" s="1"/>
  <c r="P11" i="1" s="1"/>
  <c r="N10" i="1"/>
  <c r="O10" i="1" s="1"/>
  <c r="P10" i="1" s="1"/>
  <c r="N9" i="1"/>
  <c r="O9" i="1" s="1"/>
  <c r="P9" i="1" s="1"/>
  <c r="N8" i="1"/>
  <c r="O8" i="1" s="1"/>
  <c r="P8" i="1" s="1"/>
  <c r="J35" i="1"/>
  <c r="K35" i="1" s="1"/>
  <c r="L35" i="1" s="1"/>
  <c r="J34" i="1"/>
  <c r="K34" i="1" s="1"/>
  <c r="L34" i="1" s="1"/>
  <c r="J33" i="1"/>
  <c r="K33" i="1" s="1"/>
  <c r="L33" i="1" s="1"/>
  <c r="J31" i="1"/>
  <c r="K31" i="1" s="1"/>
  <c r="L31" i="1" s="1"/>
  <c r="J30" i="1"/>
  <c r="K30" i="1" s="1"/>
  <c r="L30" i="1" s="1"/>
  <c r="J29" i="1"/>
  <c r="K29" i="1" s="1"/>
  <c r="L29" i="1" s="1"/>
  <c r="J28" i="1"/>
  <c r="K28" i="1" s="1"/>
  <c r="L28" i="1" s="1"/>
  <c r="J27" i="1"/>
  <c r="K27" i="1" s="1"/>
  <c r="L27" i="1" s="1"/>
  <c r="J26" i="1"/>
  <c r="K26" i="1" s="1"/>
  <c r="L26" i="1" s="1"/>
  <c r="J25" i="1"/>
  <c r="K25" i="1" s="1"/>
  <c r="L25" i="1" s="1"/>
  <c r="J24" i="1"/>
  <c r="K24" i="1" s="1"/>
  <c r="L24" i="1" s="1"/>
  <c r="J23" i="1"/>
  <c r="K23" i="1" s="1"/>
  <c r="L23" i="1" s="1"/>
  <c r="J21" i="1"/>
  <c r="K21" i="1" s="1"/>
  <c r="L21" i="1" s="1"/>
  <c r="J20" i="1"/>
  <c r="K20" i="1" s="1"/>
  <c r="L20" i="1" s="1"/>
  <c r="J19" i="1"/>
  <c r="K19" i="1" s="1"/>
  <c r="L19" i="1" s="1"/>
  <c r="J18" i="1"/>
  <c r="K18" i="1" s="1"/>
  <c r="L18" i="1" s="1"/>
  <c r="J16" i="1"/>
  <c r="K16" i="1" s="1"/>
  <c r="L16" i="1" s="1"/>
  <c r="J15" i="1"/>
  <c r="K15" i="1" s="1"/>
  <c r="L15" i="1" s="1"/>
  <c r="J14" i="1"/>
  <c r="K14" i="1" s="1"/>
  <c r="L14" i="1" s="1"/>
  <c r="J13" i="1"/>
  <c r="K13" i="1" s="1"/>
  <c r="L13" i="1" s="1"/>
  <c r="J11" i="1"/>
  <c r="K11" i="1" s="1"/>
  <c r="J10" i="1"/>
  <c r="K10" i="1" s="1"/>
  <c r="L10" i="1" s="1"/>
  <c r="K8" i="1"/>
  <c r="F35" i="1"/>
  <c r="G35" i="1" s="1"/>
  <c r="F34" i="1"/>
  <c r="G34" i="1" s="1"/>
  <c r="F33" i="1"/>
  <c r="G33" i="1" s="1"/>
  <c r="Z11" i="1" l="1"/>
  <c r="Y11" i="1"/>
  <c r="AC11" i="1" s="1"/>
  <c r="O20" i="1"/>
  <c r="P20" i="1" s="1"/>
  <c r="P36" i="1" s="1"/>
  <c r="H34" i="1"/>
  <c r="H35" i="1"/>
  <c r="H33" i="1"/>
  <c r="L8" i="1"/>
  <c r="F25" i="1"/>
  <c r="G25" i="1" s="1"/>
  <c r="F24" i="1"/>
  <c r="G24" i="1" s="1"/>
  <c r="F23" i="1"/>
  <c r="G23" i="1" s="1"/>
  <c r="F9" i="1"/>
  <c r="G9" i="1" s="1"/>
  <c r="F31" i="1"/>
  <c r="G31" i="1" s="1"/>
  <c r="F30" i="1"/>
  <c r="G30" i="1" s="1"/>
  <c r="F29" i="1"/>
  <c r="G29" i="1" s="1"/>
  <c r="F28" i="1"/>
  <c r="G28" i="1" s="1"/>
  <c r="H28" i="1" s="1"/>
  <c r="F27" i="1"/>
  <c r="G27" i="1" s="1"/>
  <c r="F26" i="1"/>
  <c r="G26" i="1" s="1"/>
  <c r="F21" i="1"/>
  <c r="G21" i="1" s="1"/>
  <c r="F20" i="1"/>
  <c r="G20" i="1" s="1"/>
  <c r="F19" i="1"/>
  <c r="G19" i="1" s="1"/>
  <c r="F18" i="1"/>
  <c r="G18" i="1" s="1"/>
  <c r="F16" i="1"/>
  <c r="G16" i="1" s="1"/>
  <c r="F15" i="1"/>
  <c r="G15" i="1" s="1"/>
  <c r="F14" i="1"/>
  <c r="G14" i="1" s="1"/>
  <c r="F13" i="1"/>
  <c r="G13" i="1" s="1"/>
  <c r="F11" i="1"/>
  <c r="G11" i="1" s="1"/>
  <c r="F10" i="1"/>
  <c r="G10" i="1" s="1"/>
  <c r="Z8" i="1" l="1"/>
  <c r="AC8" i="1"/>
  <c r="AA11" i="1"/>
  <c r="AC28" i="1"/>
  <c r="AA28" i="1"/>
  <c r="AC33" i="1"/>
  <c r="AC35" i="1"/>
  <c r="AC34" i="1"/>
  <c r="Z34" i="1"/>
  <c r="AA34" i="1" s="1"/>
  <c r="H10" i="1"/>
  <c r="H20" i="1"/>
  <c r="H18" i="1"/>
  <c r="H30" i="1"/>
  <c r="H24" i="1"/>
  <c r="Y24" i="1" s="1"/>
  <c r="H15" i="1"/>
  <c r="H9" i="1"/>
  <c r="H11" i="1"/>
  <c r="H16" i="1"/>
  <c r="H21" i="1"/>
  <c r="H29" i="1"/>
  <c r="H23" i="1"/>
  <c r="H13" i="1"/>
  <c r="Z13" i="1" s="1"/>
  <c r="H26" i="1"/>
  <c r="H14" i="1"/>
  <c r="H19" i="1"/>
  <c r="H27" i="1"/>
  <c r="H31" i="1"/>
  <c r="H25" i="1"/>
  <c r="Z20" i="1" l="1"/>
  <c r="Y20" i="1"/>
  <c r="AC20" i="1" s="1"/>
  <c r="Z21" i="1"/>
  <c r="Y21" i="1"/>
  <c r="Z16" i="1"/>
  <c r="Y16" i="1"/>
  <c r="AC16" i="1" s="1"/>
  <c r="Y18" i="1"/>
  <c r="AC18" i="1" s="1"/>
  <c r="Z18" i="1"/>
  <c r="Y15" i="1"/>
  <c r="Z15" i="1"/>
  <c r="Y19" i="1"/>
  <c r="Z19" i="1"/>
  <c r="Z14" i="1"/>
  <c r="Y14" i="1"/>
  <c r="AC14" i="1" s="1"/>
  <c r="Z10" i="1"/>
  <c r="Y23" i="1"/>
  <c r="AC23" i="1" s="1"/>
  <c r="Z23" i="1"/>
  <c r="AC21" i="1"/>
  <c r="AC24" i="1"/>
  <c r="Z24" i="1"/>
  <c r="AA24" i="1" s="1"/>
  <c r="AC15" i="1"/>
  <c r="AC30" i="1"/>
  <c r="Z26" i="1"/>
  <c r="AC26" i="1"/>
  <c r="AC10" i="1"/>
  <c r="Z25" i="1"/>
  <c r="Y25" i="1"/>
  <c r="AC25" i="1" s="1"/>
  <c r="AC9" i="1"/>
  <c r="AC31" i="1"/>
  <c r="AC27" i="1"/>
  <c r="AA8" i="1"/>
  <c r="AC29" i="1"/>
  <c r="AA35" i="1"/>
  <c r="H36" i="1"/>
  <c r="Y13" i="1"/>
  <c r="AC13" i="1" s="1"/>
  <c r="AA33" i="1"/>
  <c r="L11" i="1"/>
  <c r="AA19" i="1" l="1"/>
  <c r="AA20" i="1"/>
  <c r="AC19" i="1"/>
  <c r="AA29" i="1"/>
  <c r="AA9" i="1"/>
  <c r="AA15" i="1"/>
  <c r="AA14" i="1"/>
  <c r="AA16" i="1"/>
  <c r="AA31" i="1"/>
  <c r="AA10" i="1"/>
  <c r="AA13" i="1"/>
  <c r="L36" i="1"/>
  <c r="AA18" i="1"/>
  <c r="AA30" i="1"/>
  <c r="AA23" i="1"/>
  <c r="AA21" i="1"/>
  <c r="AA26" i="1"/>
  <c r="AA27" i="1"/>
  <c r="AA25" i="1"/>
</calcChain>
</file>

<file path=xl/sharedStrings.xml><?xml version="1.0" encoding="utf-8"?>
<sst xmlns="http://schemas.openxmlformats.org/spreadsheetml/2006/main" count="93" uniqueCount="52">
  <si>
    <t>ESTUDIO DE MERCADO</t>
  </si>
  <si>
    <t>OBJETO</t>
  </si>
  <si>
    <t>ITEM</t>
  </si>
  <si>
    <t>UNIDAD</t>
  </si>
  <si>
    <t>UND</t>
  </si>
  <si>
    <t>VALOR 
UNITARIO SIN IVA</t>
  </si>
  <si>
    <t>VALOR UNITARIO IVA 
INCLUIDO</t>
  </si>
  <si>
    <t>VALOR TOTAL IVA INCLUIDO POR CANTIDADES</t>
  </si>
  <si>
    <t>IVA</t>
  </si>
  <si>
    <t>Suministro de lubricante industrial</t>
  </si>
  <si>
    <t>BOLSA DE REPUESTOS CON MANO DE OBRA INCLUIDA (SUMINISTRO E INSTALACION)</t>
  </si>
  <si>
    <t xml:space="preserve">CANTIDAD ANUAL ESTIMADA </t>
  </si>
  <si>
    <t>Mástil/Brazo de aluminio de repuesto (para casos de fatiga o colisión) 1 cambio anual estimado</t>
  </si>
  <si>
    <t>Resorte de compensación (Muelle de tensión) 1 cambio anual estimado</t>
  </si>
  <si>
    <t>Fotoceldas de seguridad BFT (Par emisor/receptor) 1 cambio anual estimado</t>
  </si>
  <si>
    <t>ADECUACIONES NORMATIVAS INICIALES</t>
  </si>
  <si>
    <t>Instalación de línea de vida retráctil y adecuación de escalera de acceso.</t>
  </si>
  <si>
    <t>Instalación de Fascia de 80 cms e iluminacion de cabina y recorrido de pozo</t>
  </si>
  <si>
    <t>Instalación de botoneras de piso con display de posición y botón luminoso tipo braile</t>
  </si>
  <si>
    <t xml:space="preserve">TOTAL </t>
  </si>
  <si>
    <t>EINSPRO SAS</t>
  </si>
  <si>
    <t>ELEVATECH COLOMBIA</t>
  </si>
  <si>
    <t>ANALISIS ESTADISTICO</t>
  </si>
  <si>
    <t>MEDIA</t>
  </si>
  <si>
    <t>DESVIACION ESTANDAR</t>
  </si>
  <si>
    <t>COEFICIENTE DE VARIACION</t>
  </si>
  <si>
    <t>CANTIDADES A CONTRATAR</t>
  </si>
  <si>
    <t>MABTRONICS INGENIERIA SAS</t>
  </si>
  <si>
    <t>ELEVADORES COMPANY SAS</t>
  </si>
  <si>
    <r>
      <rPr>
        <b/>
        <sz val="11"/>
        <color theme="1"/>
        <rFont val="Garamond"/>
        <family val="1"/>
      </rPr>
      <t xml:space="preserve">Servicio de Diagnostico  Inspección Técnico-Mecánica </t>
    </r>
    <r>
      <rPr>
        <sz val="11"/>
        <color theme="1"/>
        <rFont val="Garamond"/>
        <family val="1"/>
      </rPr>
      <t xml:space="preserve"> informe técnico y mecánico del estado inicial del ascensor, esencial para garantizar la seguridad, evaluar el estado real y definir los correctivos, enfocado a obtener la certificación NTC5926-1:2021</t>
    </r>
  </si>
  <si>
    <t>Servicio de responsabilidad tecnica y gestion de certificacion NTC 5926-1:21 El contratista es responsable de gestionar la certificación de la norma en el tiempo correcto según el informe servicio de diagnóstico inspección técnico y mecánico (se estiman inicialmente dos visitas, una de revisión y otra de aprobación).</t>
  </si>
  <si>
    <r>
      <rPr>
        <b/>
        <sz val="11"/>
        <color theme="1"/>
        <rFont val="Garamond"/>
        <family val="1"/>
      </rPr>
      <t xml:space="preserve">Servicio de Mantenimiento Preventivo Integral Mensual a todo costo ( 12 servicios, 1 mensual)
</t>
    </r>
    <r>
      <rPr>
        <sz val="11"/>
        <color theme="1"/>
        <rFont val="Garamond"/>
        <family val="1"/>
      </rPr>
      <t xml:space="preserve">Al Ascensor Gold System referencia GOLD 512-GC Limipeza técnica lubricación y ajuste de los cuatro subsistemas principales del equipo: 
</t>
    </r>
    <r>
      <rPr>
        <b/>
        <sz val="11"/>
        <color theme="1"/>
        <rFont val="Garamond"/>
        <family val="1"/>
      </rPr>
      <t>1: Grupo de Tracción y Control (Cuarto de Máquinas)</t>
    </r>
    <r>
      <rPr>
        <sz val="11"/>
        <color theme="1"/>
        <rFont val="Garamond"/>
        <family val="1"/>
      </rPr>
      <t xml:space="preserve">: Revisión integral de la cadena cinemática, sistema de frenado electromecánico, estado de poleas y verificación de la electrónica de potencia y maniobra.
</t>
    </r>
    <r>
      <rPr>
        <b/>
        <sz val="11"/>
        <color theme="1"/>
        <rFont val="Garamond"/>
        <family val="1"/>
      </rPr>
      <t xml:space="preserve">2:Sistema de Guiado y Suspensión (Pozo/Hueco): </t>
    </r>
    <r>
      <rPr>
        <sz val="11"/>
        <color theme="1"/>
        <rFont val="Garamond"/>
        <family val="1"/>
      </rPr>
      <t xml:space="preserve">Inspección de la integridad de los cables de tracción, limpieza y lubricación de guías, y verificación de la cadena de seguridad (finales de carrera y foso).
</t>
    </r>
    <r>
      <rPr>
        <b/>
        <sz val="11"/>
        <color theme="1"/>
        <rFont val="Garamond"/>
        <family val="1"/>
      </rPr>
      <t xml:space="preserve">3:Conjunto Cabina y Seguridad: </t>
    </r>
    <r>
      <rPr>
        <sz val="11"/>
        <color theme="1"/>
        <rFont val="Garamond"/>
        <family val="1"/>
      </rPr>
      <t xml:space="preserve">Revisión del operador de puertas, dispositivos de pesaje de carga y pruebas de funcionamiento del sistema de acuñamiento (paracaídas).
</t>
    </r>
    <r>
      <rPr>
        <b/>
        <sz val="11"/>
        <color theme="1"/>
        <rFont val="Garamond"/>
        <family val="1"/>
      </rPr>
      <t>4:Interfaz de Usuario y Accesos (Hall/Pisos)</t>
    </r>
    <r>
      <rPr>
        <sz val="11"/>
        <color theme="1"/>
        <rFont val="Garamond"/>
        <family val="1"/>
      </rPr>
      <t xml:space="preserve">: Verificación de la nivelación en cada piso, ajuste de cerraduras electromecánicas de puertas exteriores y funcionamiento de las cortinas infrarrojas de seguridad.
Y las demás actividades derivadas o contempladas dentro de un mantenimiento preventivo
</t>
    </r>
  </si>
  <si>
    <r>
      <rPr>
        <b/>
        <sz val="11"/>
        <color theme="1"/>
        <rFont val="Garamond"/>
        <family val="1"/>
      </rPr>
      <t>Servicio de Manteminiento Correctivo Integral a todo costo:</t>
    </r>
    <r>
      <rPr>
        <sz val="11"/>
        <color theme="1"/>
        <rFont val="Garamond"/>
        <family val="1"/>
      </rPr>
      <t xml:space="preserve">
Que comprenda la reparación, sustitución y funcionamiento de cualquier componente, pieza o sistema (mecánico, eléctrico o electrónico) necesario para garantizar la operatividad total, seguridad y certificación del equipo, sin limitación alguna de piezas o mano de obra.</t>
    </r>
  </si>
  <si>
    <r>
      <t xml:space="preserve">Kit de Zapatas deslizaderas de puertas de hall y cabina </t>
    </r>
    <r>
      <rPr>
        <b/>
        <sz val="11"/>
        <color rgb="FF000000"/>
        <rFont val="Garamond"/>
        <family val="1"/>
      </rPr>
      <t>(suministro trimestral)</t>
    </r>
  </si>
  <si>
    <r>
      <t>Cambio de Aceite de máquina reductora y lubricantes de guías</t>
    </r>
    <r>
      <rPr>
        <b/>
        <sz val="11"/>
        <color rgb="FF000000"/>
        <rFont val="Garamond"/>
        <family val="1"/>
      </rPr>
      <t xml:space="preserve">  (minimo 1 cambio anual estimado)</t>
    </r>
  </si>
  <si>
    <r>
      <t>Baterías de respaldo para luz de emergencia y sistema de rescate</t>
    </r>
    <r>
      <rPr>
        <b/>
        <sz val="11"/>
        <color rgb="FF000000"/>
        <rFont val="Garamond"/>
        <family val="1"/>
      </rPr>
      <t xml:space="preserve"> (minimo 1 cambio en el año de contrato)</t>
    </r>
  </si>
  <si>
    <r>
      <t xml:space="preserve">Kit de Sensores de nivelación y finales de carrera </t>
    </r>
    <r>
      <rPr>
        <b/>
        <sz val="11"/>
        <color rgb="FF000000"/>
        <rFont val="Garamond"/>
        <family val="1"/>
      </rPr>
      <t>(minimo 2 cambios anuales estimados)</t>
    </r>
  </si>
  <si>
    <r>
      <rPr>
        <b/>
        <sz val="11"/>
        <color theme="1"/>
        <rFont val="Garamond"/>
        <family val="1"/>
      </rPr>
      <t>Servicio de Diagnóstico técnico - mecánico integral.</t>
    </r>
    <r>
      <rPr>
        <sz val="11"/>
        <color theme="1"/>
        <rFont val="Garamond"/>
        <family val="1"/>
      </rPr>
      <t xml:space="preserve"> Informe técnico y mecánico del brazo electromecánico Vehícular marca BFT, modelo ZARA BTL2, estado inicial del brazo y definir los correctivos conforme a la certificación NTC 5926-3.
</t>
    </r>
  </si>
  <si>
    <r>
      <rPr>
        <b/>
        <sz val="11"/>
        <color theme="1"/>
        <rFont val="Garamond"/>
        <family val="1"/>
      </rPr>
      <t>Servicio de responsabilidad técnica y gestión de certificación NTC 5926-3</t>
    </r>
    <r>
      <rPr>
        <sz val="11"/>
        <color theme="1"/>
        <rFont val="Garamond"/>
        <family val="1"/>
      </rPr>
      <t xml:space="preserve"> El contratista es responsable de gestionar la certificación de la norma en el tiempo correcto según el informe servicio de diagnóstico inspección técnico y mecánico (se estiman inicialmente dos visitas, una de revisión y otra de aprobación).</t>
    </r>
  </si>
  <si>
    <r>
      <rPr>
        <b/>
        <sz val="11"/>
        <color theme="1"/>
        <rFont val="Garamond"/>
        <family val="1"/>
      </rPr>
      <t>Servicio de Mantenimiento Preventivo Integral Mensual a todo costo</t>
    </r>
    <r>
      <rPr>
        <sz val="11"/>
        <color theme="1"/>
        <rFont val="Garamond"/>
        <family val="1"/>
      </rPr>
      <t>.</t>
    </r>
    <r>
      <rPr>
        <b/>
        <sz val="11"/>
        <color theme="1"/>
        <rFont val="Garamond"/>
        <family val="1"/>
      </rPr>
      <t xml:space="preserve"> ( 12 servicios, 1 mensual)</t>
    </r>
    <r>
      <rPr>
        <sz val="11"/>
        <color theme="1"/>
        <rFont val="Garamond"/>
        <family val="1"/>
      </rPr>
      <t xml:space="preserve">
</t>
    </r>
    <r>
      <rPr>
        <b/>
        <sz val="11"/>
        <color theme="1"/>
        <rFont val="Garamond"/>
        <family val="1"/>
      </rPr>
      <t>1: Revisión Mecánica:</t>
    </r>
    <r>
      <rPr>
        <sz val="11"/>
        <color theme="1"/>
        <rFont val="Garamond"/>
        <family val="1"/>
      </rPr>
      <t xml:space="preserve"> Limpieza profunda de gabinete y mecanismos internos, ajuste de tornillería estructural, lubricación de componentes móviles (sinfín y rodamientos) y balanceo técnico del resorte de compensación.                                                                 
</t>
    </r>
    <r>
      <rPr>
        <b/>
        <sz val="11"/>
        <color theme="1"/>
        <rFont val="Garamond"/>
        <family val="1"/>
      </rPr>
      <t>2:Gestión Eléctrica y Electrónica:</t>
    </r>
    <r>
      <rPr>
        <sz val="11"/>
        <color theme="1"/>
        <rFont val="Garamond"/>
        <family val="1"/>
      </rPr>
      <t xml:space="preserve"> Inspección y ajuste de terminales en placa de control, calibración de finales de carrera, verificación de voltajes y limpieza de sensores ópticos/fotoceldas de seguridad.                        
</t>
    </r>
    <r>
      <rPr>
        <b/>
        <sz val="11"/>
        <color theme="1"/>
        <rFont val="Garamond"/>
        <family val="1"/>
      </rPr>
      <t>3:Pruebas de Seguridad y Control:</t>
    </r>
    <r>
      <rPr>
        <sz val="11"/>
        <color theme="1"/>
        <rFont val="Garamond"/>
        <family val="1"/>
      </rPr>
      <t xml:space="preserve"> Verificación de lazos inductivos, ajuste de tiempos de cierre automático, validación del sistema de desbloqueo manual y pruebas de ciclo completo de apertura/cierre para descarte de ruidos o vibraciones.                                                                                                                             </t>
    </r>
  </si>
  <si>
    <r>
      <rPr>
        <b/>
        <sz val="11"/>
        <color theme="1"/>
        <rFont val="Garamond"/>
        <family val="1"/>
      </rPr>
      <t>Servicio de Manteminiento Correctivo Integral a todo costo</t>
    </r>
    <r>
      <rPr>
        <sz val="11"/>
        <color theme="1"/>
        <rFont val="Garamond"/>
        <family val="1"/>
      </rPr>
      <t xml:space="preserve"> , que comprenda la reparación, sustitución o puesta a punto de cualquier componente, pieza o sistema (mecánico, eléctrico o electrónico) necesario para garantizar la operatividad total, seguridad y certificación del equipo, sin limitación alguna de piezas o mano de obra.</t>
    </r>
  </si>
  <si>
    <t>Suministro e instalación de capacitores de motor</t>
  </si>
  <si>
    <t>Suminitro e instalación de finales de carrera ( sensores )</t>
  </si>
  <si>
    <t>Suministro e instalación de tarjeta electronica</t>
  </si>
  <si>
    <t>Suministro e instalación de fusibles</t>
  </si>
  <si>
    <t>Suministro e instalación de kit de tornilleria y soportes</t>
  </si>
  <si>
    <t>VALOR POR CANTIDADES</t>
  </si>
  <si>
    <t xml:space="preserve">FAHENN SAS </t>
  </si>
  <si>
    <t>CONTRATAR EL SERVICIO DE MANTENIMIENTO TÉCNICO INTEGRAL PREVENTIVO Y CORRECTIVO, CON SUMINISTRO E INSTALACIÓN DE REPUESTOS Y CERTIFICACIÓN, EN CUMPLIMIENTO DE LOS LINEAMIENTOS CONTENIDOS EN LA NORMAS TÉCNICAS COLOMBIANAS VIGENTES PARA EL ASCENSOR ELECTROMECÁNICO MARCA GOLD SYSTEM Y DEL BRAZO ELECTROMECÉNICO MARCA BFT UBICADO EN LA SEDE PRINCIPAL DE LA ALCALDÍA LOCAL DE FONTIBÓN</t>
  </si>
  <si>
    <r>
      <rPr>
        <b/>
        <sz val="11"/>
        <color rgb="FFFF0000"/>
        <rFont val="Garamond"/>
        <family val="1"/>
      </rPr>
      <t>ASCENSOR</t>
    </r>
    <r>
      <rPr>
        <b/>
        <sz val="11"/>
        <color theme="1"/>
        <rFont val="Garamond"/>
        <family val="1"/>
      </rPr>
      <t>: SERVICIO DE MANTENIMIENTO PREVENTIVO-CORRECTIVO</t>
    </r>
  </si>
  <si>
    <r>
      <rPr>
        <b/>
        <sz val="11"/>
        <color rgb="FFFF0000"/>
        <rFont val="Garamond"/>
        <family val="1"/>
      </rPr>
      <t xml:space="preserve"> BRAZO ELECTROMECANICO DE LA PUERTA VEHICULAR</t>
    </r>
    <r>
      <rPr>
        <b/>
        <sz val="11"/>
        <rFont val="Garamond"/>
        <family val="1"/>
      </rPr>
      <t>:</t>
    </r>
    <r>
      <rPr>
        <b/>
        <sz val="11"/>
        <color rgb="FFFF0000"/>
        <rFont val="Garamond"/>
        <family val="1"/>
      </rPr>
      <t xml:space="preserve"> </t>
    </r>
    <r>
      <rPr>
        <b/>
        <sz val="11"/>
        <color theme="1"/>
        <rFont val="Garamond"/>
        <family val="1"/>
      </rPr>
      <t>SERVICIO DE MANTENIMIENTO PREVENTIVO-CORRECTIVO</t>
    </r>
  </si>
  <si>
    <t>Valor estimado del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</si>
</sst>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sz val="11"/>
      <color rgb="FF000000"/>
      <name val="Garamond"/>
      <family val="1"/>
    </font>
    <font>
      <b/>
      <sz val="11"/>
      <color rgb="FF000000"/>
      <name val="Garamond"/>
      <family val="1"/>
    </font>
    <font>
      <b/>
      <sz val="10"/>
      <color theme="1"/>
      <name val="Garamond"/>
      <family val="1"/>
    </font>
    <font>
      <sz val="11"/>
      <color indexed="8"/>
      <name val="Garamond"/>
      <family val="1"/>
    </font>
    <font>
      <b/>
      <sz val="11"/>
      <color rgb="FFFF0000"/>
      <name val="Garamond"/>
      <family val="1"/>
    </font>
    <font>
      <b/>
      <sz val="11"/>
      <name val="Garamond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61">
    <xf numFmtId="0" fontId="0" fillId="0" borderId="0" xfId="0"/>
    <xf numFmtId="0" fontId="3" fillId="0" borderId="16" xfId="0" applyFont="1" applyBorder="1" applyAlignment="1">
      <alignment vertical="top" wrapText="1"/>
    </xf>
    <xf numFmtId="0" fontId="5" fillId="0" borderId="2" xfId="0" applyFont="1" applyBorder="1" applyAlignment="1">
      <alignment horizontal="left" vertical="center" wrapText="1"/>
    </xf>
    <xf numFmtId="0" fontId="3" fillId="0" borderId="16" xfId="0" applyFont="1" applyBorder="1"/>
    <xf numFmtId="0" fontId="3" fillId="0" borderId="0" xfId="0" applyFont="1"/>
    <xf numFmtId="0" fontId="3" fillId="0" borderId="2" xfId="0" applyFont="1" applyBorder="1"/>
    <xf numFmtId="0" fontId="3" fillId="0" borderId="17" xfId="0" applyFont="1" applyBorder="1"/>
    <xf numFmtId="0" fontId="4" fillId="4" borderId="20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top" wrapText="1"/>
    </xf>
    <xf numFmtId="164" fontId="4" fillId="0" borderId="1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top"/>
    </xf>
    <xf numFmtId="0" fontId="3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/>
    </xf>
    <xf numFmtId="164" fontId="3" fillId="0" borderId="0" xfId="0" applyNumberFormat="1" applyFont="1"/>
    <xf numFmtId="164" fontId="3" fillId="3" borderId="0" xfId="0" applyNumberFormat="1" applyFont="1" applyFill="1"/>
    <xf numFmtId="165" fontId="3" fillId="0" borderId="0" xfId="0" applyNumberFormat="1" applyFont="1"/>
    <xf numFmtId="0" fontId="4" fillId="2" borderId="2" xfId="0" applyFont="1" applyFill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/>
    </xf>
    <xf numFmtId="0" fontId="3" fillId="0" borderId="26" xfId="0" applyFont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 wrapText="1"/>
    </xf>
    <xf numFmtId="0" fontId="7" fillId="7" borderId="16" xfId="0" applyFont="1" applyFill="1" applyBorder="1" applyAlignment="1">
      <alignment horizontal="center" vertical="center" wrapText="1"/>
    </xf>
    <xf numFmtId="0" fontId="7" fillId="7" borderId="11" xfId="0" applyFont="1" applyFill="1" applyBorder="1" applyAlignment="1">
      <alignment horizontal="center" vertical="center" wrapText="1"/>
    </xf>
    <xf numFmtId="0" fontId="7" fillId="8" borderId="10" xfId="0" applyFont="1" applyFill="1" applyBorder="1" applyAlignment="1">
      <alignment horizontal="center" vertical="center" wrapText="1"/>
    </xf>
    <xf numFmtId="0" fontId="7" fillId="8" borderId="16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164" fontId="3" fillId="0" borderId="16" xfId="0" applyNumberFormat="1" applyFont="1" applyBorder="1" applyAlignment="1">
      <alignment horizontal="right" vertical="center"/>
    </xf>
    <xf numFmtId="164" fontId="3" fillId="6" borderId="11" xfId="0" applyNumberFormat="1" applyFont="1" applyFill="1" applyBorder="1" applyAlignment="1">
      <alignment horizontal="right" vertical="center"/>
    </xf>
    <xf numFmtId="164" fontId="3" fillId="0" borderId="17" xfId="0" applyNumberFormat="1" applyFont="1" applyBorder="1" applyAlignment="1">
      <alignment horizontal="right" vertical="center"/>
    </xf>
    <xf numFmtId="164" fontId="3" fillId="6" borderId="14" xfId="0" applyNumberFormat="1" applyFont="1" applyFill="1" applyBorder="1" applyAlignment="1">
      <alignment horizontal="right" vertical="center"/>
    </xf>
    <xf numFmtId="164" fontId="3" fillId="6" borderId="6" xfId="0" applyNumberFormat="1" applyFont="1" applyFill="1" applyBorder="1" applyAlignment="1">
      <alignment horizontal="right" vertical="center"/>
    </xf>
    <xf numFmtId="164" fontId="3" fillId="0" borderId="16" xfId="0" applyNumberFormat="1" applyFont="1" applyBorder="1" applyAlignment="1">
      <alignment vertical="center"/>
    </xf>
    <xf numFmtId="164" fontId="3" fillId="5" borderId="11" xfId="0" applyNumberFormat="1" applyFont="1" applyFill="1" applyBorder="1" applyAlignment="1">
      <alignment vertical="center"/>
    </xf>
    <xf numFmtId="164" fontId="3" fillId="5" borderId="11" xfId="0" applyNumberFormat="1" applyFont="1" applyFill="1" applyBorder="1" applyAlignment="1">
      <alignment horizontal="right" vertical="center"/>
    </xf>
    <xf numFmtId="164" fontId="3" fillId="5" borderId="30" xfId="0" applyNumberFormat="1" applyFont="1" applyFill="1" applyBorder="1" applyAlignment="1">
      <alignment horizontal="right" vertical="center"/>
    </xf>
    <xf numFmtId="164" fontId="3" fillId="5" borderId="16" xfId="0" applyNumberFormat="1" applyFont="1" applyFill="1" applyBorder="1"/>
    <xf numFmtId="164" fontId="3" fillId="0" borderId="10" xfId="0" applyNumberFormat="1" applyFont="1" applyBorder="1" applyAlignment="1">
      <alignment horizontal="right" vertical="center"/>
    </xf>
    <xf numFmtId="164" fontId="3" fillId="7" borderId="11" xfId="0" applyNumberFormat="1" applyFont="1" applyFill="1" applyBorder="1" applyAlignment="1">
      <alignment horizontal="right" vertical="center"/>
    </xf>
    <xf numFmtId="164" fontId="3" fillId="0" borderId="12" xfId="0" applyNumberFormat="1" applyFont="1" applyBorder="1" applyAlignment="1">
      <alignment horizontal="right" vertical="center"/>
    </xf>
    <xf numFmtId="164" fontId="8" fillId="0" borderId="10" xfId="0" applyNumberFormat="1" applyFont="1" applyBorder="1" applyAlignment="1">
      <alignment vertical="center"/>
    </xf>
    <xf numFmtId="164" fontId="8" fillId="0" borderId="10" xfId="0" applyNumberFormat="1" applyFont="1" applyBorder="1" applyAlignment="1">
      <alignment horizontal="right" vertical="center"/>
    </xf>
    <xf numFmtId="164" fontId="8" fillId="0" borderId="12" xfId="0" applyNumberFormat="1" applyFont="1" applyBorder="1" applyAlignment="1">
      <alignment horizontal="right" vertical="center"/>
    </xf>
    <xf numFmtId="164" fontId="3" fillId="7" borderId="30" xfId="0" applyNumberFormat="1" applyFont="1" applyFill="1" applyBorder="1" applyAlignment="1">
      <alignment horizontal="right" vertical="center"/>
    </xf>
    <xf numFmtId="164" fontId="3" fillId="7" borderId="16" xfId="0" applyNumberFormat="1" applyFont="1" applyFill="1" applyBorder="1"/>
    <xf numFmtId="164" fontId="3" fillId="8" borderId="11" xfId="0" applyNumberFormat="1" applyFont="1" applyFill="1" applyBorder="1" applyAlignment="1">
      <alignment horizontal="right" vertical="center"/>
    </xf>
    <xf numFmtId="164" fontId="3" fillId="8" borderId="30" xfId="0" applyNumberFormat="1" applyFont="1" applyFill="1" applyBorder="1" applyAlignment="1">
      <alignment horizontal="right" vertical="center"/>
    </xf>
    <xf numFmtId="0" fontId="7" fillId="9" borderId="2" xfId="0" applyFont="1" applyFill="1" applyBorder="1" applyAlignment="1">
      <alignment horizontal="center" vertical="center" wrapText="1"/>
    </xf>
    <xf numFmtId="0" fontId="7" fillId="9" borderId="10" xfId="0" applyFont="1" applyFill="1" applyBorder="1" applyAlignment="1">
      <alignment horizontal="center" vertical="center" wrapText="1"/>
    </xf>
    <xf numFmtId="0" fontId="7" fillId="9" borderId="11" xfId="0" applyFont="1" applyFill="1" applyBorder="1" applyAlignment="1">
      <alignment horizontal="center" vertical="center" wrapText="1"/>
    </xf>
    <xf numFmtId="164" fontId="3" fillId="0" borderId="10" xfId="0" applyNumberFormat="1" applyFont="1" applyBorder="1" applyAlignment="1">
      <alignment vertical="center"/>
    </xf>
    <xf numFmtId="165" fontId="3" fillId="0" borderId="16" xfId="1" applyNumberFormat="1" applyFont="1" applyBorder="1" applyAlignment="1">
      <alignment vertical="center"/>
    </xf>
    <xf numFmtId="9" fontId="3" fillId="0" borderId="11" xfId="2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" xfId="0" applyFont="1" applyFill="1" applyBorder="1"/>
    <xf numFmtId="0" fontId="3" fillId="2" borderId="3" xfId="0" applyFont="1" applyFill="1" applyBorder="1"/>
    <xf numFmtId="164" fontId="3" fillId="2" borderId="10" xfId="0" applyNumberFormat="1" applyFont="1" applyFill="1" applyBorder="1" applyAlignment="1">
      <alignment horizontal="right" vertical="center"/>
    </xf>
    <xf numFmtId="164" fontId="3" fillId="2" borderId="16" xfId="0" applyNumberFormat="1" applyFont="1" applyFill="1" applyBorder="1" applyAlignment="1">
      <alignment horizontal="right" vertical="center"/>
    </xf>
    <xf numFmtId="164" fontId="3" fillId="2" borderId="11" xfId="0" applyNumberFormat="1" applyFont="1" applyFill="1" applyBorder="1" applyAlignment="1">
      <alignment horizontal="right" vertical="center"/>
    </xf>
    <xf numFmtId="164" fontId="3" fillId="2" borderId="10" xfId="0" applyNumberFormat="1" applyFont="1" applyFill="1" applyBorder="1" applyAlignment="1">
      <alignment horizontal="center" vertical="center"/>
    </xf>
    <xf numFmtId="164" fontId="3" fillId="2" borderId="16" xfId="0" applyNumberFormat="1" applyFont="1" applyFill="1" applyBorder="1" applyAlignment="1">
      <alignment horizontal="center" vertical="center"/>
    </xf>
    <xf numFmtId="164" fontId="3" fillId="2" borderId="11" xfId="0" applyNumberFormat="1" applyFont="1" applyFill="1" applyBorder="1" applyAlignment="1">
      <alignment horizontal="center" vertical="center"/>
    </xf>
    <xf numFmtId="164" fontId="4" fillId="2" borderId="10" xfId="0" applyNumberFormat="1" applyFont="1" applyFill="1" applyBorder="1" applyAlignment="1">
      <alignment horizontal="right" vertical="center"/>
    </xf>
    <xf numFmtId="164" fontId="3" fillId="2" borderId="10" xfId="0" applyNumberFormat="1" applyFont="1" applyFill="1" applyBorder="1" applyAlignment="1">
      <alignment vertical="center"/>
    </xf>
    <xf numFmtId="165" fontId="3" fillId="2" borderId="16" xfId="1" applyNumberFormat="1" applyFont="1" applyFill="1" applyBorder="1" applyAlignment="1">
      <alignment vertical="center"/>
    </xf>
    <xf numFmtId="9" fontId="3" fillId="2" borderId="11" xfId="2" applyFont="1" applyFill="1" applyBorder="1" applyAlignment="1">
      <alignment horizontal="center" vertical="center"/>
    </xf>
    <xf numFmtId="0" fontId="0" fillId="2" borderId="0" xfId="0" applyFill="1"/>
    <xf numFmtId="0" fontId="3" fillId="2" borderId="10" xfId="0" applyFont="1" applyFill="1" applyBorder="1" applyAlignment="1">
      <alignment vertical="top"/>
    </xf>
    <xf numFmtId="0" fontId="4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164" fontId="3" fillId="2" borderId="31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vertical="top"/>
    </xf>
    <xf numFmtId="0" fontId="3" fillId="2" borderId="10" xfId="0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right"/>
    </xf>
    <xf numFmtId="0" fontId="3" fillId="2" borderId="16" xfId="0" applyFont="1" applyFill="1" applyBorder="1" applyAlignment="1">
      <alignment horizontal="right"/>
    </xf>
    <xf numFmtId="0" fontId="3" fillId="2" borderId="11" xfId="0" applyFont="1" applyFill="1" applyBorder="1" applyAlignment="1">
      <alignment horizontal="right"/>
    </xf>
    <xf numFmtId="0" fontId="3" fillId="2" borderId="16" xfId="0" applyFont="1" applyFill="1" applyBorder="1"/>
    <xf numFmtId="0" fontId="3" fillId="2" borderId="11" xfId="0" applyFont="1" applyFill="1" applyBorder="1"/>
    <xf numFmtId="0" fontId="4" fillId="2" borderId="10" xfId="0" applyFont="1" applyFill="1" applyBorder="1" applyAlignment="1">
      <alignment horizontal="right"/>
    </xf>
    <xf numFmtId="0" fontId="3" fillId="2" borderId="31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right" vertical="center" wrapText="1"/>
    </xf>
    <xf numFmtId="0" fontId="3" fillId="2" borderId="16" xfId="0" applyFont="1" applyFill="1" applyBorder="1" applyAlignment="1">
      <alignment horizontal="right" vertical="center" wrapText="1"/>
    </xf>
    <xf numFmtId="0" fontId="3" fillId="2" borderId="11" xfId="0" applyFont="1" applyFill="1" applyBorder="1" applyAlignment="1">
      <alignment horizontal="right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right" vertical="center" wrapText="1"/>
    </xf>
    <xf numFmtId="0" fontId="3" fillId="2" borderId="31" xfId="0" applyFont="1" applyFill="1" applyBorder="1" applyAlignment="1">
      <alignment horizontal="center" vertical="center" wrapText="1"/>
    </xf>
    <xf numFmtId="164" fontId="3" fillId="0" borderId="32" xfId="0" applyNumberFormat="1" applyFont="1" applyBorder="1" applyAlignment="1">
      <alignment vertical="center"/>
    </xf>
    <xf numFmtId="165" fontId="3" fillId="0" borderId="18" xfId="1" applyNumberFormat="1" applyFont="1" applyBorder="1" applyAlignment="1">
      <alignment vertical="center"/>
    </xf>
    <xf numFmtId="9" fontId="3" fillId="0" borderId="30" xfId="2" applyFont="1" applyBorder="1" applyAlignment="1">
      <alignment horizontal="center" vertical="center"/>
    </xf>
    <xf numFmtId="164" fontId="3" fillId="8" borderId="3" xfId="2" applyNumberFormat="1" applyFont="1" applyFill="1" applyBorder="1"/>
    <xf numFmtId="164" fontId="3" fillId="0" borderId="33" xfId="0" applyNumberFormat="1" applyFont="1" applyBorder="1"/>
    <xf numFmtId="0" fontId="7" fillId="10" borderId="34" xfId="0" applyFont="1" applyFill="1" applyBorder="1" applyAlignment="1">
      <alignment horizontal="center" vertical="center" wrapText="1"/>
    </xf>
    <xf numFmtId="0" fontId="0" fillId="0" borderId="0" xfId="0" applyAlignment="1">
      <alignment vertical="top"/>
    </xf>
    <xf numFmtId="0" fontId="4" fillId="0" borderId="0" xfId="0" applyFont="1" applyAlignment="1">
      <alignment horizontal="center" vertical="center" wrapText="1"/>
    </xf>
    <xf numFmtId="0" fontId="3" fillId="10" borderId="20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center" vertical="center"/>
    </xf>
    <xf numFmtId="0" fontId="3" fillId="2" borderId="20" xfId="0" applyFont="1" applyFill="1" applyBorder="1"/>
    <xf numFmtId="0" fontId="3" fillId="2" borderId="20" xfId="0" applyFont="1" applyFill="1" applyBorder="1" applyAlignment="1">
      <alignment horizontal="center" vertical="center" wrapText="1"/>
    </xf>
    <xf numFmtId="0" fontId="3" fillId="10" borderId="35" xfId="0" applyFont="1" applyFill="1" applyBorder="1" applyAlignment="1">
      <alignment horizontal="center" vertical="center"/>
    </xf>
    <xf numFmtId="164" fontId="0" fillId="10" borderId="11" xfId="0" applyNumberFormat="1" applyFill="1" applyBorder="1"/>
    <xf numFmtId="164" fontId="0" fillId="10" borderId="14" xfId="0" applyNumberFormat="1" applyFill="1" applyBorder="1"/>
    <xf numFmtId="164" fontId="1" fillId="11" borderId="19" xfId="0" applyNumberFormat="1" applyFont="1" applyFill="1" applyBorder="1"/>
    <xf numFmtId="164" fontId="3" fillId="7" borderId="0" xfId="0" applyNumberFormat="1" applyFont="1" applyFill="1"/>
    <xf numFmtId="0" fontId="7" fillId="12" borderId="10" xfId="0" applyFont="1" applyFill="1" applyBorder="1" applyAlignment="1">
      <alignment horizontal="center" vertical="center" wrapText="1"/>
    </xf>
    <xf numFmtId="0" fontId="7" fillId="12" borderId="16" xfId="0" applyFont="1" applyFill="1" applyBorder="1" applyAlignment="1">
      <alignment horizontal="center" vertical="center" wrapText="1"/>
    </xf>
    <xf numFmtId="0" fontId="7" fillId="12" borderId="11" xfId="0" applyFont="1" applyFill="1" applyBorder="1" applyAlignment="1">
      <alignment horizontal="center" vertical="center" wrapText="1"/>
    </xf>
    <xf numFmtId="164" fontId="3" fillId="12" borderId="11" xfId="0" applyNumberFormat="1" applyFont="1" applyFill="1" applyBorder="1" applyAlignment="1">
      <alignment horizontal="right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0" fontId="0" fillId="0" borderId="5" xfId="0" applyBorder="1"/>
    <xf numFmtId="0" fontId="0" fillId="0" borderId="4" xfId="0" applyBorder="1"/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6" borderId="27" xfId="0" applyFont="1" applyFill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7" borderId="27" xfId="0" applyFont="1" applyFill="1" applyBorder="1" applyAlignment="1">
      <alignment horizontal="center" vertical="center" wrapText="1"/>
    </xf>
    <xf numFmtId="0" fontId="4" fillId="7" borderId="28" xfId="0" applyFont="1" applyFill="1" applyBorder="1" applyAlignment="1">
      <alignment horizontal="center" vertical="center" wrapText="1"/>
    </xf>
    <xf numFmtId="0" fontId="4" fillId="7" borderId="29" xfId="0" applyFont="1" applyFill="1" applyBorder="1" applyAlignment="1">
      <alignment horizontal="center" vertical="center" wrapText="1"/>
    </xf>
    <xf numFmtId="0" fontId="4" fillId="8" borderId="27" xfId="0" applyFont="1" applyFill="1" applyBorder="1" applyAlignment="1">
      <alignment horizontal="center" vertical="center" wrapText="1"/>
    </xf>
    <xf numFmtId="0" fontId="4" fillId="8" borderId="28" xfId="0" applyFont="1" applyFill="1" applyBorder="1" applyAlignment="1">
      <alignment horizontal="center" vertical="center" wrapText="1"/>
    </xf>
    <xf numFmtId="0" fontId="4" fillId="8" borderId="29" xfId="0" applyFont="1" applyFill="1" applyBorder="1" applyAlignment="1">
      <alignment horizontal="center" vertical="center" wrapText="1"/>
    </xf>
    <xf numFmtId="0" fontId="4" fillId="5" borderId="27" xfId="0" applyFont="1" applyFill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 wrapText="1"/>
    </xf>
    <xf numFmtId="0" fontId="4" fillId="5" borderId="29" xfId="0" applyFont="1" applyFill="1" applyBorder="1" applyAlignment="1">
      <alignment horizontal="center" vertical="center" wrapText="1"/>
    </xf>
    <xf numFmtId="0" fontId="4" fillId="9" borderId="27" xfId="0" applyFont="1" applyFill="1" applyBorder="1" applyAlignment="1">
      <alignment horizontal="center" vertical="center"/>
    </xf>
    <xf numFmtId="0" fontId="4" fillId="9" borderId="28" xfId="0" applyFont="1" applyFill="1" applyBorder="1" applyAlignment="1">
      <alignment horizontal="center" vertical="center"/>
    </xf>
    <xf numFmtId="0" fontId="4" fillId="9" borderId="29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4" fillId="12" borderId="27" xfId="0" applyFont="1" applyFill="1" applyBorder="1" applyAlignment="1">
      <alignment horizontal="center" vertical="center" wrapText="1"/>
    </xf>
    <xf numFmtId="0" fontId="4" fillId="12" borderId="28" xfId="0" applyFont="1" applyFill="1" applyBorder="1" applyAlignment="1">
      <alignment horizontal="center" vertical="center" wrapText="1"/>
    </xf>
    <xf numFmtId="0" fontId="4" fillId="12" borderId="29" xfId="0" applyFont="1" applyFill="1" applyBorder="1" applyAlignment="1">
      <alignment horizontal="center" vertical="center" wrapText="1"/>
    </xf>
    <xf numFmtId="0" fontId="1" fillId="11" borderId="36" xfId="0" applyFont="1" applyFill="1" applyBorder="1" applyAlignment="1">
      <alignment horizontal="center"/>
    </xf>
    <xf numFmtId="0" fontId="1" fillId="11" borderId="22" xfId="0" applyFont="1" applyFill="1" applyBorder="1" applyAlignment="1">
      <alignment horizontal="center"/>
    </xf>
    <xf numFmtId="0" fontId="1" fillId="11" borderId="23" xfId="0" applyFont="1" applyFill="1" applyBorder="1" applyAlignment="1">
      <alignment horizontal="center"/>
    </xf>
  </cellXfs>
  <cellStyles count="3">
    <cellStyle name="Moneda" xfId="1" builtinId="4"/>
    <cellStyle name="Normal" xfId="0" builtinId="0"/>
    <cellStyle name="Porcentaje" xfId="2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25B05-4E40-4AF8-B665-3EFB582F9EE2}">
  <sheetPr>
    <pageSetUpPr fitToPage="1"/>
  </sheetPr>
  <dimension ref="A3:AI37"/>
  <sheetViews>
    <sheetView tabSelected="1" topLeftCell="A19" zoomScale="55" zoomScaleNormal="55" workbookViewId="0">
      <selection activeCell="A41" sqref="A41"/>
    </sheetView>
  </sheetViews>
  <sheetFormatPr baseColWidth="10" defaultRowHeight="15" x14ac:dyDescent="0.25"/>
  <cols>
    <col min="2" max="2" width="84.140625" customWidth="1"/>
    <col min="4" max="4" width="14.5703125" customWidth="1"/>
    <col min="5" max="5" width="16.7109375" bestFit="1" customWidth="1"/>
    <col min="6" max="6" width="11.5703125" bestFit="1" customWidth="1"/>
    <col min="7" max="7" width="22.7109375" customWidth="1"/>
    <col min="8" max="8" width="19" customWidth="1"/>
    <col min="9" max="9" width="12.85546875" bestFit="1" customWidth="1"/>
    <col min="11" max="11" width="23.5703125" customWidth="1"/>
    <col min="12" max="12" width="18" customWidth="1"/>
    <col min="13" max="13" width="12.85546875" bestFit="1" customWidth="1"/>
    <col min="15" max="15" width="15.140625" customWidth="1"/>
    <col min="16" max="20" width="19.140625" customWidth="1"/>
    <col min="21" max="21" width="13.5703125" customWidth="1"/>
    <col min="22" max="22" width="13.140625" customWidth="1"/>
    <col min="23" max="23" width="22.28515625" customWidth="1"/>
    <col min="24" max="24" width="18.85546875" customWidth="1"/>
    <col min="25" max="25" width="16.28515625" customWidth="1"/>
    <col min="26" max="26" width="17.7109375" customWidth="1"/>
    <col min="27" max="27" width="21.28515625" customWidth="1"/>
    <col min="28" max="28" width="18.5703125" customWidth="1"/>
    <col min="29" max="29" width="19.140625" customWidth="1"/>
    <col min="30" max="30" width="50.42578125" customWidth="1"/>
  </cols>
  <sheetData>
    <row r="3" spans="1:35" ht="15.75" thickBot="1" x14ac:dyDescent="0.3">
      <c r="A3" s="130"/>
      <c r="B3" s="131"/>
      <c r="C3" s="131"/>
      <c r="D3" s="131"/>
      <c r="E3" s="131"/>
      <c r="F3" s="131"/>
      <c r="G3" s="131"/>
      <c r="H3" s="131"/>
    </row>
    <row r="4" spans="1:35" ht="15.75" thickBot="1" x14ac:dyDescent="0.3">
      <c r="A4" s="132" t="s">
        <v>0</v>
      </c>
      <c r="B4" s="133"/>
      <c r="C4" s="133"/>
      <c r="D4" s="133"/>
      <c r="E4" s="133"/>
      <c r="F4" s="133"/>
      <c r="G4" s="133"/>
      <c r="H4" s="13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1:35" ht="62.25" customHeight="1" thickBot="1" x14ac:dyDescent="0.3">
      <c r="A5" s="7" t="s">
        <v>1</v>
      </c>
      <c r="B5" s="152" t="s">
        <v>48</v>
      </c>
      <c r="C5" s="153"/>
      <c r="D5" s="153"/>
      <c r="E5" s="153"/>
      <c r="F5" s="153"/>
      <c r="G5" s="153"/>
      <c r="H5" s="15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spans="1:35" ht="29.25" customHeight="1" thickBot="1" x14ac:dyDescent="0.3">
      <c r="A6" s="138"/>
      <c r="B6" s="139"/>
      <c r="C6" s="139"/>
      <c r="D6" s="139"/>
      <c r="E6" s="135" t="s">
        <v>28</v>
      </c>
      <c r="F6" s="136"/>
      <c r="G6" s="136"/>
      <c r="H6" s="137"/>
      <c r="I6" s="146" t="s">
        <v>20</v>
      </c>
      <c r="J6" s="147"/>
      <c r="K6" s="147"/>
      <c r="L6" s="148"/>
      <c r="M6" s="140" t="s">
        <v>21</v>
      </c>
      <c r="N6" s="141"/>
      <c r="O6" s="141"/>
      <c r="P6" s="142"/>
      <c r="Q6" s="155" t="s">
        <v>47</v>
      </c>
      <c r="R6" s="156"/>
      <c r="S6" s="156"/>
      <c r="T6" s="157"/>
      <c r="U6" s="143" t="s">
        <v>27</v>
      </c>
      <c r="V6" s="144"/>
      <c r="W6" s="144"/>
      <c r="X6" s="145"/>
      <c r="Y6" s="149" t="s">
        <v>22</v>
      </c>
      <c r="Z6" s="150"/>
      <c r="AA6" s="151"/>
      <c r="AB6" s="114"/>
      <c r="AI6" s="112" t="s">
        <v>26</v>
      </c>
    </row>
    <row r="7" spans="1:35" ht="66.75" customHeight="1" x14ac:dyDescent="0.25">
      <c r="A7" s="8" t="s">
        <v>2</v>
      </c>
      <c r="B7" s="9" t="s">
        <v>49</v>
      </c>
      <c r="C7" s="10" t="s">
        <v>3</v>
      </c>
      <c r="D7" s="15" t="s">
        <v>11</v>
      </c>
      <c r="E7" s="30" t="s">
        <v>5</v>
      </c>
      <c r="F7" s="31" t="s">
        <v>8</v>
      </c>
      <c r="G7" s="31" t="s">
        <v>6</v>
      </c>
      <c r="H7" s="32" t="s">
        <v>7</v>
      </c>
      <c r="I7" s="33" t="s">
        <v>5</v>
      </c>
      <c r="J7" s="34" t="s">
        <v>8</v>
      </c>
      <c r="K7" s="34" t="s">
        <v>6</v>
      </c>
      <c r="L7" s="35" t="s">
        <v>7</v>
      </c>
      <c r="M7" s="36" t="s">
        <v>5</v>
      </c>
      <c r="N7" s="37" t="s">
        <v>8</v>
      </c>
      <c r="O7" s="37" t="s">
        <v>6</v>
      </c>
      <c r="P7" s="38" t="s">
        <v>7</v>
      </c>
      <c r="Q7" s="124" t="s">
        <v>5</v>
      </c>
      <c r="R7" s="125" t="s">
        <v>8</v>
      </c>
      <c r="S7" s="125" t="s">
        <v>6</v>
      </c>
      <c r="T7" s="126" t="s">
        <v>7</v>
      </c>
      <c r="U7" s="39" t="s">
        <v>5</v>
      </c>
      <c r="V7" s="40" t="s">
        <v>8</v>
      </c>
      <c r="W7" s="40" t="s">
        <v>6</v>
      </c>
      <c r="X7" s="41" t="s">
        <v>7</v>
      </c>
      <c r="Y7" s="63" t="s">
        <v>23</v>
      </c>
      <c r="Z7" s="62" t="s">
        <v>24</v>
      </c>
      <c r="AA7" s="64" t="s">
        <v>25</v>
      </c>
      <c r="AB7" s="112" t="s">
        <v>26</v>
      </c>
      <c r="AC7" s="112" t="s">
        <v>46</v>
      </c>
    </row>
    <row r="8" spans="1:35" ht="48.75" customHeight="1" x14ac:dyDescent="0.25">
      <c r="A8" s="12">
        <v>1</v>
      </c>
      <c r="B8" s="1" t="s">
        <v>29</v>
      </c>
      <c r="C8" s="10" t="s">
        <v>4</v>
      </c>
      <c r="D8" s="24">
        <v>1</v>
      </c>
      <c r="E8" s="56">
        <v>430000</v>
      </c>
      <c r="F8" s="42">
        <f>E8*19%</f>
        <v>81700</v>
      </c>
      <c r="G8" s="42">
        <f>E8+F8</f>
        <v>511700</v>
      </c>
      <c r="H8" s="43">
        <f>G8*D8</f>
        <v>511700</v>
      </c>
      <c r="I8" s="55">
        <v>550000</v>
      </c>
      <c r="J8" s="47">
        <f>I8*19%</f>
        <v>104500</v>
      </c>
      <c r="K8" s="47">
        <f>I8+J8</f>
        <v>654500</v>
      </c>
      <c r="L8" s="48">
        <f>K8*D8</f>
        <v>654500</v>
      </c>
      <c r="M8" s="52"/>
      <c r="N8" s="42">
        <f>M8*19%</f>
        <v>0</v>
      </c>
      <c r="O8" s="42">
        <f>M8+N8</f>
        <v>0</v>
      </c>
      <c r="P8" s="53">
        <f>O8*D8</f>
        <v>0</v>
      </c>
      <c r="Q8" s="128">
        <v>860000</v>
      </c>
      <c r="R8" s="42">
        <f>Q8*19%</f>
        <v>163400</v>
      </c>
      <c r="S8" s="42">
        <f>Q8+R8</f>
        <v>1023400</v>
      </c>
      <c r="T8" s="127">
        <f>S8*D8</f>
        <v>1023400</v>
      </c>
      <c r="U8" s="52">
        <v>499000</v>
      </c>
      <c r="V8" s="42">
        <f>U8*19%</f>
        <v>94810</v>
      </c>
      <c r="W8" s="42">
        <f>U8+V8</f>
        <v>593810</v>
      </c>
      <c r="X8" s="60">
        <f>W8*D8</f>
        <v>593810</v>
      </c>
      <c r="Y8" s="65">
        <f>AVERAGE(H8,L8,X8)</f>
        <v>586670</v>
      </c>
      <c r="Z8" s="66">
        <f>_xlfn.STDEV.S(H8,L8,X8)</f>
        <v>71667.249842588484</v>
      </c>
      <c r="AA8" s="67">
        <f>Z8/Y8</f>
        <v>0.12215939087150951</v>
      </c>
      <c r="AB8" s="115">
        <v>1</v>
      </c>
      <c r="AC8" s="120">
        <f>AB8*Y8</f>
        <v>586670</v>
      </c>
    </row>
    <row r="9" spans="1:35" ht="50.25" customHeight="1" x14ac:dyDescent="0.25">
      <c r="A9" s="12">
        <v>2</v>
      </c>
      <c r="B9" s="1" t="s">
        <v>30</v>
      </c>
      <c r="C9" s="10" t="s">
        <v>4</v>
      </c>
      <c r="D9" s="24">
        <v>1</v>
      </c>
      <c r="E9" s="56">
        <v>350000</v>
      </c>
      <c r="F9" s="42">
        <f>E9*19%</f>
        <v>66500</v>
      </c>
      <c r="G9" s="42">
        <f>E9+F9</f>
        <v>416500</v>
      </c>
      <c r="H9" s="43">
        <f>G9*D9</f>
        <v>416500</v>
      </c>
      <c r="I9" s="55">
        <v>450000</v>
      </c>
      <c r="J9" s="47">
        <f>I9*19%</f>
        <v>85500</v>
      </c>
      <c r="K9" s="47">
        <f>I9+J9</f>
        <v>535500</v>
      </c>
      <c r="L9" s="48">
        <f>K9*D9</f>
        <v>535500</v>
      </c>
      <c r="M9" s="52"/>
      <c r="N9" s="42">
        <f>M9*19%</f>
        <v>0</v>
      </c>
      <c r="O9" s="42">
        <f>M9+N9</f>
        <v>0</v>
      </c>
      <c r="P9" s="53">
        <f>O9*D9</f>
        <v>0</v>
      </c>
      <c r="Q9" s="128">
        <v>860000</v>
      </c>
      <c r="R9" s="42">
        <f>Q9*19%</f>
        <v>163400</v>
      </c>
      <c r="S9" s="42">
        <f>Q9+R9</f>
        <v>1023400</v>
      </c>
      <c r="T9" s="127">
        <f>S9*D9</f>
        <v>1023400</v>
      </c>
      <c r="U9" s="52">
        <v>129000</v>
      </c>
      <c r="V9" s="42">
        <f>U9*19%</f>
        <v>24510</v>
      </c>
      <c r="W9" s="42">
        <f>U9+V9</f>
        <v>153510</v>
      </c>
      <c r="X9" s="60">
        <f>W9*D9</f>
        <v>153510</v>
      </c>
      <c r="Y9" s="65">
        <f>AVERAGE(H9,L9)</f>
        <v>476000</v>
      </c>
      <c r="Z9" s="66">
        <f>_xlfn.STDEV.S(H9,L9)</f>
        <v>84145.706961199161</v>
      </c>
      <c r="AA9" s="67">
        <f t="shared" ref="AA9:AA11" si="0">Z9/Y9</f>
        <v>0.17677669529663689</v>
      </c>
      <c r="AB9" s="115">
        <v>1</v>
      </c>
      <c r="AC9" s="120">
        <f>AB9*Y9</f>
        <v>476000</v>
      </c>
    </row>
    <row r="10" spans="1:35" ht="246.75" customHeight="1" x14ac:dyDescent="0.25">
      <c r="A10" s="12">
        <v>3</v>
      </c>
      <c r="B10" s="1" t="s">
        <v>31</v>
      </c>
      <c r="C10" s="10" t="s">
        <v>4</v>
      </c>
      <c r="D10" s="24">
        <v>1</v>
      </c>
      <c r="E10" s="56">
        <v>320000</v>
      </c>
      <c r="F10" s="42">
        <f>E10*19%</f>
        <v>60800</v>
      </c>
      <c r="G10" s="42">
        <f>E10+F10</f>
        <v>380800</v>
      </c>
      <c r="H10" s="43">
        <f>G10*D10</f>
        <v>380800</v>
      </c>
      <c r="I10" s="55">
        <v>320000</v>
      </c>
      <c r="J10" s="47">
        <f>I10*19%</f>
        <v>60800</v>
      </c>
      <c r="K10" s="47">
        <f>I10+J10</f>
        <v>380800</v>
      </c>
      <c r="L10" s="48">
        <f>K10*D10</f>
        <v>380800</v>
      </c>
      <c r="M10" s="52"/>
      <c r="N10" s="42">
        <f>M10*19%</f>
        <v>0</v>
      </c>
      <c r="O10" s="42">
        <f>M10+N10</f>
        <v>0</v>
      </c>
      <c r="P10" s="53">
        <f>O10*D10</f>
        <v>0</v>
      </c>
      <c r="Q10" s="128">
        <v>360000</v>
      </c>
      <c r="R10" s="42">
        <f>Q10*19%</f>
        <v>68400</v>
      </c>
      <c r="S10" s="42">
        <f>Q10+R10</f>
        <v>428400</v>
      </c>
      <c r="T10" s="127">
        <f>S10*D10</f>
        <v>428400</v>
      </c>
      <c r="U10" s="52">
        <v>429000</v>
      </c>
      <c r="V10" s="42">
        <f>U10*19%</f>
        <v>81510</v>
      </c>
      <c r="W10" s="42">
        <f>U10+V10</f>
        <v>510510</v>
      </c>
      <c r="X10" s="60">
        <f>W10*D10</f>
        <v>510510</v>
      </c>
      <c r="Y10" s="65">
        <f>AVERAGE(H10,L10,X10,T10)</f>
        <v>425127.5</v>
      </c>
      <c r="Z10" s="66">
        <f>_xlfn.STDEV.S(H10,L10,X10,T10)</f>
        <v>61184.788618849809</v>
      </c>
      <c r="AA10" s="67">
        <f t="shared" si="0"/>
        <v>0.14392103220527913</v>
      </c>
      <c r="AB10" s="115">
        <v>12</v>
      </c>
      <c r="AC10" s="120">
        <f>AB10*Y10</f>
        <v>5101530</v>
      </c>
    </row>
    <row r="11" spans="1:35" ht="78" customHeight="1" x14ac:dyDescent="0.25">
      <c r="A11" s="12">
        <v>4</v>
      </c>
      <c r="B11" s="1" t="s">
        <v>32</v>
      </c>
      <c r="C11" s="10" t="s">
        <v>4</v>
      </c>
      <c r="D11" s="24">
        <v>1</v>
      </c>
      <c r="E11" s="56"/>
      <c r="F11" s="42">
        <f>E11*19%</f>
        <v>0</v>
      </c>
      <c r="G11" s="42">
        <f>E11+F11</f>
        <v>0</v>
      </c>
      <c r="H11" s="43">
        <f>G11*D11</f>
        <v>0</v>
      </c>
      <c r="I11" s="55"/>
      <c r="J11" s="47">
        <f>I11*19%</f>
        <v>0</v>
      </c>
      <c r="K11" s="47">
        <f>I11+J11</f>
        <v>0</v>
      </c>
      <c r="L11" s="48">
        <f>K11*D11</f>
        <v>0</v>
      </c>
      <c r="M11" s="52">
        <v>450000</v>
      </c>
      <c r="N11" s="42">
        <f>M11*19%</f>
        <v>85500</v>
      </c>
      <c r="O11" s="42">
        <f>M11+N11</f>
        <v>535500</v>
      </c>
      <c r="P11" s="53">
        <f>O11*D11</f>
        <v>535500</v>
      </c>
      <c r="Q11" s="128"/>
      <c r="R11" s="42">
        <f>Q11*19%</f>
        <v>0</v>
      </c>
      <c r="S11" s="42">
        <f>Q11+R11</f>
        <v>0</v>
      </c>
      <c r="T11" s="127">
        <f>S11*D11</f>
        <v>0</v>
      </c>
      <c r="U11" s="52">
        <v>659000</v>
      </c>
      <c r="V11" s="42">
        <f>U11*19%</f>
        <v>125210</v>
      </c>
      <c r="W11" s="42">
        <f>U11+V11</f>
        <v>784210</v>
      </c>
      <c r="X11" s="60">
        <f>W11*D11</f>
        <v>784210</v>
      </c>
      <c r="Y11" s="65">
        <f>AVERAGE(P11,X11)</f>
        <v>659855</v>
      </c>
      <c r="Z11" s="66">
        <f>_xlfn.STDEV.S(P11,X11)</f>
        <v>175864.52754890625</v>
      </c>
      <c r="AA11" s="67">
        <f t="shared" si="0"/>
        <v>0.26651995900448772</v>
      </c>
      <c r="AB11" s="115">
        <v>4</v>
      </c>
      <c r="AC11" s="120">
        <f>AB11*Y11</f>
        <v>2639420</v>
      </c>
    </row>
    <row r="12" spans="1:35" s="81" customFormat="1" ht="27.75" customHeight="1" x14ac:dyDescent="0.25">
      <c r="A12" s="68"/>
      <c r="B12" s="13" t="s">
        <v>10</v>
      </c>
      <c r="C12" s="69"/>
      <c r="D12" s="70"/>
      <c r="E12" s="71"/>
      <c r="F12" s="72"/>
      <c r="G12" s="72"/>
      <c r="H12" s="73"/>
      <c r="I12" s="74"/>
      <c r="J12" s="75"/>
      <c r="K12" s="75"/>
      <c r="L12" s="76"/>
      <c r="M12" s="71"/>
      <c r="N12" s="72"/>
      <c r="O12" s="72"/>
      <c r="P12" s="73"/>
      <c r="Q12" s="77"/>
      <c r="R12" s="72"/>
      <c r="S12" s="72"/>
      <c r="T12" s="73"/>
      <c r="U12" s="77"/>
      <c r="V12" s="72"/>
      <c r="W12" s="72"/>
      <c r="X12" s="73"/>
      <c r="Y12" s="78"/>
      <c r="Z12" s="79"/>
      <c r="AA12" s="80"/>
      <c r="AB12" s="116"/>
      <c r="AC12" s="76"/>
      <c r="AD12"/>
      <c r="AE12"/>
      <c r="AF12"/>
      <c r="AG12"/>
      <c r="AH12"/>
      <c r="AI12"/>
    </row>
    <row r="13" spans="1:35" ht="26.25" customHeight="1" x14ac:dyDescent="0.25">
      <c r="A13" s="12">
        <v>5</v>
      </c>
      <c r="B13" s="2" t="s">
        <v>33</v>
      </c>
      <c r="C13" s="10" t="s">
        <v>4</v>
      </c>
      <c r="D13" s="24">
        <v>1</v>
      </c>
      <c r="E13" s="56">
        <v>200000</v>
      </c>
      <c r="F13" s="42">
        <f>E13*19%</f>
        <v>38000</v>
      </c>
      <c r="G13" s="42">
        <f>E13+F13</f>
        <v>238000</v>
      </c>
      <c r="H13" s="43">
        <f>G13*D13</f>
        <v>238000</v>
      </c>
      <c r="I13" s="56">
        <v>220000</v>
      </c>
      <c r="J13" s="42">
        <f>I13*19%</f>
        <v>41800</v>
      </c>
      <c r="K13" s="42">
        <f>I13+J13</f>
        <v>261800</v>
      </c>
      <c r="L13" s="49">
        <f>K13*D13</f>
        <v>261800</v>
      </c>
      <c r="M13" s="52"/>
      <c r="N13" s="42">
        <f>M13*19%</f>
        <v>0</v>
      </c>
      <c r="O13" s="42">
        <f>M13+N13</f>
        <v>0</v>
      </c>
      <c r="P13" s="53">
        <f>O13*D13</f>
        <v>0</v>
      </c>
      <c r="Q13" s="128">
        <v>180000</v>
      </c>
      <c r="R13" s="42">
        <f>Q13*19%</f>
        <v>34200</v>
      </c>
      <c r="S13" s="42">
        <f>Q13+R13</f>
        <v>214200</v>
      </c>
      <c r="T13" s="127">
        <f>S13*D13</f>
        <v>214200</v>
      </c>
      <c r="U13" s="52">
        <v>245000</v>
      </c>
      <c r="V13" s="42">
        <f>U13*19%</f>
        <v>46550</v>
      </c>
      <c r="W13" s="42">
        <f>U13+V13</f>
        <v>291550</v>
      </c>
      <c r="X13" s="60">
        <f>W13*D13</f>
        <v>291550</v>
      </c>
      <c r="Y13" s="65">
        <f>AVERAGE(H13,L13,X13)</f>
        <v>263783.33333333331</v>
      </c>
      <c r="Z13" s="66">
        <f>_xlfn.STDEV.S(H13,L13,X13)</f>
        <v>26830.036029296221</v>
      </c>
      <c r="AA13" s="67">
        <f t="shared" ref="AA13:AA35" si="1">Z13/Y13</f>
        <v>0.10171240043961416</v>
      </c>
      <c r="AB13" s="115">
        <v>4</v>
      </c>
      <c r="AC13" s="120">
        <f>AB13*Y13</f>
        <v>1055133.3333333333</v>
      </c>
    </row>
    <row r="14" spans="1:35" ht="27.75" customHeight="1" x14ac:dyDescent="0.25">
      <c r="A14" s="12">
        <v>6</v>
      </c>
      <c r="B14" s="2" t="s">
        <v>34</v>
      </c>
      <c r="C14" s="10" t="s">
        <v>4</v>
      </c>
      <c r="D14" s="24">
        <v>1</v>
      </c>
      <c r="E14" s="56">
        <v>650000</v>
      </c>
      <c r="F14" s="42">
        <f>E14*19%</f>
        <v>123500</v>
      </c>
      <c r="G14" s="42">
        <f>E14+F14</f>
        <v>773500</v>
      </c>
      <c r="H14" s="43">
        <f>G14*D14</f>
        <v>773500</v>
      </c>
      <c r="I14" s="56">
        <v>800000</v>
      </c>
      <c r="J14" s="42">
        <f>I14*19%</f>
        <v>152000</v>
      </c>
      <c r="K14" s="42">
        <f>I14+J14</f>
        <v>952000</v>
      </c>
      <c r="L14" s="49">
        <f>K14*D14</f>
        <v>952000</v>
      </c>
      <c r="M14" s="52">
        <v>780000</v>
      </c>
      <c r="N14" s="42">
        <f>M14*19%</f>
        <v>148200</v>
      </c>
      <c r="O14" s="42">
        <f>M14+N14</f>
        <v>928200</v>
      </c>
      <c r="P14" s="53">
        <f>O14*D14</f>
        <v>928200</v>
      </c>
      <c r="Q14" s="128">
        <v>980000</v>
      </c>
      <c r="R14" s="42">
        <f>Q14*19%</f>
        <v>186200</v>
      </c>
      <c r="S14" s="42">
        <f>Q14+R14</f>
        <v>1166200</v>
      </c>
      <c r="T14" s="127">
        <f>S14*D14</f>
        <v>1166200</v>
      </c>
      <c r="U14" s="52">
        <v>780000</v>
      </c>
      <c r="V14" s="42">
        <f>U14*19%</f>
        <v>148200</v>
      </c>
      <c r="W14" s="42">
        <f>U14+V14</f>
        <v>928200</v>
      </c>
      <c r="X14" s="60">
        <f>W14*D14</f>
        <v>928200</v>
      </c>
      <c r="Y14" s="65">
        <f>AVERAGE(H14,L14,P14,X14,T14)</f>
        <v>949620</v>
      </c>
      <c r="Z14" s="66">
        <f>_xlfn.STDEV.S(H14,L14,X14,P14,T14)</f>
        <v>140399.82905972499</v>
      </c>
      <c r="AA14" s="67">
        <f t="shared" si="1"/>
        <v>0.14784843312032706</v>
      </c>
      <c r="AB14" s="115">
        <v>1</v>
      </c>
      <c r="AC14" s="120">
        <f>AB14*Y14</f>
        <v>949620</v>
      </c>
    </row>
    <row r="15" spans="1:35" ht="30" customHeight="1" x14ac:dyDescent="0.25">
      <c r="A15" s="12">
        <v>7</v>
      </c>
      <c r="B15" s="2" t="s">
        <v>35</v>
      </c>
      <c r="C15" s="10" t="s">
        <v>4</v>
      </c>
      <c r="D15" s="24">
        <v>1</v>
      </c>
      <c r="E15" s="56">
        <v>420000</v>
      </c>
      <c r="F15" s="42">
        <f>E15*19%</f>
        <v>79800</v>
      </c>
      <c r="G15" s="42">
        <f>E15+F15</f>
        <v>499800</v>
      </c>
      <c r="H15" s="43">
        <f>G15*D15</f>
        <v>499800</v>
      </c>
      <c r="I15" s="56">
        <v>480000</v>
      </c>
      <c r="J15" s="42">
        <f>I15*19%</f>
        <v>91200</v>
      </c>
      <c r="K15" s="42">
        <f>I15+J15</f>
        <v>571200</v>
      </c>
      <c r="L15" s="49">
        <f>K15*D15</f>
        <v>571200</v>
      </c>
      <c r="M15" s="52">
        <v>480000</v>
      </c>
      <c r="N15" s="42">
        <f>M15*19%</f>
        <v>91200</v>
      </c>
      <c r="O15" s="42">
        <f>M15+N15</f>
        <v>571200</v>
      </c>
      <c r="P15" s="53">
        <f>O15*D15</f>
        <v>571200</v>
      </c>
      <c r="Q15" s="128"/>
      <c r="R15" s="42">
        <f>Q15*19%</f>
        <v>0</v>
      </c>
      <c r="S15" s="42">
        <f>Q15+R15</f>
        <v>0</v>
      </c>
      <c r="T15" s="127">
        <f>S15*D15</f>
        <v>0</v>
      </c>
      <c r="U15" s="52"/>
      <c r="V15" s="42">
        <f>U15*19%</f>
        <v>0</v>
      </c>
      <c r="W15" s="42">
        <f>U15+V15</f>
        <v>0</v>
      </c>
      <c r="X15" s="60">
        <f>W15*D15</f>
        <v>0</v>
      </c>
      <c r="Y15" s="65">
        <f>AVERAGE(L15,P15,H15)</f>
        <v>547400</v>
      </c>
      <c r="Z15" s="66">
        <f>_xlfn.STDEV.S(L15,P15,H15)</f>
        <v>41222.809220139279</v>
      </c>
      <c r="AA15" s="67">
        <f t="shared" si="1"/>
        <v>7.5306556850820758E-2</v>
      </c>
      <c r="AB15" s="115">
        <v>1</v>
      </c>
      <c r="AC15" s="120">
        <f>AB15*Y15</f>
        <v>547400</v>
      </c>
    </row>
    <row r="16" spans="1:35" ht="30" customHeight="1" x14ac:dyDescent="0.25">
      <c r="A16" s="12">
        <v>8</v>
      </c>
      <c r="B16" s="2" t="s">
        <v>36</v>
      </c>
      <c r="C16" s="10" t="s">
        <v>4</v>
      </c>
      <c r="D16" s="24">
        <v>1</v>
      </c>
      <c r="E16" s="56">
        <v>280000</v>
      </c>
      <c r="F16" s="42">
        <f>E16*19%</f>
        <v>53200</v>
      </c>
      <c r="G16" s="42">
        <f>E16+F16</f>
        <v>333200</v>
      </c>
      <c r="H16" s="43">
        <f>G16*D16</f>
        <v>333200</v>
      </c>
      <c r="I16" s="56">
        <v>350000</v>
      </c>
      <c r="J16" s="42">
        <f>I16*19%</f>
        <v>66500</v>
      </c>
      <c r="K16" s="42">
        <f>I16+J16</f>
        <v>416500</v>
      </c>
      <c r="L16" s="49">
        <f>K16*D16</f>
        <v>416500</v>
      </c>
      <c r="M16" s="52"/>
      <c r="N16" s="42">
        <f>M16*19%</f>
        <v>0</v>
      </c>
      <c r="O16" s="42">
        <f>M16+N16</f>
        <v>0</v>
      </c>
      <c r="P16" s="53">
        <f>O16*D16</f>
        <v>0</v>
      </c>
      <c r="Q16" s="128">
        <v>175000</v>
      </c>
      <c r="R16" s="42">
        <f>Q16*19%</f>
        <v>33250</v>
      </c>
      <c r="S16" s="42">
        <f>Q16+R16</f>
        <v>208250</v>
      </c>
      <c r="T16" s="127">
        <f>S16*D16</f>
        <v>208250</v>
      </c>
      <c r="U16" s="52"/>
      <c r="V16" s="42">
        <f>U16*19%</f>
        <v>0</v>
      </c>
      <c r="W16" s="42">
        <f>U16+V16</f>
        <v>0</v>
      </c>
      <c r="X16" s="60">
        <f>W16*D16</f>
        <v>0</v>
      </c>
      <c r="Y16" s="65">
        <f>AVERAGE(H16,L16,T16)</f>
        <v>319316.66666666669</v>
      </c>
      <c r="Z16" s="66">
        <f>_xlfn.STDEV.S(H16,L16,T16)</f>
        <v>104816.86807634229</v>
      </c>
      <c r="AA16" s="67">
        <f t="shared" si="1"/>
        <v>0.32825367109872838</v>
      </c>
      <c r="AB16" s="115">
        <v>2</v>
      </c>
      <c r="AC16" s="120">
        <f>AB16*Y16</f>
        <v>638633.33333333337</v>
      </c>
    </row>
    <row r="17" spans="1:35" s="86" customFormat="1" ht="30" x14ac:dyDescent="0.25">
      <c r="A17" s="82"/>
      <c r="B17" s="9" t="s">
        <v>50</v>
      </c>
      <c r="C17" s="83"/>
      <c r="D17" s="84"/>
      <c r="E17" s="71"/>
      <c r="F17" s="72"/>
      <c r="G17" s="72"/>
      <c r="H17" s="73"/>
      <c r="I17" s="74"/>
      <c r="J17" s="75"/>
      <c r="K17" s="75"/>
      <c r="L17" s="76"/>
      <c r="M17" s="71"/>
      <c r="N17" s="72"/>
      <c r="O17" s="72"/>
      <c r="P17" s="73"/>
      <c r="Q17" s="77"/>
      <c r="R17" s="72"/>
      <c r="S17" s="72"/>
      <c r="T17" s="73"/>
      <c r="U17" s="77"/>
      <c r="V17" s="72"/>
      <c r="W17" s="72"/>
      <c r="X17" s="73"/>
      <c r="Y17" s="85"/>
      <c r="Z17" s="76"/>
      <c r="AA17" s="76"/>
      <c r="AB17" s="116"/>
      <c r="AC17" s="76"/>
      <c r="AD17" s="113"/>
      <c r="AE17" s="113"/>
      <c r="AF17" s="113"/>
      <c r="AG17" s="113"/>
      <c r="AH17" s="113"/>
      <c r="AI17" s="113"/>
    </row>
    <row r="18" spans="1:35" ht="48.75" customHeight="1" x14ac:dyDescent="0.25">
      <c r="A18" s="12">
        <v>9</v>
      </c>
      <c r="B18" s="1" t="s">
        <v>37</v>
      </c>
      <c r="C18" s="14" t="s">
        <v>4</v>
      </c>
      <c r="D18" s="24">
        <v>1</v>
      </c>
      <c r="E18" s="56">
        <v>650000</v>
      </c>
      <c r="F18" s="42">
        <f>E18*19%</f>
        <v>123500</v>
      </c>
      <c r="G18" s="42">
        <f>E18+F18</f>
        <v>773500</v>
      </c>
      <c r="H18" s="43">
        <f>G18*D18</f>
        <v>773500</v>
      </c>
      <c r="I18" s="56">
        <v>800000</v>
      </c>
      <c r="J18" s="42">
        <f>I18*19%</f>
        <v>152000</v>
      </c>
      <c r="K18" s="42">
        <f>I18+J18</f>
        <v>952000</v>
      </c>
      <c r="L18" s="49">
        <f>K18*D18</f>
        <v>952000</v>
      </c>
      <c r="M18" s="52">
        <v>580000</v>
      </c>
      <c r="N18" s="42">
        <f>M18*19%</f>
        <v>110200</v>
      </c>
      <c r="O18" s="42">
        <f>M18+N18</f>
        <v>690200</v>
      </c>
      <c r="P18" s="53">
        <f>O18*D18</f>
        <v>690200</v>
      </c>
      <c r="Q18" s="128">
        <v>645000</v>
      </c>
      <c r="R18" s="42">
        <f>Q18*19%</f>
        <v>122550</v>
      </c>
      <c r="S18" s="42">
        <f>Q18+R18</f>
        <v>767550</v>
      </c>
      <c r="T18" s="127">
        <f>S18*D18</f>
        <v>767550</v>
      </c>
      <c r="U18" s="52">
        <v>490000</v>
      </c>
      <c r="V18" s="42">
        <f>U18*19%</f>
        <v>93100</v>
      </c>
      <c r="W18" s="42">
        <f>U18+V18</f>
        <v>583100</v>
      </c>
      <c r="X18" s="60">
        <f>W18*D18</f>
        <v>583100</v>
      </c>
      <c r="Y18" s="65">
        <f>AVERAGE(H18,L18,X18,P18,T18)</f>
        <v>753270</v>
      </c>
      <c r="Z18" s="66">
        <f>_xlfn.STDEV.S(H18,L18,X18,P18,T18)</f>
        <v>135131.82267696978</v>
      </c>
      <c r="AA18" s="67">
        <f t="shared" si="1"/>
        <v>0.17939360744085092</v>
      </c>
      <c r="AB18" s="115">
        <v>1</v>
      </c>
      <c r="AC18" s="120">
        <f>AB18*Y18</f>
        <v>753270</v>
      </c>
    </row>
    <row r="19" spans="1:35" ht="58.5" customHeight="1" x14ac:dyDescent="0.25">
      <c r="A19" s="12">
        <v>10</v>
      </c>
      <c r="B19" s="1" t="s">
        <v>38</v>
      </c>
      <c r="C19" s="14" t="s">
        <v>4</v>
      </c>
      <c r="D19" s="25">
        <v>1</v>
      </c>
      <c r="E19" s="56">
        <v>450000</v>
      </c>
      <c r="F19" s="42">
        <f>E19*19%</f>
        <v>85500</v>
      </c>
      <c r="G19" s="42">
        <f>E19+F19</f>
        <v>535500</v>
      </c>
      <c r="H19" s="43">
        <f>G19*D19</f>
        <v>535500</v>
      </c>
      <c r="I19" s="56">
        <v>550000</v>
      </c>
      <c r="J19" s="42">
        <f>I19*19%</f>
        <v>104500</v>
      </c>
      <c r="K19" s="42">
        <f>I19+J19</f>
        <v>654500</v>
      </c>
      <c r="L19" s="49">
        <f>K19*D19</f>
        <v>654500</v>
      </c>
      <c r="M19" s="52"/>
      <c r="N19" s="42">
        <f>M19*19%</f>
        <v>0</v>
      </c>
      <c r="O19" s="42">
        <f>M19+N19</f>
        <v>0</v>
      </c>
      <c r="P19" s="53">
        <f>O19*D19</f>
        <v>0</v>
      </c>
      <c r="Q19" s="128">
        <v>730000</v>
      </c>
      <c r="R19" s="42">
        <f>Q19*19%</f>
        <v>138700</v>
      </c>
      <c r="S19" s="42">
        <f>Q19+R19</f>
        <v>868700</v>
      </c>
      <c r="T19" s="127">
        <f>S19*D19</f>
        <v>868700</v>
      </c>
      <c r="U19" s="52"/>
      <c r="V19" s="42">
        <f>U19*19%</f>
        <v>0</v>
      </c>
      <c r="W19" s="42">
        <f>U19+V19</f>
        <v>0</v>
      </c>
      <c r="X19" s="60">
        <f>W19*D19</f>
        <v>0</v>
      </c>
      <c r="Y19" s="65">
        <f>AVERAGE(H19,L19,T19)</f>
        <v>686233.33333333337</v>
      </c>
      <c r="Z19" s="66">
        <f>_xlfn.STDEV.S(H19,L19,T19)</f>
        <v>168851.4534534227</v>
      </c>
      <c r="AA19" s="67">
        <f>Z19/Y19</f>
        <v>0.2460554526450032</v>
      </c>
      <c r="AB19" s="115">
        <v>1</v>
      </c>
      <c r="AC19" s="120">
        <f>AB19*Y19</f>
        <v>686233.33333333337</v>
      </c>
    </row>
    <row r="20" spans="1:35" ht="157.5" customHeight="1" x14ac:dyDescent="0.25">
      <c r="A20" s="12">
        <v>11</v>
      </c>
      <c r="B20" s="1" t="s">
        <v>39</v>
      </c>
      <c r="C20" s="15" t="s">
        <v>4</v>
      </c>
      <c r="D20" s="26">
        <v>1</v>
      </c>
      <c r="E20" s="56">
        <v>290000</v>
      </c>
      <c r="F20" s="42">
        <f>E20*19%</f>
        <v>55100</v>
      </c>
      <c r="G20" s="42">
        <f>E20+F20</f>
        <v>345100</v>
      </c>
      <c r="H20" s="43">
        <f>G20*D20</f>
        <v>345100</v>
      </c>
      <c r="I20" s="56">
        <v>400000</v>
      </c>
      <c r="J20" s="42">
        <f>I20*19%</f>
        <v>76000</v>
      </c>
      <c r="K20" s="42">
        <f>I20+J20</f>
        <v>476000</v>
      </c>
      <c r="L20" s="49">
        <f>K20*D20</f>
        <v>476000</v>
      </c>
      <c r="M20" s="52"/>
      <c r="N20" s="42">
        <f>M20*19%</f>
        <v>0</v>
      </c>
      <c r="O20" s="42">
        <f>M20+N20</f>
        <v>0</v>
      </c>
      <c r="P20" s="53">
        <f>O20*D20</f>
        <v>0</v>
      </c>
      <c r="Q20" s="128">
        <v>280000</v>
      </c>
      <c r="R20" s="42">
        <f>Q20*19%</f>
        <v>53200</v>
      </c>
      <c r="S20" s="42">
        <f>Q20+R20</f>
        <v>333200</v>
      </c>
      <c r="T20" s="127">
        <f>S20*D20</f>
        <v>333200</v>
      </c>
      <c r="U20" s="52"/>
      <c r="V20" s="42">
        <f>U20*19%</f>
        <v>0</v>
      </c>
      <c r="W20" s="42">
        <f>U20+V20</f>
        <v>0</v>
      </c>
      <c r="X20" s="60">
        <f>W20*D20</f>
        <v>0</v>
      </c>
      <c r="Y20" s="65">
        <f>AVERAGE(L20,H20,T20)</f>
        <v>384766.66666666669</v>
      </c>
      <c r="Z20" s="66">
        <f>_xlfn.STDEV.S(H20,L20,T20)</f>
        <v>79234.10460990484</v>
      </c>
      <c r="AA20" s="67">
        <f t="shared" si="1"/>
        <v>0.20592767376740406</v>
      </c>
      <c r="AB20" s="115">
        <v>12</v>
      </c>
      <c r="AC20" s="120">
        <f>AB20*Y20</f>
        <v>4617200</v>
      </c>
    </row>
    <row r="21" spans="1:35" ht="60.75" customHeight="1" x14ac:dyDescent="0.25">
      <c r="A21" s="12">
        <v>12</v>
      </c>
      <c r="B21" s="1" t="s">
        <v>40</v>
      </c>
      <c r="C21" s="11" t="s">
        <v>4</v>
      </c>
      <c r="D21" s="27">
        <v>1</v>
      </c>
      <c r="E21" s="56">
        <v>2000000</v>
      </c>
      <c r="F21" s="42">
        <f>E21*19%</f>
        <v>380000</v>
      </c>
      <c r="G21" s="42">
        <f>E21+F21</f>
        <v>2380000</v>
      </c>
      <c r="H21" s="43">
        <f>G21*D21</f>
        <v>2380000</v>
      </c>
      <c r="I21" s="56">
        <v>2800000</v>
      </c>
      <c r="J21" s="42">
        <f>I21*19%</f>
        <v>532000</v>
      </c>
      <c r="K21" s="42">
        <f>I21+J21</f>
        <v>3332000</v>
      </c>
      <c r="L21" s="49">
        <f>K21*D21</f>
        <v>3332000</v>
      </c>
      <c r="M21" s="52"/>
      <c r="N21" s="42">
        <f>M21*19%</f>
        <v>0</v>
      </c>
      <c r="O21" s="42">
        <f>M21+N21</f>
        <v>0</v>
      </c>
      <c r="P21" s="53">
        <f>O21*D21</f>
        <v>0</v>
      </c>
      <c r="Q21" s="128">
        <v>2800000</v>
      </c>
      <c r="R21" s="42">
        <f>Q21*19%</f>
        <v>532000</v>
      </c>
      <c r="S21" s="42">
        <f>Q21+R21</f>
        <v>3332000</v>
      </c>
      <c r="T21" s="127">
        <f>S21*D21</f>
        <v>3332000</v>
      </c>
      <c r="U21" s="52"/>
      <c r="V21" s="42">
        <f>U21*19%</f>
        <v>0</v>
      </c>
      <c r="W21" s="42">
        <f>U21+V21</f>
        <v>0</v>
      </c>
      <c r="X21" s="60">
        <f>W21*D21</f>
        <v>0</v>
      </c>
      <c r="Y21" s="65">
        <f>AVERAGE(H21,L21,T21)</f>
        <v>3014666.6666666665</v>
      </c>
      <c r="Z21" s="66">
        <f>_xlfn.STDEV.S(H21,L21,T21)</f>
        <v>549637.45626852429</v>
      </c>
      <c r="AA21" s="67">
        <f t="shared" si="1"/>
        <v>0.18232113763882937</v>
      </c>
      <c r="AB21" s="115">
        <v>4</v>
      </c>
      <c r="AC21" s="120">
        <f>AB21*Y21</f>
        <v>12058666.666666666</v>
      </c>
    </row>
    <row r="22" spans="1:35" s="81" customFormat="1" ht="27" customHeight="1" x14ac:dyDescent="0.25">
      <c r="A22" s="87"/>
      <c r="B22" s="13" t="s">
        <v>10</v>
      </c>
      <c r="C22" s="88"/>
      <c r="D22" s="70"/>
      <c r="E22" s="89"/>
      <c r="F22" s="90"/>
      <c r="G22" s="90"/>
      <c r="H22" s="91"/>
      <c r="I22" s="87"/>
      <c r="J22" s="92"/>
      <c r="K22" s="92"/>
      <c r="L22" s="93"/>
      <c r="M22" s="89"/>
      <c r="N22" s="90"/>
      <c r="O22" s="90"/>
      <c r="P22" s="91"/>
      <c r="Q22" s="94"/>
      <c r="R22" s="90"/>
      <c r="S22" s="90"/>
      <c r="T22" s="91"/>
      <c r="U22" s="94"/>
      <c r="V22" s="90"/>
      <c r="W22" s="90"/>
      <c r="X22" s="91"/>
      <c r="Y22" s="95"/>
      <c r="Z22" s="96"/>
      <c r="AA22" s="97"/>
      <c r="AB22" s="117"/>
      <c r="AC22" s="93"/>
      <c r="AD22"/>
      <c r="AE22"/>
      <c r="AF22"/>
      <c r="AG22"/>
      <c r="AH22"/>
      <c r="AI22"/>
    </row>
    <row r="23" spans="1:35" x14ac:dyDescent="0.25">
      <c r="A23" s="16">
        <v>13</v>
      </c>
      <c r="B23" s="3" t="s">
        <v>12</v>
      </c>
      <c r="C23" s="11" t="s">
        <v>4</v>
      </c>
      <c r="D23" s="28">
        <v>1</v>
      </c>
      <c r="E23" s="56">
        <v>550000</v>
      </c>
      <c r="F23" s="42">
        <f t="shared" ref="F23:F31" si="2">E23*19%</f>
        <v>104500</v>
      </c>
      <c r="G23" s="42">
        <f t="shared" ref="G23:G31" si="3">E23+F23</f>
        <v>654500</v>
      </c>
      <c r="H23" s="43">
        <f t="shared" ref="H23:H31" si="4">G23*D23</f>
        <v>654500</v>
      </c>
      <c r="I23" s="56">
        <v>580000</v>
      </c>
      <c r="J23" s="42">
        <f t="shared" ref="J23:J31" si="5">I23*19%</f>
        <v>110200</v>
      </c>
      <c r="K23" s="42">
        <f t="shared" ref="K23:K31" si="6">I23+J23</f>
        <v>690200</v>
      </c>
      <c r="L23" s="49">
        <f t="shared" ref="L23:L31" si="7">K23*D23</f>
        <v>690200</v>
      </c>
      <c r="M23" s="52"/>
      <c r="N23" s="42">
        <f t="shared" ref="N23:N31" si="8">M23*19%</f>
        <v>0</v>
      </c>
      <c r="O23" s="42">
        <f t="shared" ref="O23:O31" si="9">M23+N23</f>
        <v>0</v>
      </c>
      <c r="P23" s="53">
        <f t="shared" ref="P23:P31" si="10">O23*D23</f>
        <v>0</v>
      </c>
      <c r="Q23" s="128">
        <v>870000</v>
      </c>
      <c r="R23" s="42">
        <f t="shared" ref="R23:R31" si="11">Q23*19%</f>
        <v>165300</v>
      </c>
      <c r="S23" s="42">
        <f t="shared" ref="S23:S31" si="12">Q23+R23</f>
        <v>1035300</v>
      </c>
      <c r="T23" s="127">
        <f t="shared" ref="T23:T31" si="13">S23*D23</f>
        <v>1035300</v>
      </c>
      <c r="U23" s="52"/>
      <c r="V23" s="42">
        <f t="shared" ref="V23:V31" si="14">U23*19%</f>
        <v>0</v>
      </c>
      <c r="W23" s="42">
        <f t="shared" ref="W23:W31" si="15">U23+V23</f>
        <v>0</v>
      </c>
      <c r="X23" s="60">
        <f t="shared" ref="X23:X31" si="16">W23*D23</f>
        <v>0</v>
      </c>
      <c r="Y23" s="65">
        <f>AVERAGE(H23,L23,T23)</f>
        <v>793333.33333333337</v>
      </c>
      <c r="Z23" s="66">
        <f>_xlfn.STDEV.S(H23,L23,T23)</f>
        <v>210308.16278341023</v>
      </c>
      <c r="AA23" s="67">
        <f t="shared" si="1"/>
        <v>0.26509432283623136</v>
      </c>
      <c r="AB23" s="115">
        <v>1</v>
      </c>
      <c r="AC23" s="120">
        <f t="shared" ref="AC23:AC35" si="17">AB23*Y23</f>
        <v>793333.33333333337</v>
      </c>
    </row>
    <row r="24" spans="1:35" x14ac:dyDescent="0.25">
      <c r="A24" s="16">
        <v>14</v>
      </c>
      <c r="B24" s="3" t="s">
        <v>13</v>
      </c>
      <c r="C24" s="11" t="s">
        <v>4</v>
      </c>
      <c r="D24" s="28">
        <v>1</v>
      </c>
      <c r="E24" s="56">
        <v>150000</v>
      </c>
      <c r="F24" s="42">
        <f t="shared" si="2"/>
        <v>28500</v>
      </c>
      <c r="G24" s="42">
        <f t="shared" si="3"/>
        <v>178500</v>
      </c>
      <c r="H24" s="43">
        <f t="shared" si="4"/>
        <v>178500</v>
      </c>
      <c r="I24" s="56">
        <v>180000</v>
      </c>
      <c r="J24" s="42">
        <f t="shared" si="5"/>
        <v>34200</v>
      </c>
      <c r="K24" s="42">
        <f t="shared" si="6"/>
        <v>214200</v>
      </c>
      <c r="L24" s="49">
        <f t="shared" si="7"/>
        <v>214200</v>
      </c>
      <c r="M24" s="52"/>
      <c r="N24" s="42">
        <f t="shared" si="8"/>
        <v>0</v>
      </c>
      <c r="O24" s="42">
        <f t="shared" si="9"/>
        <v>0</v>
      </c>
      <c r="P24" s="53">
        <f t="shared" si="10"/>
        <v>0</v>
      </c>
      <c r="Q24" s="128">
        <v>230000</v>
      </c>
      <c r="R24" s="42">
        <f t="shared" si="11"/>
        <v>43700</v>
      </c>
      <c r="S24" s="42">
        <f t="shared" si="12"/>
        <v>273700</v>
      </c>
      <c r="T24" s="127">
        <f t="shared" si="13"/>
        <v>273700</v>
      </c>
      <c r="U24" s="52">
        <v>301000</v>
      </c>
      <c r="V24" s="42">
        <f t="shared" si="14"/>
        <v>57190</v>
      </c>
      <c r="W24" s="42">
        <f t="shared" si="15"/>
        <v>358190</v>
      </c>
      <c r="X24" s="60">
        <f t="shared" si="16"/>
        <v>358190</v>
      </c>
      <c r="Y24" s="65">
        <f>AVERAGE(H24,L24,X24)</f>
        <v>250296.66666666666</v>
      </c>
      <c r="Z24" s="66">
        <f t="shared" ref="Z24" si="18">_xlfn.STDEV.S(H24,L24)</f>
        <v>25243.712088359745</v>
      </c>
      <c r="AA24" s="67">
        <f t="shared" si="1"/>
        <v>0.10085516688873103</v>
      </c>
      <c r="AB24" s="115">
        <v>1</v>
      </c>
      <c r="AC24" s="120">
        <f t="shared" si="17"/>
        <v>250296.66666666666</v>
      </c>
    </row>
    <row r="25" spans="1:35" x14ac:dyDescent="0.25">
      <c r="A25" s="16">
        <v>15</v>
      </c>
      <c r="B25" s="3" t="s">
        <v>14</v>
      </c>
      <c r="C25" s="11" t="s">
        <v>4</v>
      </c>
      <c r="D25" s="28">
        <v>1</v>
      </c>
      <c r="E25" s="56">
        <v>800000</v>
      </c>
      <c r="F25" s="42">
        <f t="shared" si="2"/>
        <v>152000</v>
      </c>
      <c r="G25" s="42">
        <f t="shared" si="3"/>
        <v>952000</v>
      </c>
      <c r="H25" s="43">
        <f t="shared" si="4"/>
        <v>952000</v>
      </c>
      <c r="I25" s="56">
        <v>900000</v>
      </c>
      <c r="J25" s="42">
        <f t="shared" si="5"/>
        <v>171000</v>
      </c>
      <c r="K25" s="42">
        <f t="shared" si="6"/>
        <v>1071000</v>
      </c>
      <c r="L25" s="49">
        <f t="shared" si="7"/>
        <v>1071000</v>
      </c>
      <c r="M25" s="52">
        <v>1980000</v>
      </c>
      <c r="N25" s="42">
        <f t="shared" si="8"/>
        <v>376200</v>
      </c>
      <c r="O25" s="42">
        <f t="shared" si="9"/>
        <v>2356200</v>
      </c>
      <c r="P25" s="53">
        <f t="shared" si="10"/>
        <v>2356200</v>
      </c>
      <c r="Q25" s="128">
        <v>520000</v>
      </c>
      <c r="R25" s="42">
        <f t="shared" si="11"/>
        <v>98800</v>
      </c>
      <c r="S25" s="42">
        <f t="shared" si="12"/>
        <v>618800</v>
      </c>
      <c r="T25" s="127">
        <f t="shared" si="13"/>
        <v>618800</v>
      </c>
      <c r="U25" s="52">
        <v>126700</v>
      </c>
      <c r="V25" s="42">
        <f t="shared" si="14"/>
        <v>24073</v>
      </c>
      <c r="W25" s="42">
        <f t="shared" si="15"/>
        <v>150773</v>
      </c>
      <c r="X25" s="60">
        <f t="shared" si="16"/>
        <v>150773</v>
      </c>
      <c r="Y25" s="65">
        <f>AVERAGE(H25,L25)</f>
        <v>1011500</v>
      </c>
      <c r="Z25" s="66">
        <f>_xlfn.STDEV.S(H25,L25)</f>
        <v>84145.706961199161</v>
      </c>
      <c r="AA25" s="67">
        <f t="shared" si="1"/>
        <v>8.3189033080770303E-2</v>
      </c>
      <c r="AB25" s="115">
        <v>1</v>
      </c>
      <c r="AC25" s="120">
        <f t="shared" si="17"/>
        <v>1011500</v>
      </c>
    </row>
    <row r="26" spans="1:35" x14ac:dyDescent="0.25">
      <c r="A26" s="12">
        <v>16</v>
      </c>
      <c r="B26" s="3" t="s">
        <v>41</v>
      </c>
      <c r="C26" s="11" t="s">
        <v>4</v>
      </c>
      <c r="D26" s="24">
        <v>1</v>
      </c>
      <c r="E26" s="56">
        <v>280000</v>
      </c>
      <c r="F26" s="42">
        <f t="shared" si="2"/>
        <v>53200</v>
      </c>
      <c r="G26" s="42">
        <f t="shared" si="3"/>
        <v>333200</v>
      </c>
      <c r="H26" s="43">
        <f t="shared" si="4"/>
        <v>333200</v>
      </c>
      <c r="I26" s="56">
        <v>350000</v>
      </c>
      <c r="J26" s="42">
        <f t="shared" si="5"/>
        <v>66500</v>
      </c>
      <c r="K26" s="42">
        <f t="shared" si="6"/>
        <v>416500</v>
      </c>
      <c r="L26" s="49">
        <f t="shared" si="7"/>
        <v>416500</v>
      </c>
      <c r="M26" s="52"/>
      <c r="N26" s="42">
        <f t="shared" si="8"/>
        <v>0</v>
      </c>
      <c r="O26" s="42">
        <f t="shared" si="9"/>
        <v>0</v>
      </c>
      <c r="P26" s="53">
        <f t="shared" si="10"/>
        <v>0</v>
      </c>
      <c r="Q26" s="128">
        <v>180000</v>
      </c>
      <c r="R26" s="42">
        <f t="shared" si="11"/>
        <v>34200</v>
      </c>
      <c r="S26" s="42">
        <f t="shared" si="12"/>
        <v>214200</v>
      </c>
      <c r="T26" s="127">
        <f t="shared" si="13"/>
        <v>214200</v>
      </c>
      <c r="U26" s="52"/>
      <c r="V26" s="42">
        <f t="shared" si="14"/>
        <v>0</v>
      </c>
      <c r="W26" s="42">
        <f t="shared" si="15"/>
        <v>0</v>
      </c>
      <c r="X26" s="60">
        <f t="shared" si="16"/>
        <v>0</v>
      </c>
      <c r="Y26" s="65">
        <f>AVERAGE(H26,L26)</f>
        <v>374850</v>
      </c>
      <c r="Z26" s="66">
        <f>_xlfn.STDEV.S(H26,L26)</f>
        <v>58901.994872839408</v>
      </c>
      <c r="AA26" s="67">
        <f t="shared" si="1"/>
        <v>0.15713484026367722</v>
      </c>
      <c r="AB26" s="115">
        <v>1</v>
      </c>
      <c r="AC26" s="120">
        <f t="shared" si="17"/>
        <v>374850</v>
      </c>
    </row>
    <row r="27" spans="1:35" x14ac:dyDescent="0.25">
      <c r="A27" s="12">
        <v>17</v>
      </c>
      <c r="B27" s="3" t="s">
        <v>42</v>
      </c>
      <c r="C27" s="11" t="s">
        <v>4</v>
      </c>
      <c r="D27" s="24">
        <v>1</v>
      </c>
      <c r="E27" s="56">
        <v>130000</v>
      </c>
      <c r="F27" s="42">
        <f t="shared" si="2"/>
        <v>24700</v>
      </c>
      <c r="G27" s="42">
        <f t="shared" si="3"/>
        <v>154700</v>
      </c>
      <c r="H27" s="43">
        <f t="shared" si="4"/>
        <v>154700</v>
      </c>
      <c r="I27" s="56">
        <v>180000</v>
      </c>
      <c r="J27" s="42">
        <f t="shared" si="5"/>
        <v>34200</v>
      </c>
      <c r="K27" s="42">
        <f t="shared" si="6"/>
        <v>214200</v>
      </c>
      <c r="L27" s="49">
        <f t="shared" si="7"/>
        <v>214200</v>
      </c>
      <c r="M27" s="52"/>
      <c r="N27" s="42">
        <f t="shared" si="8"/>
        <v>0</v>
      </c>
      <c r="O27" s="42">
        <f t="shared" si="9"/>
        <v>0</v>
      </c>
      <c r="P27" s="53">
        <f t="shared" si="10"/>
        <v>0</v>
      </c>
      <c r="Q27" s="128">
        <v>160000</v>
      </c>
      <c r="R27" s="42">
        <f t="shared" si="11"/>
        <v>30400</v>
      </c>
      <c r="S27" s="42">
        <f t="shared" si="12"/>
        <v>190400</v>
      </c>
      <c r="T27" s="127">
        <f t="shared" si="13"/>
        <v>190400</v>
      </c>
      <c r="U27" s="52"/>
      <c r="V27" s="42">
        <f t="shared" si="14"/>
        <v>0</v>
      </c>
      <c r="W27" s="42">
        <f t="shared" si="15"/>
        <v>0</v>
      </c>
      <c r="X27" s="60">
        <f t="shared" si="16"/>
        <v>0</v>
      </c>
      <c r="Y27" s="65">
        <f>AVERAGE(L27,T27,H27)</f>
        <v>186433.33333333334</v>
      </c>
      <c r="Z27" s="66">
        <f>_xlfn.STDEV.S(L27,T27,H27)</f>
        <v>29947.676593240682</v>
      </c>
      <c r="AA27" s="67">
        <f t="shared" si="1"/>
        <v>0.16063477521852679</v>
      </c>
      <c r="AB27" s="115">
        <v>1</v>
      </c>
      <c r="AC27" s="120">
        <f t="shared" si="17"/>
        <v>186433.33333333334</v>
      </c>
    </row>
    <row r="28" spans="1:35" x14ac:dyDescent="0.25">
      <c r="A28" s="12">
        <v>18</v>
      </c>
      <c r="B28" s="3" t="s">
        <v>43</v>
      </c>
      <c r="C28" s="11" t="s">
        <v>4</v>
      </c>
      <c r="D28" s="24">
        <v>1</v>
      </c>
      <c r="E28" s="56">
        <v>1250000</v>
      </c>
      <c r="F28" s="42">
        <f t="shared" si="2"/>
        <v>237500</v>
      </c>
      <c r="G28" s="42">
        <f t="shared" si="3"/>
        <v>1487500</v>
      </c>
      <c r="H28" s="43">
        <f t="shared" si="4"/>
        <v>1487500</v>
      </c>
      <c r="I28" s="56">
        <v>1500000</v>
      </c>
      <c r="J28" s="42">
        <f t="shared" si="5"/>
        <v>285000</v>
      </c>
      <c r="K28" s="42">
        <f t="shared" si="6"/>
        <v>1785000</v>
      </c>
      <c r="L28" s="49">
        <f t="shared" si="7"/>
        <v>1785000</v>
      </c>
      <c r="M28" s="52"/>
      <c r="N28" s="42">
        <f t="shared" si="8"/>
        <v>0</v>
      </c>
      <c r="O28" s="42">
        <f t="shared" si="9"/>
        <v>0</v>
      </c>
      <c r="P28" s="53">
        <f t="shared" si="10"/>
        <v>0</v>
      </c>
      <c r="Q28" s="128">
        <v>850000</v>
      </c>
      <c r="R28" s="42">
        <f t="shared" si="11"/>
        <v>161500</v>
      </c>
      <c r="S28" s="42">
        <f t="shared" si="12"/>
        <v>1011500</v>
      </c>
      <c r="T28" s="127">
        <f t="shared" si="13"/>
        <v>1011500</v>
      </c>
      <c r="U28" s="52"/>
      <c r="V28" s="42">
        <f t="shared" si="14"/>
        <v>0</v>
      </c>
      <c r="W28" s="42">
        <f t="shared" si="15"/>
        <v>0</v>
      </c>
      <c r="X28" s="60">
        <f t="shared" si="16"/>
        <v>0</v>
      </c>
      <c r="Y28" s="65">
        <f>AVERAGE(H28,L28,T28)</f>
        <v>1428000</v>
      </c>
      <c r="Z28" s="66">
        <f>_xlfn.STDEV.S(H28,L28,T28)</f>
        <v>390167.59219596902</v>
      </c>
      <c r="AA28" s="67">
        <f t="shared" si="1"/>
        <v>0.27322660517925001</v>
      </c>
      <c r="AB28" s="115">
        <v>1</v>
      </c>
      <c r="AC28" s="120">
        <f t="shared" si="17"/>
        <v>1428000</v>
      </c>
    </row>
    <row r="29" spans="1:35" x14ac:dyDescent="0.25">
      <c r="A29" s="12">
        <v>19</v>
      </c>
      <c r="B29" s="3" t="s">
        <v>44</v>
      </c>
      <c r="C29" s="11" t="s">
        <v>4</v>
      </c>
      <c r="D29" s="24">
        <v>1</v>
      </c>
      <c r="E29" s="56">
        <v>30000</v>
      </c>
      <c r="F29" s="42">
        <f t="shared" si="2"/>
        <v>5700</v>
      </c>
      <c r="G29" s="42">
        <f t="shared" si="3"/>
        <v>35700</v>
      </c>
      <c r="H29" s="43">
        <f t="shared" si="4"/>
        <v>35700</v>
      </c>
      <c r="I29" s="56">
        <v>50000</v>
      </c>
      <c r="J29" s="42">
        <f t="shared" si="5"/>
        <v>9500</v>
      </c>
      <c r="K29" s="42">
        <f t="shared" si="6"/>
        <v>59500</v>
      </c>
      <c r="L29" s="49">
        <f t="shared" si="7"/>
        <v>59500</v>
      </c>
      <c r="M29" s="52">
        <v>58000</v>
      </c>
      <c r="N29" s="42">
        <f t="shared" si="8"/>
        <v>11020</v>
      </c>
      <c r="O29" s="42">
        <f t="shared" si="9"/>
        <v>69020</v>
      </c>
      <c r="P29" s="53">
        <f t="shared" si="10"/>
        <v>69020</v>
      </c>
      <c r="Q29" s="128">
        <v>80000</v>
      </c>
      <c r="R29" s="42">
        <f t="shared" si="11"/>
        <v>15200</v>
      </c>
      <c r="S29" s="42">
        <f t="shared" si="12"/>
        <v>95200</v>
      </c>
      <c r="T29" s="127">
        <f t="shared" si="13"/>
        <v>95200</v>
      </c>
      <c r="U29" s="52">
        <v>97634</v>
      </c>
      <c r="V29" s="42">
        <f t="shared" si="14"/>
        <v>18550.46</v>
      </c>
      <c r="W29" s="42">
        <f t="shared" si="15"/>
        <v>116184.45999999999</v>
      </c>
      <c r="X29" s="60">
        <f t="shared" si="16"/>
        <v>116184.45999999999</v>
      </c>
      <c r="Y29" s="65">
        <f>AVERAGE(L29,P29,T29,X29)</f>
        <v>84976.114999999991</v>
      </c>
      <c r="Z29" s="66">
        <f>_xlfn.STDEV.S(L29,P29,T29,X29)</f>
        <v>25704.206293385185</v>
      </c>
      <c r="AA29" s="67">
        <f t="shared" si="1"/>
        <v>0.30248742594769351</v>
      </c>
      <c r="AB29" s="115">
        <v>1</v>
      </c>
      <c r="AC29" s="120">
        <f t="shared" si="17"/>
        <v>84976.114999999991</v>
      </c>
    </row>
    <row r="30" spans="1:35" x14ac:dyDescent="0.25">
      <c r="A30" s="12">
        <v>20</v>
      </c>
      <c r="B30" s="3" t="s">
        <v>45</v>
      </c>
      <c r="C30" s="11" t="s">
        <v>4</v>
      </c>
      <c r="D30" s="24">
        <v>1</v>
      </c>
      <c r="E30" s="56">
        <v>120000</v>
      </c>
      <c r="F30" s="42">
        <f t="shared" si="2"/>
        <v>22800</v>
      </c>
      <c r="G30" s="42">
        <f t="shared" si="3"/>
        <v>142800</v>
      </c>
      <c r="H30" s="43">
        <f t="shared" si="4"/>
        <v>142800</v>
      </c>
      <c r="I30" s="56">
        <v>180000</v>
      </c>
      <c r="J30" s="42">
        <f t="shared" si="5"/>
        <v>34200</v>
      </c>
      <c r="K30" s="42">
        <f t="shared" si="6"/>
        <v>214200</v>
      </c>
      <c r="L30" s="49">
        <f t="shared" si="7"/>
        <v>214200</v>
      </c>
      <c r="M30" s="52">
        <v>110000</v>
      </c>
      <c r="N30" s="42">
        <f t="shared" si="8"/>
        <v>20900</v>
      </c>
      <c r="O30" s="42">
        <f t="shared" si="9"/>
        <v>130900</v>
      </c>
      <c r="P30" s="53">
        <f t="shared" si="10"/>
        <v>130900</v>
      </c>
      <c r="Q30" s="128">
        <v>180000</v>
      </c>
      <c r="R30" s="42">
        <f t="shared" si="11"/>
        <v>34200</v>
      </c>
      <c r="S30" s="42">
        <f t="shared" si="12"/>
        <v>214200</v>
      </c>
      <c r="T30" s="127">
        <f t="shared" si="13"/>
        <v>214200</v>
      </c>
      <c r="U30" s="52"/>
      <c r="V30" s="42">
        <f t="shared" si="14"/>
        <v>0</v>
      </c>
      <c r="W30" s="42">
        <f t="shared" si="15"/>
        <v>0</v>
      </c>
      <c r="X30" s="60">
        <f t="shared" si="16"/>
        <v>0</v>
      </c>
      <c r="Y30" s="65">
        <f>AVERAGE(H30,L30,P30,T30)</f>
        <v>175525</v>
      </c>
      <c r="Z30" s="66">
        <f>_xlfn.STDEV.S(H30,L30,P30,T30)</f>
        <v>44921.514889860962</v>
      </c>
      <c r="AA30" s="67">
        <f t="shared" si="1"/>
        <v>0.25592659102612714</v>
      </c>
      <c r="AB30" s="115">
        <v>1</v>
      </c>
      <c r="AC30" s="120">
        <f t="shared" si="17"/>
        <v>175525</v>
      </c>
    </row>
    <row r="31" spans="1:35" x14ac:dyDescent="0.25">
      <c r="A31" s="12">
        <v>21</v>
      </c>
      <c r="B31" s="3" t="s">
        <v>9</v>
      </c>
      <c r="C31" s="11" t="s">
        <v>4</v>
      </c>
      <c r="D31" s="24">
        <v>1</v>
      </c>
      <c r="E31" s="56">
        <v>220000</v>
      </c>
      <c r="F31" s="42">
        <f t="shared" si="2"/>
        <v>41800</v>
      </c>
      <c r="G31" s="42">
        <f t="shared" si="3"/>
        <v>261800</v>
      </c>
      <c r="H31" s="43">
        <f t="shared" si="4"/>
        <v>261800</v>
      </c>
      <c r="I31" s="56">
        <v>250000</v>
      </c>
      <c r="J31" s="42">
        <f t="shared" si="5"/>
        <v>47500</v>
      </c>
      <c r="K31" s="42">
        <f t="shared" si="6"/>
        <v>297500</v>
      </c>
      <c r="L31" s="49">
        <f t="shared" si="7"/>
        <v>297500</v>
      </c>
      <c r="M31" s="52">
        <v>289000</v>
      </c>
      <c r="N31" s="42">
        <f t="shared" si="8"/>
        <v>54910</v>
      </c>
      <c r="O31" s="42">
        <f t="shared" si="9"/>
        <v>343910</v>
      </c>
      <c r="P31" s="53">
        <f t="shared" si="10"/>
        <v>343910</v>
      </c>
      <c r="Q31" s="128">
        <v>170000</v>
      </c>
      <c r="R31" s="42">
        <f t="shared" si="11"/>
        <v>32300</v>
      </c>
      <c r="S31" s="42">
        <f t="shared" si="12"/>
        <v>202300</v>
      </c>
      <c r="T31" s="127">
        <f t="shared" si="13"/>
        <v>202300</v>
      </c>
      <c r="U31" s="52">
        <v>356700</v>
      </c>
      <c r="V31" s="42">
        <f t="shared" si="14"/>
        <v>67773</v>
      </c>
      <c r="W31" s="42">
        <f t="shared" si="15"/>
        <v>424473</v>
      </c>
      <c r="X31" s="60">
        <f t="shared" si="16"/>
        <v>424473</v>
      </c>
      <c r="Y31" s="65">
        <f>AVERAGE(H31,L31,X31,P31,T31)</f>
        <v>305996.59999999998</v>
      </c>
      <c r="Z31" s="66">
        <f>_xlfn.STDEV.S(H31,L31,P31,X31,T31)</f>
        <v>84042.548407339506</v>
      </c>
      <c r="AA31" s="67">
        <f t="shared" si="1"/>
        <v>0.2746519026921852</v>
      </c>
      <c r="AB31" s="115">
        <v>1</v>
      </c>
      <c r="AC31" s="120">
        <f t="shared" si="17"/>
        <v>305996.59999999998</v>
      </c>
    </row>
    <row r="32" spans="1:35" s="81" customFormat="1" x14ac:dyDescent="0.25">
      <c r="A32" s="68"/>
      <c r="B32" s="23" t="s">
        <v>15</v>
      </c>
      <c r="C32" s="88"/>
      <c r="D32" s="98"/>
      <c r="E32" s="99"/>
      <c r="F32" s="100"/>
      <c r="G32" s="100"/>
      <c r="H32" s="101"/>
      <c r="I32" s="102"/>
      <c r="J32" s="103"/>
      <c r="K32" s="103"/>
      <c r="L32" s="104"/>
      <c r="M32" s="105"/>
      <c r="N32" s="100"/>
      <c r="O32" s="100"/>
      <c r="P32" s="101"/>
      <c r="Q32" s="99"/>
      <c r="R32" s="100"/>
      <c r="S32" s="100"/>
      <c r="T32" s="101"/>
      <c r="U32" s="99"/>
      <c r="V32" s="100"/>
      <c r="W32" s="100"/>
      <c r="X32" s="101"/>
      <c r="Y32" s="106"/>
      <c r="Z32" s="104"/>
      <c r="AA32" s="104"/>
      <c r="AB32" s="118"/>
      <c r="AC32" s="104"/>
      <c r="AD32"/>
      <c r="AE32"/>
      <c r="AF32"/>
      <c r="AG32"/>
      <c r="AH32"/>
      <c r="AI32"/>
    </row>
    <row r="33" spans="1:29" x14ac:dyDescent="0.25">
      <c r="A33" s="12">
        <v>22</v>
      </c>
      <c r="B33" s="4" t="s">
        <v>16</v>
      </c>
      <c r="C33" s="11" t="s">
        <v>4</v>
      </c>
      <c r="D33" s="24">
        <v>1</v>
      </c>
      <c r="E33" s="56">
        <v>4500000</v>
      </c>
      <c r="F33" s="42">
        <f>E33*19%</f>
        <v>855000</v>
      </c>
      <c r="G33" s="42">
        <f>E33+F33</f>
        <v>5355000</v>
      </c>
      <c r="H33" s="43">
        <f>G33*D33</f>
        <v>5355000</v>
      </c>
      <c r="I33" s="56">
        <v>5200000</v>
      </c>
      <c r="J33" s="42">
        <f>I33*19%</f>
        <v>988000</v>
      </c>
      <c r="K33" s="42">
        <f>I33+J33</f>
        <v>6188000</v>
      </c>
      <c r="L33" s="49">
        <f>K33*D33</f>
        <v>6188000</v>
      </c>
      <c r="M33" s="52">
        <v>3850000</v>
      </c>
      <c r="N33" s="42">
        <f>M33*19%</f>
        <v>731500</v>
      </c>
      <c r="O33" s="42">
        <f>M33+N33</f>
        <v>4581500</v>
      </c>
      <c r="P33" s="53">
        <f>O33*D33</f>
        <v>4581500</v>
      </c>
      <c r="Q33" s="128">
        <v>2650000</v>
      </c>
      <c r="R33" s="42">
        <f>Q33*19%</f>
        <v>503500</v>
      </c>
      <c r="S33" s="42">
        <f>Q33+R33</f>
        <v>3153500</v>
      </c>
      <c r="T33" s="127">
        <f>S33*D33</f>
        <v>3153500</v>
      </c>
      <c r="U33" s="52">
        <v>4789000</v>
      </c>
      <c r="V33" s="42">
        <f>U33*19%</f>
        <v>909910</v>
      </c>
      <c r="W33" s="42">
        <f>U33+V33</f>
        <v>5698910</v>
      </c>
      <c r="X33" s="60">
        <f>W33*D33</f>
        <v>5698910</v>
      </c>
      <c r="Y33" s="65">
        <f>AVERAGE(H33,L33,X33,P33,T33)</f>
        <v>4995382</v>
      </c>
      <c r="Z33" s="66">
        <f>_xlfn.STDEV.S(H33,L33,X33,P33,T33)</f>
        <v>1184318.5866227043</v>
      </c>
      <c r="AA33" s="67">
        <f t="shared" si="1"/>
        <v>0.23708268689415629</v>
      </c>
      <c r="AB33" s="115">
        <v>1</v>
      </c>
      <c r="AC33" s="120">
        <f t="shared" si="17"/>
        <v>4995382</v>
      </c>
    </row>
    <row r="34" spans="1:29" x14ac:dyDescent="0.25">
      <c r="A34" s="12">
        <v>23</v>
      </c>
      <c r="B34" s="5" t="s">
        <v>17</v>
      </c>
      <c r="C34" s="11" t="s">
        <v>4</v>
      </c>
      <c r="D34" s="24">
        <v>1</v>
      </c>
      <c r="E34" s="56">
        <v>450000</v>
      </c>
      <c r="F34" s="42">
        <f>E34*19%</f>
        <v>85500</v>
      </c>
      <c r="G34" s="42">
        <f>E34+F34</f>
        <v>535500</v>
      </c>
      <c r="H34" s="43">
        <f>G34*D34</f>
        <v>535500</v>
      </c>
      <c r="I34" s="56">
        <v>580000</v>
      </c>
      <c r="J34" s="42">
        <f>I34*19%</f>
        <v>110200</v>
      </c>
      <c r="K34" s="42">
        <f>I34+J34</f>
        <v>690200</v>
      </c>
      <c r="L34" s="49">
        <f>K34*D34</f>
        <v>690200</v>
      </c>
      <c r="M34" s="52"/>
      <c r="N34" s="42">
        <f>M34*19%</f>
        <v>0</v>
      </c>
      <c r="O34" s="42">
        <f>M34+N34</f>
        <v>0</v>
      </c>
      <c r="P34" s="53">
        <f>O34*D34</f>
        <v>0</v>
      </c>
      <c r="Q34" s="128"/>
      <c r="R34" s="42">
        <f>Q34*19%</f>
        <v>0</v>
      </c>
      <c r="S34" s="42">
        <f>Q34+R34</f>
        <v>0</v>
      </c>
      <c r="T34" s="127">
        <f>S34*D34</f>
        <v>0</v>
      </c>
      <c r="U34" s="52">
        <v>578900</v>
      </c>
      <c r="V34" s="42">
        <f>U34*19%</f>
        <v>109991</v>
      </c>
      <c r="W34" s="42">
        <f>U34+V34</f>
        <v>688891</v>
      </c>
      <c r="X34" s="60">
        <f>W34*D34</f>
        <v>688891</v>
      </c>
      <c r="Y34" s="65">
        <f>AVERAGE(H34,L34,X34)</f>
        <v>638197</v>
      </c>
      <c r="Z34" s="66">
        <f>_xlfn.STDEV.S(H34,L34,X34)</f>
        <v>88940.619106232902</v>
      </c>
      <c r="AA34" s="67">
        <f t="shared" si="1"/>
        <v>0.13936232715953364</v>
      </c>
      <c r="AB34" s="115">
        <v>1</v>
      </c>
      <c r="AC34" s="120">
        <f t="shared" si="17"/>
        <v>638197</v>
      </c>
    </row>
    <row r="35" spans="1:29" ht="15.75" thickBot="1" x14ac:dyDescent="0.3">
      <c r="A35" s="17">
        <v>24</v>
      </c>
      <c r="B35" s="6" t="s">
        <v>18</v>
      </c>
      <c r="C35" s="18" t="s">
        <v>4</v>
      </c>
      <c r="D35" s="29">
        <v>1</v>
      </c>
      <c r="E35" s="57">
        <v>680000</v>
      </c>
      <c r="F35" s="44">
        <f>E35*19%</f>
        <v>129200</v>
      </c>
      <c r="G35" s="44">
        <f>E35+F35</f>
        <v>809200</v>
      </c>
      <c r="H35" s="45">
        <f>G35*D35</f>
        <v>809200</v>
      </c>
      <c r="I35" s="57">
        <v>750000</v>
      </c>
      <c r="J35" s="44">
        <f>I35*19%</f>
        <v>142500</v>
      </c>
      <c r="K35" s="44">
        <f>I35+J35</f>
        <v>892500</v>
      </c>
      <c r="L35" s="50">
        <f>K35*D35</f>
        <v>892500</v>
      </c>
      <c r="M35" s="54">
        <v>890000</v>
      </c>
      <c r="N35" s="44">
        <f>M35*19%</f>
        <v>169100</v>
      </c>
      <c r="O35" s="44">
        <f>M35+N35</f>
        <v>1059100</v>
      </c>
      <c r="P35" s="58">
        <f>O35*D35</f>
        <v>1059100</v>
      </c>
      <c r="Q35" s="129">
        <v>880000</v>
      </c>
      <c r="R35" s="44">
        <f>Q35*19%</f>
        <v>167200</v>
      </c>
      <c r="S35" s="44">
        <f>Q35+R35</f>
        <v>1047200</v>
      </c>
      <c r="T35" s="127">
        <f>S35*D35</f>
        <v>1047200</v>
      </c>
      <c r="U35" s="54">
        <v>765900</v>
      </c>
      <c r="V35" s="44">
        <f>U35*19%</f>
        <v>145521</v>
      </c>
      <c r="W35" s="44">
        <f>U35+V35</f>
        <v>911421</v>
      </c>
      <c r="X35" s="61">
        <f>W35*D35</f>
        <v>911421</v>
      </c>
      <c r="Y35" s="107">
        <f>AVERAGE(H35,L35,X35,P35,T35)</f>
        <v>943884.2</v>
      </c>
      <c r="Z35" s="108">
        <f>_xlfn.STDEV.S(H35,L35,X35,P35,T35)</f>
        <v>106984.65333027887</v>
      </c>
      <c r="AA35" s="109">
        <f t="shared" si="1"/>
        <v>0.1133451045480779</v>
      </c>
      <c r="AB35" s="119">
        <v>1</v>
      </c>
      <c r="AC35" s="121">
        <f t="shared" si="17"/>
        <v>943884.2</v>
      </c>
    </row>
    <row r="36" spans="1:29" ht="15.75" thickBot="1" x14ac:dyDescent="0.3">
      <c r="A36" s="4"/>
      <c r="B36" s="4"/>
      <c r="C36" s="4"/>
      <c r="D36" s="4"/>
      <c r="E36" s="4"/>
      <c r="F36" s="4"/>
      <c r="G36" s="19" t="s">
        <v>19</v>
      </c>
      <c r="H36" s="46">
        <f>SUM(H8:H11,H13:H16,H18:H21,H23:H31,H33:H35)</f>
        <v>18088000</v>
      </c>
      <c r="I36" s="4"/>
      <c r="J36" s="4"/>
      <c r="K36" s="20"/>
      <c r="L36" s="51">
        <f>SUM(L8:L35)</f>
        <v>21919800</v>
      </c>
      <c r="M36" s="4"/>
      <c r="N36" s="4"/>
      <c r="O36" s="4"/>
      <c r="P36" s="59">
        <f>SUM(P8:P35)</f>
        <v>11265730</v>
      </c>
      <c r="Q36" s="123"/>
      <c r="R36" s="123"/>
      <c r="S36" s="123"/>
      <c r="T36" s="123"/>
      <c r="U36" s="21"/>
      <c r="V36" s="20"/>
      <c r="W36" s="22"/>
      <c r="X36" s="110">
        <f>SUM(X8:X35)</f>
        <v>12193732.460000001</v>
      </c>
      <c r="Y36" s="111">
        <f>AVERAGE(X36,P36,L36,H36)</f>
        <v>15866815.615</v>
      </c>
      <c r="Z36" s="158" t="s">
        <v>51</v>
      </c>
      <c r="AA36" s="159"/>
      <c r="AB36" s="160"/>
      <c r="AC36" s="122">
        <f>SUM(AC8:AC35)</f>
        <v>41298150.915000007</v>
      </c>
    </row>
    <row r="37" spans="1:29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</sheetData>
  <mergeCells count="11">
    <mergeCell ref="Z36:AB36"/>
    <mergeCell ref="U6:X6"/>
    <mergeCell ref="I6:L6"/>
    <mergeCell ref="Y6:AA6"/>
    <mergeCell ref="B5:H5"/>
    <mergeCell ref="Q6:T6"/>
    <mergeCell ref="A3:H3"/>
    <mergeCell ref="A4:H4"/>
    <mergeCell ref="E6:H6"/>
    <mergeCell ref="A6:D6"/>
    <mergeCell ref="M6:P6"/>
  </mergeCells>
  <conditionalFormatting sqref="AA8">
    <cfRule type="cellIs" dxfId="1" priority="2" operator="greaterThanOrEqual">
      <formula>30</formula>
    </cfRule>
  </conditionalFormatting>
  <conditionalFormatting sqref="AA8:AA11">
    <cfRule type="cellIs" priority="4" operator="greaterThanOrEqual">
      <formula>31</formula>
    </cfRule>
  </conditionalFormatting>
  <conditionalFormatting sqref="AA8:AA35">
    <cfRule type="cellIs" dxfId="0" priority="1" operator="greaterThan">
      <formula>0.31</formula>
    </cfRule>
  </conditionalFormatting>
  <pageMargins left="0.25" right="0.25" top="0.75" bottom="0.75" header="0.3" footer="0.3"/>
  <pageSetup paperSize="9" scale="75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76DF3B08D03B34B91F992FA5829B101" ma:contentTypeVersion="18" ma:contentTypeDescription="Crear nuevo documento." ma:contentTypeScope="" ma:versionID="f45424709a276ea03c3ae576b90fc701">
  <xsd:schema xmlns:xsd="http://www.w3.org/2001/XMLSchema" xmlns:xs="http://www.w3.org/2001/XMLSchema" xmlns:p="http://schemas.microsoft.com/office/2006/metadata/properties" xmlns:ns3="5074ac74-b766-45bb-bfb7-2b9c165faf29" xmlns:ns4="918d46ae-bc80-4b93-8345-0c7a35c27299" targetNamespace="http://schemas.microsoft.com/office/2006/metadata/properties" ma:root="true" ma:fieldsID="e41ac569851757aae84ab93490819656" ns3:_="" ns4:_="">
    <xsd:import namespace="5074ac74-b766-45bb-bfb7-2b9c165faf29"/>
    <xsd:import namespace="918d46ae-bc80-4b93-8345-0c7a35c2729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GenerationTime" minOccurs="0"/>
                <xsd:element ref="ns4:MediaServiceEventHashCode" minOccurs="0"/>
                <xsd:element ref="ns4:MediaLengthInSeconds" minOccurs="0"/>
                <xsd:element ref="ns4:MediaServiceAutoKeyPoints" minOccurs="0"/>
                <xsd:element ref="ns4:MediaServiceKeyPoints" minOccurs="0"/>
                <xsd:element ref="ns4:MediaServiceLocation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74ac74-b766-45bb-bfb7-2b9c165faf2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8d46ae-bc80-4b93-8345-0c7a35c272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18d46ae-bc80-4b93-8345-0c7a35c27299" xsi:nil="true"/>
  </documentManagement>
</p:properties>
</file>

<file path=customXml/itemProps1.xml><?xml version="1.0" encoding="utf-8"?>
<ds:datastoreItem xmlns:ds="http://schemas.openxmlformats.org/officeDocument/2006/customXml" ds:itemID="{364CC8D4-2E79-4545-9B55-CC46B0B93F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74ac74-b766-45bb-bfb7-2b9c165faf29"/>
    <ds:schemaRef ds:uri="918d46ae-bc80-4b93-8345-0c7a35c272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E4778DD-25AE-46E2-94E9-B92EB612190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238793-7342-46A6-BD93-6584FF23521A}">
  <ds:schemaRefs>
    <ds:schemaRef ds:uri="http://purl.org/dc/elements/1.1/"/>
    <ds:schemaRef ds:uri="http://schemas.microsoft.com/office/2006/metadata/properties"/>
    <ds:schemaRef ds:uri="918d46ae-bc80-4b93-8345-0c7a35c27299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5074ac74-b766-45bb-bfb7-2b9c165faf29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</dc:creator>
  <cp:lastModifiedBy>Dimelza Mendoza Rueda</cp:lastModifiedBy>
  <cp:lastPrinted>2026-04-22T11:56:00Z</cp:lastPrinted>
  <dcterms:created xsi:type="dcterms:W3CDTF">2026-03-19T17:40:58Z</dcterms:created>
  <dcterms:modified xsi:type="dcterms:W3CDTF">2026-07-21T16:17:13Z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0x010100376DF3B08D03B34B91F992FA5829B101</vt:lpwstr>
  </property>
</Properties>
</file>