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fiscaliagovco-my.sharepoint.com/personal/rosana_llinas_fiscalia_gov_co/Documents/WONDER OFICINA/CONTRATACIÓN  REGIONAL CARIBE/2026/SUBASTA/MOBILIARIO/"/>
    </mc:Choice>
  </mc:AlternateContent>
  <xr:revisionPtr revIDLastSave="557" documentId="11_3E3C04D4733A2D10E339EE5BB85C800E249F8041" xr6:coauthVersionLast="47" xr6:coauthVersionMax="47" xr10:uidLastSave="{FDBB11C5-6785-4D25-A8A1-38F2BF9F49C6}"/>
  <bookViews>
    <workbookView xWindow="-120" yWindow="-120" windowWidth="29040" windowHeight="15720" activeTab="2" xr2:uid="{00000000-000D-0000-FFFF-FFFF00000000}"/>
  </bookViews>
  <sheets>
    <sheet name="ANEXO 1 - COTIZACIONES" sheetId="18" r:id="rId1"/>
    <sheet name="ANEXO 2 - HISTORICOS" sheetId="16" r:id="rId2"/>
    <sheet name="ANEXO 3 - PROY COSTOS" sheetId="19" r:id="rId3"/>
  </sheets>
  <definedNames>
    <definedName name="_xlnm._FilterDatabase" localSheetId="0" hidden="1">'ANEXO 1 - COTIZACIONES'!$A$5:$X$5</definedName>
    <definedName name="_xlnm._FilterDatabase" localSheetId="1" hidden="1">'ANEXO 2 - HISTORICOS'!$A$8:$M$8</definedName>
    <definedName name="_xlnm._FilterDatabase" localSheetId="2" hidden="1">'ANEXO 3 - PROY COSTOS'!$A$6:$L$6</definedName>
    <definedName name="_xlnm.Print_Area" localSheetId="0">'ANEXO 1 - COTIZACIONES'!$A$1:$AA$5</definedName>
    <definedName name="_xlnm.Print_Area" localSheetId="1">'ANEXO 2 - HISTORICOS'!$A$1:$P$8</definedName>
    <definedName name="_xlnm.Print_Area" localSheetId="2">'ANEXO 3 - PROY COSTOS'!$A$1:$O$6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29" i="19" l="1"/>
  <c r="Z7" i="19"/>
  <c r="Z8" i="19"/>
  <c r="Z9" i="19"/>
  <c r="Z10" i="19"/>
  <c r="Z11" i="19"/>
  <c r="Z12" i="19"/>
  <c r="Z13" i="19"/>
  <c r="Z14" i="19"/>
  <c r="Z15" i="19"/>
  <c r="Z16" i="19"/>
  <c r="Z17" i="19"/>
  <c r="Z18" i="19"/>
  <c r="Z19" i="19"/>
  <c r="Z20" i="19"/>
  <c r="Z21" i="19"/>
  <c r="Z22" i="19"/>
  <c r="Z23" i="19"/>
  <c r="Z24" i="19"/>
  <c r="Z25" i="19"/>
  <c r="Z26" i="19"/>
  <c r="Z27" i="19"/>
  <c r="Z6" i="19"/>
  <c r="AB6" i="18"/>
  <c r="AB27" i="18" s="1"/>
  <c r="AB31" i="18" s="1"/>
  <c r="AB7" i="18"/>
  <c r="AB8" i="18"/>
  <c r="AB9" i="18"/>
  <c r="AB10" i="18"/>
  <c r="AB11" i="18"/>
  <c r="AB12" i="18"/>
  <c r="AB13" i="18"/>
  <c r="AB14" i="18"/>
  <c r="AB15" i="18"/>
  <c r="AB16" i="18"/>
  <c r="AB17" i="18"/>
  <c r="AB18" i="18"/>
  <c r="AB19" i="18"/>
  <c r="AB20" i="18"/>
  <c r="AB21" i="18"/>
  <c r="AB22" i="18"/>
  <c r="AB23" i="18"/>
  <c r="AB24" i="18"/>
  <c r="AB25" i="18"/>
  <c r="AB26" i="18"/>
  <c r="AB5" i="18"/>
  <c r="AC19" i="18"/>
  <c r="AC15" i="18"/>
  <c r="AC13" i="18"/>
  <c r="AC12" i="18"/>
  <c r="AC11" i="18"/>
  <c r="AC9" i="18"/>
  <c r="AC16" i="18"/>
  <c r="AC20" i="18"/>
  <c r="AC24" i="18"/>
  <c r="AC26" i="18"/>
  <c r="AC10" i="18"/>
  <c r="AC7" i="18"/>
  <c r="AC6" i="18"/>
  <c r="AC8" i="18"/>
  <c r="AC14" i="18"/>
  <c r="AC17" i="18"/>
  <c r="AC18" i="18"/>
  <c r="AC21" i="18"/>
  <c r="AC22" i="18"/>
  <c r="AC23" i="18"/>
  <c r="AC25" i="18"/>
  <c r="AC5" i="18"/>
  <c r="S22" i="18"/>
  <c r="R22" i="18"/>
  <c r="AC27" i="18" l="1"/>
  <c r="S23" i="18" l="1"/>
  <c r="R23" i="18"/>
  <c r="S25" i="18"/>
  <c r="R25" i="18"/>
  <c r="S18" i="18" l="1"/>
  <c r="R18" i="18"/>
  <c r="S21" i="18"/>
  <c r="R21" i="18"/>
  <c r="S17" i="18"/>
  <c r="R17" i="18"/>
  <c r="S14" i="18"/>
  <c r="R14" i="18"/>
  <c r="S12" i="18"/>
  <c r="R12" i="18"/>
  <c r="S8" i="18" l="1"/>
  <c r="R8" i="18"/>
  <c r="S5" i="18"/>
  <c r="R5" i="18"/>
  <c r="J10" i="16"/>
  <c r="J8" i="19" s="1" a="1"/>
  <c r="J8" i="19" s="1"/>
  <c r="AA8" i="19" s="1"/>
  <c r="J11" i="16"/>
  <c r="J9" i="19" s="1" a="1"/>
  <c r="J9" i="19" s="1"/>
  <c r="AA9" i="19" s="1"/>
  <c r="J12" i="16"/>
  <c r="J10" i="19" s="1" a="1"/>
  <c r="J10" i="19" s="1"/>
  <c r="AA10" i="19" s="1"/>
  <c r="J13" i="16"/>
  <c r="J14" i="16"/>
  <c r="J12" i="19" s="1" a="1"/>
  <c r="J12" i="19" s="1"/>
  <c r="AA12" i="19" s="1"/>
  <c r="J15" i="16"/>
  <c r="J13" i="19" s="1" a="1"/>
  <c r="J13" i="19" s="1"/>
  <c r="AA13" i="19" s="1"/>
  <c r="J16" i="16"/>
  <c r="J14" i="19" s="1" a="1"/>
  <c r="J14" i="19" s="1"/>
  <c r="AA14" i="19" s="1"/>
  <c r="J17" i="16"/>
  <c r="J18" i="16"/>
  <c r="J16" i="19" s="1" a="1"/>
  <c r="J16" i="19" s="1"/>
  <c r="AA16" i="19" s="1"/>
  <c r="J19" i="16"/>
  <c r="J17" i="19" s="1" a="1"/>
  <c r="J17" i="19" s="1"/>
  <c r="AA17" i="19" s="1"/>
  <c r="J20" i="16"/>
  <c r="J18" i="19" s="1" a="1"/>
  <c r="J18" i="19" s="1"/>
  <c r="AA18" i="19" s="1"/>
  <c r="J21" i="16"/>
  <c r="J22" i="16"/>
  <c r="J20" i="19" s="1" a="1"/>
  <c r="J20" i="19" s="1"/>
  <c r="AA20" i="19" s="1"/>
  <c r="J23" i="16"/>
  <c r="J21" i="19" s="1" a="1"/>
  <c r="J21" i="19" s="1"/>
  <c r="AA21" i="19" s="1"/>
  <c r="J24" i="16"/>
  <c r="J22" i="19" s="1" a="1"/>
  <c r="J22" i="19" s="1"/>
  <c r="AA22" i="19" s="1"/>
  <c r="J25" i="16"/>
  <c r="J26" i="16"/>
  <c r="J24" i="19" s="1" a="1"/>
  <c r="J24" i="19" s="1"/>
  <c r="AA24" i="19" s="1"/>
  <c r="J27" i="16"/>
  <c r="J25" i="19" s="1" a="1"/>
  <c r="J25" i="19" s="1"/>
  <c r="AA25" i="19" s="1"/>
  <c r="J28" i="16"/>
  <c r="J26" i="19" s="1" a="1"/>
  <c r="J26" i="19" s="1"/>
  <c r="AA26" i="19" s="1"/>
  <c r="J29" i="16"/>
  <c r="H27" i="19"/>
  <c r="M10" i="16"/>
  <c r="N10" i="16" s="1"/>
  <c r="O10" i="16" s="1"/>
  <c r="M11" i="16"/>
  <c r="N11" i="16" s="1"/>
  <c r="O11" i="16" s="1"/>
  <c r="M19" i="16"/>
  <c r="N19" i="16" s="1"/>
  <c r="O19" i="16" s="1"/>
  <c r="B27" i="19"/>
  <c r="C27" i="19"/>
  <c r="D27" i="19"/>
  <c r="E27" i="19"/>
  <c r="F27" i="19"/>
  <c r="B7" i="19"/>
  <c r="D7" i="19"/>
  <c r="E7" i="19"/>
  <c r="F7" i="19"/>
  <c r="B8" i="19"/>
  <c r="D8" i="19"/>
  <c r="E8" i="19"/>
  <c r="F8" i="19"/>
  <c r="B9" i="19"/>
  <c r="D9" i="19"/>
  <c r="E9" i="19"/>
  <c r="F9" i="19"/>
  <c r="B10" i="19"/>
  <c r="D10" i="19"/>
  <c r="E10" i="19"/>
  <c r="F10" i="19"/>
  <c r="B11" i="19"/>
  <c r="D11" i="19"/>
  <c r="E11" i="19"/>
  <c r="F11" i="19"/>
  <c r="B12" i="19"/>
  <c r="D12" i="19"/>
  <c r="E12" i="19"/>
  <c r="F12" i="19"/>
  <c r="B13" i="19"/>
  <c r="C13" i="19"/>
  <c r="D13" i="19"/>
  <c r="E13" i="19"/>
  <c r="F13" i="19"/>
  <c r="B14" i="19"/>
  <c r="D14" i="19"/>
  <c r="E14" i="19"/>
  <c r="F14" i="19"/>
  <c r="B15" i="19"/>
  <c r="D15" i="19"/>
  <c r="E15" i="19"/>
  <c r="F15" i="19"/>
  <c r="B16" i="19"/>
  <c r="D16" i="19"/>
  <c r="E16" i="19"/>
  <c r="F16" i="19"/>
  <c r="B17" i="19"/>
  <c r="D17" i="19"/>
  <c r="E17" i="19"/>
  <c r="F17" i="19"/>
  <c r="B18" i="19"/>
  <c r="C18" i="19"/>
  <c r="D18" i="19"/>
  <c r="E18" i="19"/>
  <c r="F18" i="19"/>
  <c r="B19" i="19"/>
  <c r="D19" i="19"/>
  <c r="E19" i="19"/>
  <c r="F19" i="19"/>
  <c r="B20" i="19"/>
  <c r="D20" i="19"/>
  <c r="E20" i="19"/>
  <c r="F20" i="19"/>
  <c r="B21" i="19"/>
  <c r="D21" i="19"/>
  <c r="E21" i="19"/>
  <c r="F21" i="19"/>
  <c r="B22" i="19"/>
  <c r="C22" i="19"/>
  <c r="E22" i="19"/>
  <c r="F22" i="19"/>
  <c r="B23" i="19"/>
  <c r="C23" i="19"/>
  <c r="E23" i="19"/>
  <c r="F23" i="19"/>
  <c r="B24" i="19"/>
  <c r="C24" i="19"/>
  <c r="E24" i="19"/>
  <c r="F24" i="19"/>
  <c r="B25" i="19"/>
  <c r="C25" i="19"/>
  <c r="E25" i="19"/>
  <c r="F25" i="19"/>
  <c r="B26" i="19"/>
  <c r="C26" i="19"/>
  <c r="E26" i="19"/>
  <c r="F26" i="19"/>
  <c r="C6" i="19"/>
  <c r="D6" i="19"/>
  <c r="E6" i="19"/>
  <c r="F6" i="19"/>
  <c r="B6" i="19"/>
  <c r="B28" i="16"/>
  <c r="C28" i="16"/>
  <c r="E28" i="16"/>
  <c r="B29" i="16"/>
  <c r="C29" i="16"/>
  <c r="E29" i="16"/>
  <c r="B23" i="16"/>
  <c r="D23" i="16"/>
  <c r="E23" i="16"/>
  <c r="B24" i="16"/>
  <c r="C24" i="16"/>
  <c r="E24" i="16"/>
  <c r="B25" i="16"/>
  <c r="C25" i="16"/>
  <c r="E25" i="16"/>
  <c r="B26" i="16"/>
  <c r="C26" i="16"/>
  <c r="E26" i="16"/>
  <c r="B27" i="16"/>
  <c r="C27" i="16"/>
  <c r="E27" i="16"/>
  <c r="B18" i="16"/>
  <c r="D18" i="16"/>
  <c r="E18" i="16"/>
  <c r="B19" i="16"/>
  <c r="D19" i="16"/>
  <c r="E19" i="16"/>
  <c r="B20" i="16"/>
  <c r="C20" i="16"/>
  <c r="D20" i="16"/>
  <c r="E20" i="16"/>
  <c r="B21" i="16"/>
  <c r="D21" i="16"/>
  <c r="E21" i="16"/>
  <c r="B22" i="16"/>
  <c r="D22" i="16"/>
  <c r="E22" i="16"/>
  <c r="B9" i="16"/>
  <c r="D9" i="16"/>
  <c r="E9" i="16"/>
  <c r="B10" i="16"/>
  <c r="D10" i="16"/>
  <c r="E10" i="16"/>
  <c r="B11" i="16"/>
  <c r="D11" i="16"/>
  <c r="E11" i="16"/>
  <c r="B12" i="16"/>
  <c r="D12" i="16"/>
  <c r="E12" i="16"/>
  <c r="B13" i="16"/>
  <c r="D13" i="16"/>
  <c r="E13" i="16"/>
  <c r="B14" i="16"/>
  <c r="D14" i="16"/>
  <c r="E14" i="16"/>
  <c r="B15" i="16"/>
  <c r="C15" i="16"/>
  <c r="D15" i="16"/>
  <c r="E15" i="16"/>
  <c r="B16" i="16"/>
  <c r="D16" i="16"/>
  <c r="E16" i="16"/>
  <c r="B17" i="16"/>
  <c r="D17" i="16"/>
  <c r="E17" i="16"/>
  <c r="C8" i="16"/>
  <c r="D8" i="16"/>
  <c r="E8" i="16"/>
  <c r="B8" i="16"/>
  <c r="R6" i="18"/>
  <c r="S6" i="18"/>
  <c r="V6" i="18" s="1"/>
  <c r="X6" i="18" s="1"/>
  <c r="Y6" i="18" s="1"/>
  <c r="Z6" i="18" s="1"/>
  <c r="AA6" i="18" s="1"/>
  <c r="T6" i="18"/>
  <c r="R7" i="18"/>
  <c r="S7" i="18"/>
  <c r="T7" i="18"/>
  <c r="T8" i="18"/>
  <c r="R9" i="18"/>
  <c r="S9" i="18"/>
  <c r="T9" i="18"/>
  <c r="R10" i="18"/>
  <c r="S10" i="18"/>
  <c r="T10" i="18"/>
  <c r="R11" i="18"/>
  <c r="S11" i="18"/>
  <c r="T11" i="18"/>
  <c r="T12" i="18"/>
  <c r="R13" i="18"/>
  <c r="S13" i="18"/>
  <c r="T13" i="18"/>
  <c r="T14" i="18"/>
  <c r="R15" i="18"/>
  <c r="S15" i="18"/>
  <c r="T15" i="18"/>
  <c r="R16" i="18"/>
  <c r="S16" i="18"/>
  <c r="T16" i="18"/>
  <c r="T17" i="18"/>
  <c r="T18" i="18"/>
  <c r="R19" i="18"/>
  <c r="S19" i="18"/>
  <c r="T19" i="18"/>
  <c r="R20" i="18"/>
  <c r="S20" i="18"/>
  <c r="T20" i="18"/>
  <c r="T21" i="18"/>
  <c r="T22" i="18"/>
  <c r="V23" i="18"/>
  <c r="X23" i="18" s="1"/>
  <c r="Y23" i="18" s="1"/>
  <c r="Z23" i="18" s="1"/>
  <c r="AA23" i="18" s="1"/>
  <c r="T23" i="18"/>
  <c r="R24" i="18"/>
  <c r="S24" i="18"/>
  <c r="T24" i="18"/>
  <c r="T25" i="18"/>
  <c r="R26" i="18"/>
  <c r="S26" i="18"/>
  <c r="V26" i="18" s="1"/>
  <c r="X26" i="18" s="1"/>
  <c r="Y26" i="18" s="1"/>
  <c r="Z26" i="18" s="1"/>
  <c r="AA26" i="18" s="1"/>
  <c r="T26" i="18"/>
  <c r="J9" i="16"/>
  <c r="J8" i="16"/>
  <c r="J6" i="19" s="1" a="1"/>
  <c r="J6" i="19" s="1"/>
  <c r="AA6" i="19" s="1"/>
  <c r="T5" i="18"/>
  <c r="M14" i="16" l="1"/>
  <c r="N14" i="16" s="1"/>
  <c r="O14" i="16" s="1"/>
  <c r="P11" i="16"/>
  <c r="AD26" i="19"/>
  <c r="AB26" i="19"/>
  <c r="AD22" i="19"/>
  <c r="AB22" i="19"/>
  <c r="AD18" i="19"/>
  <c r="AB18" i="19"/>
  <c r="AD14" i="19"/>
  <c r="AB14" i="19"/>
  <c r="AD10" i="19"/>
  <c r="AB10" i="19"/>
  <c r="AD25" i="19"/>
  <c r="AB25" i="19"/>
  <c r="AD21" i="19"/>
  <c r="AB21" i="19"/>
  <c r="AD17" i="19"/>
  <c r="AB17" i="19"/>
  <c r="AD13" i="19"/>
  <c r="AB13" i="19"/>
  <c r="AD9" i="19"/>
  <c r="AB9" i="19"/>
  <c r="AD6" i="19"/>
  <c r="AB6" i="19"/>
  <c r="AD24" i="19"/>
  <c r="AB24" i="19"/>
  <c r="AD20" i="19"/>
  <c r="AB20" i="19"/>
  <c r="AD16" i="19"/>
  <c r="AB16" i="19"/>
  <c r="AD12" i="19"/>
  <c r="AB12" i="19"/>
  <c r="AD8" i="19"/>
  <c r="AB8" i="19"/>
  <c r="P19" i="16"/>
  <c r="P10" i="16"/>
  <c r="P14" i="16"/>
  <c r="H7" i="19"/>
  <c r="M12" i="16"/>
  <c r="N12" i="16" s="1"/>
  <c r="O12" i="16" s="1"/>
  <c r="P12" i="16" s="1"/>
  <c r="M28" i="16"/>
  <c r="N28" i="16" s="1"/>
  <c r="O28" i="16" s="1"/>
  <c r="P28" i="16" s="1"/>
  <c r="M24" i="16"/>
  <c r="N24" i="16" s="1"/>
  <c r="O24" i="16" s="1"/>
  <c r="P24" i="16" s="1"/>
  <c r="M20" i="16"/>
  <c r="N20" i="16" s="1"/>
  <c r="O20" i="16" s="1"/>
  <c r="P20" i="16" s="1"/>
  <c r="M9" i="16"/>
  <c r="J7" i="19" a="1"/>
  <c r="J7" i="19" s="1"/>
  <c r="AA7" i="19" s="1"/>
  <c r="M27" i="16"/>
  <c r="N27" i="16" s="1"/>
  <c r="O27" i="16" s="1"/>
  <c r="P27" i="16" s="1"/>
  <c r="M22" i="16"/>
  <c r="N22" i="16" s="1"/>
  <c r="O22" i="16" s="1"/>
  <c r="P22" i="16" s="1"/>
  <c r="M16" i="16"/>
  <c r="N16" i="16" s="1"/>
  <c r="O16" i="16" s="1"/>
  <c r="P16" i="16" s="1"/>
  <c r="M29" i="16"/>
  <c r="N29" i="16" s="1"/>
  <c r="O29" i="16" s="1"/>
  <c r="P29" i="16" s="1"/>
  <c r="J27" i="19" a="1"/>
  <c r="J27" i="19" s="1"/>
  <c r="Y27" i="19" s="1"/>
  <c r="M25" i="16"/>
  <c r="N25" i="16" s="1"/>
  <c r="O25" i="16" s="1"/>
  <c r="P25" i="16" s="1"/>
  <c r="J23" i="19" a="1"/>
  <c r="J23" i="19" s="1"/>
  <c r="AA23" i="19" s="1"/>
  <c r="M21" i="16"/>
  <c r="N21" i="16" s="1"/>
  <c r="O21" i="16" s="1"/>
  <c r="P21" i="16" s="1"/>
  <c r="J19" i="19" a="1"/>
  <c r="J19" i="19" s="1"/>
  <c r="AA19" i="19" s="1"/>
  <c r="M17" i="16"/>
  <c r="N17" i="16" s="1"/>
  <c r="O17" i="16" s="1"/>
  <c r="P17" i="16" s="1"/>
  <c r="J15" i="19" a="1"/>
  <c r="J15" i="19" s="1"/>
  <c r="AA15" i="19" s="1"/>
  <c r="M13" i="16"/>
  <c r="N13" i="16" s="1"/>
  <c r="O13" i="16" s="1"/>
  <c r="P13" i="16" s="1"/>
  <c r="J11" i="19" a="1"/>
  <c r="J11" i="19" s="1"/>
  <c r="AA11" i="19" s="1"/>
  <c r="M23" i="16"/>
  <c r="N23" i="16" s="1"/>
  <c r="O23" i="16" s="1"/>
  <c r="P23" i="16" s="1"/>
  <c r="M18" i="16"/>
  <c r="N18" i="16" s="1"/>
  <c r="O18" i="16" s="1"/>
  <c r="P18" i="16" s="1"/>
  <c r="M26" i="16"/>
  <c r="N26" i="16" s="1"/>
  <c r="O26" i="16" s="1"/>
  <c r="P26" i="16" s="1"/>
  <c r="M15" i="16"/>
  <c r="N15" i="16" s="1"/>
  <c r="O15" i="16" s="1"/>
  <c r="P15" i="16" s="1"/>
  <c r="H24" i="19"/>
  <c r="AC24" i="19" s="1"/>
  <c r="U26" i="18"/>
  <c r="V7" i="18"/>
  <c r="X7" i="18" s="1"/>
  <c r="U7" i="18"/>
  <c r="U6" i="18"/>
  <c r="U14" i="18"/>
  <c r="U12" i="18"/>
  <c r="U10" i="18"/>
  <c r="U8" i="18"/>
  <c r="V16" i="18"/>
  <c r="X16" i="18" s="1"/>
  <c r="V12" i="18"/>
  <c r="X12" i="18" s="1"/>
  <c r="V8" i="18"/>
  <c r="X8" i="18" s="1"/>
  <c r="V15" i="18"/>
  <c r="X15" i="18" s="1"/>
  <c r="V19" i="18"/>
  <c r="X19" i="18" s="1"/>
  <c r="V11" i="18"/>
  <c r="X11" i="18" s="1"/>
  <c r="U11" i="18"/>
  <c r="V9" i="18"/>
  <c r="X9" i="18" s="1"/>
  <c r="V21" i="18"/>
  <c r="X21" i="18" s="1"/>
  <c r="V17" i="18"/>
  <c r="X17" i="18" s="1"/>
  <c r="U22" i="18"/>
  <c r="U18" i="18"/>
  <c r="U16" i="18"/>
  <c r="U15" i="18"/>
  <c r="V13" i="18"/>
  <c r="X13" i="18" s="1"/>
  <c r="V14" i="18"/>
  <c r="X14" i="18" s="1"/>
  <c r="V10" i="18"/>
  <c r="X10" i="18" s="1"/>
  <c r="V22" i="18"/>
  <c r="X22" i="18" s="1"/>
  <c r="V18" i="18"/>
  <c r="X18" i="18" s="1"/>
  <c r="U24" i="18"/>
  <c r="U23" i="18"/>
  <c r="U20" i="18"/>
  <c r="U19" i="18"/>
  <c r="U17" i="18"/>
  <c r="U13" i="18"/>
  <c r="U9" i="18"/>
  <c r="V25" i="18"/>
  <c r="X25" i="18" s="1"/>
  <c r="U25" i="18"/>
  <c r="V24" i="18"/>
  <c r="X24" i="18" s="1"/>
  <c r="U21" i="18"/>
  <c r="V20" i="18"/>
  <c r="X20" i="18" s="1"/>
  <c r="V5" i="18"/>
  <c r="AD11" i="19" l="1"/>
  <c r="AB11" i="19"/>
  <c r="AD7" i="19"/>
  <c r="AB7" i="19"/>
  <c r="AD19" i="19"/>
  <c r="AB19" i="19"/>
  <c r="AD23" i="19"/>
  <c r="AB23" i="19"/>
  <c r="AD15" i="19"/>
  <c r="AB15" i="19"/>
  <c r="AC7" i="19"/>
  <c r="L27" i="19"/>
  <c r="T27" i="19" s="1"/>
  <c r="AA27" i="19"/>
  <c r="AB27" i="19" s="1"/>
  <c r="Y7" i="19"/>
  <c r="Y16" i="18"/>
  <c r="Z16" i="18" s="1"/>
  <c r="AA16" i="18" s="1"/>
  <c r="H17" i="19"/>
  <c r="AC17" i="19" s="1"/>
  <c r="Y9" i="18"/>
  <c r="Z9" i="18" s="1"/>
  <c r="AA9" i="18" s="1"/>
  <c r="H10" i="19"/>
  <c r="AC10" i="19" s="1"/>
  <c r="L24" i="19"/>
  <c r="S24" i="19" s="1"/>
  <c r="Y24" i="19"/>
  <c r="Y20" i="18"/>
  <c r="Z20" i="18" s="1"/>
  <c r="AA20" i="18" s="1"/>
  <c r="H21" i="19"/>
  <c r="AC21" i="19" s="1"/>
  <c r="Y13" i="18"/>
  <c r="Z13" i="18" s="1"/>
  <c r="AA13" i="18" s="1"/>
  <c r="H14" i="19"/>
  <c r="AC14" i="19" s="1"/>
  <c r="L7" i="19"/>
  <c r="T7" i="19" s="1"/>
  <c r="Y24" i="18"/>
  <c r="Z24" i="18" s="1"/>
  <c r="AA24" i="18" s="1"/>
  <c r="H25" i="19"/>
  <c r="AC25" i="19" s="1"/>
  <c r="Y10" i="18"/>
  <c r="Z10" i="18" s="1"/>
  <c r="AA10" i="18" s="1"/>
  <c r="H11" i="19"/>
  <c r="Y19" i="18"/>
  <c r="Z19" i="18" s="1"/>
  <c r="AA19" i="18" s="1"/>
  <c r="H20" i="19"/>
  <c r="AC20" i="19" s="1"/>
  <c r="Y15" i="18"/>
  <c r="Z15" i="18" s="1"/>
  <c r="AA15" i="18" s="1"/>
  <c r="H16" i="19"/>
  <c r="AC16" i="19" s="1"/>
  <c r="Y11" i="18"/>
  <c r="Z11" i="18" s="1"/>
  <c r="AA11" i="18" s="1"/>
  <c r="H12" i="19"/>
  <c r="AC12" i="19" s="1"/>
  <c r="Y7" i="18"/>
  <c r="Z7" i="18" s="1"/>
  <c r="AA7" i="18" s="1"/>
  <c r="H8" i="19"/>
  <c r="AC8" i="19" s="1"/>
  <c r="J28" i="19"/>
  <c r="AD28" i="19" s="1"/>
  <c r="Y22" i="18"/>
  <c r="Z22" i="18" s="1"/>
  <c r="AA22" i="18" s="1"/>
  <c r="H23" i="19"/>
  <c r="AC23" i="19" s="1"/>
  <c r="Y25" i="18"/>
  <c r="Z25" i="18" s="1"/>
  <c r="AA25" i="18" s="1"/>
  <c r="H26" i="19"/>
  <c r="AC26" i="19" s="1"/>
  <c r="Y18" i="18"/>
  <c r="Z18" i="18" s="1"/>
  <c r="AA18" i="18" s="1"/>
  <c r="H19" i="19"/>
  <c r="AC19" i="19" s="1"/>
  <c r="Y21" i="18"/>
  <c r="Z21" i="18" s="1"/>
  <c r="AA21" i="18" s="1"/>
  <c r="H22" i="19"/>
  <c r="AC22" i="19" s="1"/>
  <c r="Y17" i="18"/>
  <c r="Z17" i="18" s="1"/>
  <c r="AA17" i="18" s="1"/>
  <c r="H18" i="19"/>
  <c r="AC18" i="19" s="1"/>
  <c r="Y14" i="18"/>
  <c r="Z14" i="18" s="1"/>
  <c r="AA14" i="18" s="1"/>
  <c r="H15" i="19"/>
  <c r="Y12" i="18"/>
  <c r="Z12" i="18" s="1"/>
  <c r="AA12" i="18" s="1"/>
  <c r="H13" i="19"/>
  <c r="AC13" i="19" s="1"/>
  <c r="Y8" i="18"/>
  <c r="Z8" i="18" s="1"/>
  <c r="AA8" i="18" s="1"/>
  <c r="H9" i="19"/>
  <c r="AC9" i="19" s="1"/>
  <c r="X5" i="18"/>
  <c r="U5" i="18"/>
  <c r="AB28" i="19" l="1"/>
  <c r="AB30" i="19" s="1"/>
  <c r="S27" i="19"/>
  <c r="T24" i="19"/>
  <c r="L15" i="19"/>
  <c r="S15" i="19" s="1"/>
  <c r="AC15" i="19"/>
  <c r="Y11" i="19"/>
  <c r="AC11" i="19"/>
  <c r="AD27" i="19"/>
  <c r="AC27" i="19"/>
  <c r="M24" i="19"/>
  <c r="N24" i="19" s="1"/>
  <c r="S7" i="19"/>
  <c r="Y18" i="19"/>
  <c r="L18" i="19"/>
  <c r="Y19" i="19"/>
  <c r="Y8" i="19"/>
  <c r="L8" i="19"/>
  <c r="Y10" i="19"/>
  <c r="L10" i="19"/>
  <c r="Y14" i="19"/>
  <c r="L14" i="19"/>
  <c r="Y9" i="19"/>
  <c r="L9" i="19"/>
  <c r="M9" i="19" s="1"/>
  <c r="N9" i="19" s="1"/>
  <c r="Y15" i="19"/>
  <c r="Y22" i="19"/>
  <c r="L22" i="19"/>
  <c r="L26" i="19"/>
  <c r="S26" i="19" s="1"/>
  <c r="Y26" i="19"/>
  <c r="M7" i="19"/>
  <c r="N7" i="19" s="1"/>
  <c r="L19" i="19"/>
  <c r="M19" i="19" s="1"/>
  <c r="N19" i="19" s="1"/>
  <c r="Y12" i="19"/>
  <c r="L12" i="19"/>
  <c r="Y20" i="19"/>
  <c r="L20" i="19"/>
  <c r="Y25" i="19"/>
  <c r="L25" i="19"/>
  <c r="Y17" i="19"/>
  <c r="L17" i="19"/>
  <c r="Y13" i="19"/>
  <c r="L13" i="19"/>
  <c r="M13" i="19" s="1"/>
  <c r="N13" i="19" s="1"/>
  <c r="Y16" i="19"/>
  <c r="L16" i="19"/>
  <c r="L23" i="19"/>
  <c r="M23" i="19" s="1"/>
  <c r="Y23" i="19"/>
  <c r="L11" i="19"/>
  <c r="Y21" i="19"/>
  <c r="L21" i="19"/>
  <c r="M21" i="19" s="1"/>
  <c r="N21" i="19" s="1"/>
  <c r="P21" i="19" s="1"/>
  <c r="Y5" i="18"/>
  <c r="H6" i="19"/>
  <c r="AC6" i="19" s="1"/>
  <c r="W7" i="19" l="1"/>
  <c r="P7" i="19"/>
  <c r="W13" i="19"/>
  <c r="P13" i="19"/>
  <c r="W9" i="19"/>
  <c r="P9" i="19"/>
  <c r="W24" i="19"/>
  <c r="P24" i="19"/>
  <c r="W19" i="19"/>
  <c r="P19" i="19"/>
  <c r="T15" i="19"/>
  <c r="M15" i="19"/>
  <c r="N15" i="19" s="1"/>
  <c r="S23" i="19"/>
  <c r="T23" i="19"/>
  <c r="L6" i="19"/>
  <c r="Y6" i="19"/>
  <c r="Y28" i="19" s="1"/>
  <c r="T16" i="19"/>
  <c r="S16" i="19"/>
  <c r="M16" i="19"/>
  <c r="N16" i="19" s="1"/>
  <c r="P16" i="19" s="1"/>
  <c r="M11" i="19"/>
  <c r="N11" i="19" s="1"/>
  <c r="T11" i="19"/>
  <c r="S11" i="19"/>
  <c r="M20" i="19"/>
  <c r="N20" i="19" s="1"/>
  <c r="P20" i="19" s="1"/>
  <c r="S20" i="19"/>
  <c r="T20" i="19"/>
  <c r="T22" i="19"/>
  <c r="S22" i="19"/>
  <c r="M8" i="19"/>
  <c r="N8" i="19" s="1"/>
  <c r="P8" i="19" s="1"/>
  <c r="T8" i="19"/>
  <c r="S8" i="19"/>
  <c r="T26" i="19"/>
  <c r="S21" i="19"/>
  <c r="T21" i="19"/>
  <c r="S13" i="19"/>
  <c r="T13" i="19"/>
  <c r="S9" i="19"/>
  <c r="T9" i="19"/>
  <c r="W21" i="19"/>
  <c r="O21" i="19"/>
  <c r="T17" i="19"/>
  <c r="M17" i="19"/>
  <c r="N17" i="19" s="1"/>
  <c r="P17" i="19" s="1"/>
  <c r="S17" i="19"/>
  <c r="T19" i="19"/>
  <c r="S19" i="19"/>
  <c r="S14" i="19"/>
  <c r="M14" i="19"/>
  <c r="N14" i="19" s="1"/>
  <c r="P14" i="19" s="1"/>
  <c r="T14" i="19"/>
  <c r="S18" i="19"/>
  <c r="T18" i="19"/>
  <c r="S25" i="19"/>
  <c r="T25" i="19"/>
  <c r="M12" i="19"/>
  <c r="N12" i="19" s="1"/>
  <c r="P12" i="19" s="1"/>
  <c r="S12" i="19"/>
  <c r="T12" i="19"/>
  <c r="M22" i="19"/>
  <c r="N22" i="19" s="1"/>
  <c r="S10" i="19"/>
  <c r="M10" i="19"/>
  <c r="N10" i="19" s="1"/>
  <c r="P10" i="19" s="1"/>
  <c r="T10" i="19"/>
  <c r="M18" i="19"/>
  <c r="N18" i="19" s="1"/>
  <c r="O19" i="19"/>
  <c r="O13" i="19"/>
  <c r="O7" i="19"/>
  <c r="O9" i="19"/>
  <c r="N23" i="19"/>
  <c r="O24" i="19"/>
  <c r="N9" i="16"/>
  <c r="O9" i="16" s="1"/>
  <c r="P9" i="16" s="1"/>
  <c r="W11" i="19" l="1"/>
  <c r="P11" i="19"/>
  <c r="W15" i="19"/>
  <c r="P15" i="19"/>
  <c r="W18" i="19"/>
  <c r="P18" i="19"/>
  <c r="W22" i="19"/>
  <c r="P22" i="19"/>
  <c r="O15" i="19"/>
  <c r="W23" i="19"/>
  <c r="P23" i="19"/>
  <c r="O11" i="19"/>
  <c r="O22" i="19"/>
  <c r="O18" i="19"/>
  <c r="W14" i="19"/>
  <c r="O14" i="19"/>
  <c r="W10" i="19"/>
  <c r="O10" i="19"/>
  <c r="W17" i="19"/>
  <c r="O17" i="19"/>
  <c r="W12" i="19"/>
  <c r="O12" i="19"/>
  <c r="W8" i="19"/>
  <c r="O8" i="19"/>
  <c r="W20" i="19"/>
  <c r="O20" i="19"/>
  <c r="W16" i="19"/>
  <c r="O16" i="19"/>
  <c r="T6" i="19"/>
  <c r="S6" i="19"/>
  <c r="O23" i="19"/>
  <c r="M26" i="19"/>
  <c r="M27" i="19"/>
  <c r="N27" i="19" s="1"/>
  <c r="M25" i="19"/>
  <c r="N25" i="19" s="1"/>
  <c r="Z5" i="18"/>
  <c r="AA5" i="18" s="1"/>
  <c r="W25" i="19" l="1"/>
  <c r="P25" i="19"/>
  <c r="W27" i="19"/>
  <c r="P27" i="19"/>
  <c r="N26" i="19"/>
  <c r="AA27" i="18"/>
  <c r="AC28" i="18" s="1"/>
  <c r="O27" i="19"/>
  <c r="O25" i="19"/>
  <c r="M8" i="16"/>
  <c r="W26" i="19" l="1"/>
  <c r="P26" i="19"/>
  <c r="N8" i="16"/>
  <c r="O8" i="16" s="1"/>
  <c r="P8" i="16" s="1"/>
  <c r="P30" i="16" s="1"/>
  <c r="M30" i="16"/>
  <c r="N30" i="16" s="1"/>
  <c r="O30" i="16" s="1"/>
  <c r="O26" i="19"/>
  <c r="M6" i="19" l="1"/>
  <c r="N6" i="19" l="1"/>
  <c r="W6" i="19" l="1"/>
  <c r="P6" i="19"/>
  <c r="P28" i="19" s="1"/>
  <c r="O6" i="19"/>
  <c r="O28" i="19" s="1"/>
  <c r="Y29" i="19"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<sst xmlns="http://schemas.openxmlformats.org/spreadsheetml/2006/main" count="133" uniqueCount="64">
  <si>
    <t>VALOR UNITARIO SIN IVA</t>
  </si>
  <si>
    <t xml:space="preserve">TOTAL </t>
  </si>
  <si>
    <t>ÍTEM</t>
  </si>
  <si>
    <t>UNIDAD DE MEDIDA</t>
  </si>
  <si>
    <t xml:space="preserve"> </t>
  </si>
  <si>
    <t>CANTIDAD</t>
  </si>
  <si>
    <t>VALOR UNITARIO
SIN IVA</t>
  </si>
  <si>
    <t>NECESIDAD</t>
  </si>
  <si>
    <t>VALOR TOTAL
INCLUIDO IVA</t>
  </si>
  <si>
    <t>VALOR IVA</t>
  </si>
  <si>
    <t>VALOR UNITARIO
INCLUIDO IVA</t>
  </si>
  <si>
    <t>UND</t>
  </si>
  <si>
    <t>DESCRIPCION</t>
  </si>
  <si>
    <t>ANALISIS DE COSTOS HISTORICOS</t>
  </si>
  <si>
    <t>NOTAS:</t>
  </si>
  <si>
    <t>1) El índice refleja la evolución promedio de los precios de todos los artículos/insumos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</si>
  <si>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</si>
  <si>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ANEXO 2 - ANALISIS DE COSTOS HISTORICOS</t>
  </si>
  <si>
    <t>ANEXO 1 - ANALISIS DE COTIZACIONES</t>
  </si>
  <si>
    <t>ANALISIS DE COTIZACIONES</t>
  </si>
  <si>
    <t>COTIZACION 1</t>
  </si>
  <si>
    <t>ANALISIS COSTOS HISTORICOS</t>
  </si>
  <si>
    <t xml:space="preserve">     </t>
  </si>
  <si>
    <t>COTIZACION 2</t>
  </si>
  <si>
    <t xml:space="preserve">VALOR COTIZACIÓN HÁBIL MÁS BAJA                                                                                                    </t>
  </si>
  <si>
    <t xml:space="preserve">PROMEDIO                                                                                </t>
  </si>
  <si>
    <t xml:space="preserve">VALOR COTIZACIÓN  HÁBIL MÁS ALTA                                                                                                   </t>
  </si>
  <si>
    <t>PORCENTAJE DIFERENCIAL (BAJA/PROMEDIO)</t>
  </si>
  <si>
    <t>MEDIA ARITMETICA BAJA</t>
  </si>
  <si>
    <t>40% &gt; / &lt;</t>
  </si>
  <si>
    <t>COTIZACION 3</t>
  </si>
  <si>
    <t>COTIZACION 4</t>
  </si>
  <si>
    <t>COTIZACION 5</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</si>
  <si>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</si>
  <si>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SUPERFICIE RECTA DE 1,50 X 0,60M</t>
  </si>
  <si>
    <t>SUPERFICIE RETORNO DE 0,90 X 0,60M</t>
  </si>
  <si>
    <t>FALDERO MADERA AGLOMERADA 1.50M</t>
  </si>
  <si>
    <t>SILLA OPERATIVA</t>
  </si>
  <si>
    <t>SILLAS INTERLOCUTORAS</t>
  </si>
  <si>
    <t>CAJONERA METALICA 2x1</t>
  </si>
  <si>
    <t>SOPORTES Y HERRAJES</t>
  </si>
  <si>
    <t>TIPOLOGÍA FISCAL</t>
  </si>
  <si>
    <t>TIPOLOGÍA ASISTENTE</t>
  </si>
  <si>
    <t>TIPOLOGÍA INVESTIGADOR</t>
  </si>
  <si>
    <t>PANEL 1/2 ALTURA MIXTO 0,60 ALTURA 1.35</t>
  </si>
  <si>
    <t>PANEL 1/2 ALTURA MIXTO 1,50 ALTURA 1,35</t>
  </si>
  <si>
    <t>ARCHIVADOR 0.90X0.50M H=2.05 (A1)</t>
  </si>
  <si>
    <t>ARCHIVADOR 0.75X0.50M H=2.05 (A2)</t>
  </si>
  <si>
    <t>ARCHIVADOR 0.75X0.50M H=0.70 CON SUPERFICIE RECTA DE 0,75 X 0,60M (A3)</t>
  </si>
  <si>
    <t>ANEXO 3 - PROYECCION COSTOS 2026</t>
  </si>
  <si>
    <t>PROYECCION COSTOS 2026</t>
  </si>
  <si>
    <t>historico</t>
  </si>
  <si>
    <t>cotizaciones</t>
  </si>
  <si>
    <t>estudio de mercado sai</t>
  </si>
  <si>
    <t>1) Se realizó el estudio con 3 cotizaciones las cuales cumplen con lo solicitado por la entidad</t>
  </si>
  <si>
    <t>2) Para establecer el valor del mercado de los ítems, se utilizó la formula media aritmetica baja</t>
  </si>
  <si>
    <t>1) Para establecer los valores del mercado de los ítems,  se utilizó la formula promedio entre análisis de cotizaciones y análisis de costos históricos.</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</si>
  <si>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</si>
  <si>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CANTIDAD NECESIDAD</t>
  </si>
  <si>
    <t>CANTIDAD AJUSTADA</t>
  </si>
  <si>
    <t>Compra e instalación de mobiliario destinado a la puesta en funcionamiento de una nueva Unidad, la ampliación y reorganización de espacios en las sedes de la Seccional Atlántico, así como al fortalecimiento de la capacidad operativa mediante la ampliación de personal en las sedes de las Seccionales Bolívar y Magdalena, incluido todo lo relacionado con el sistema de oficina abierta (SOA), archivo, almacenamiento de documentos y silletería</t>
  </si>
  <si>
    <t>3) Para efectos del presente estudio, los ítems que cuentan con las mismas especificaciones y/o condiciones técnicas identificados en color, presentan precios iguales. Como excepción, se encuentra el ítem correspondiente a soportes y herrajes cuyo valor varía en función de la tipología del puesto de trabajo.</t>
  </si>
  <si>
    <t>VALOR TOTAL NECESIDAD 
INCLUIDO IVA</t>
  </si>
  <si>
    <t>VALOR TOTAL CANTIDADES AJUSTADAS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</si>
</sst>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0.00_-;\-&quot;$&quot;* #,##0.00_-;_-&quot;$&quot;* &quot;-&quot;??_-;_-@_-"/>
    <numFmt numFmtId="165" formatCode="&quot;$&quot;\ #,##0"/>
    <numFmt numFmtId="166" formatCode="&quot;$&quot;#,##0"/>
    <numFmt numFmtId="167" formatCode="&quot;$&quot;\ #,##0.00"/>
    <numFmt numFmtId="168" formatCode="_-&quot;$&quot;\ * #,##0_-;\-&quot;$&quot;\ * #,##0_-;_-&quot;$&quot;\ * &quot;-&quot;??_-;_-@_-"/>
    <numFmt numFmtId="169" formatCode="_-&quot;$&quot;* #,##0_-;\-&quot;$&quot;* #,##0_-;_-&quot;$&quot;* &quot;-&quot;??_-;_-@_-"/>
  </numFmts>
  <fonts count="26" x14ac:knownFonts="1">
    <font>
      <sz val="11"/>
      <color theme="1"/>
      <name val="Calibri"/>
      <family val="2"/>
      <scheme val="minor"/>
    </font>
    <font>
      <sz val="11"/>
      <color theme="1"/>
      <name val="Calibri"/>
      <family val="2"/>
      <scheme val="minor"/>
    </font>
    <font>
      <sz val="10"/>
      <name val="Arial"/>
      <family val="2"/>
    </font>
    <font>
      <b/>
      <sz val="11"/>
      <name val="Arial Narrow"/>
      <family val="2"/>
    </font>
    <font>
      <sz val="11"/>
      <name val="Arial Narrow"/>
      <family val="2"/>
    </font>
    <font>
      <b/>
      <sz val="10"/>
      <name val="Arial Narrow"/>
      <family val="2"/>
    </font>
    <font>
      <sz val="10"/>
      <name val="Arial Narrow"/>
      <family val="2"/>
    </font>
    <font>
      <sz val="11"/>
      <color theme="1"/>
      <name val="Arial"/>
      <family val="2"/>
    </font>
    <font>
      <sz val="10"/>
      <color rgb="FF000000"/>
      <name val="Times New Roman"/>
      <family val="1"/>
    </font>
    <font>
      <b/>
      <sz val="11"/>
      <color theme="1"/>
      <name val="Arial Narrow"/>
      <family val="2"/>
    </font>
    <font>
      <b/>
      <sz val="10"/>
      <color rgb="FF000000"/>
      <name val="Arial Narrow"/>
      <family val="2"/>
    </font>
    <font>
      <sz val="10"/>
      <color theme="1"/>
      <name val="Arial"/>
      <family val="2"/>
    </font>
    <font>
      <b/>
      <sz val="10"/>
      <color theme="1"/>
      <name val="Arial Narrow"/>
      <family val="2"/>
    </font>
    <font>
      <sz val="11"/>
      <color rgb="FF000000"/>
      <name val="Arial Narrow"/>
      <family val="2"/>
    </font>
    <font>
      <sz val="11"/>
      <color theme="1"/>
      <name val="Arial Narrow"/>
      <family val="2"/>
    </font>
    <font>
      <b/>
      <sz val="11"/>
      <color theme="1"/>
      <name val="Arial"/>
      <family val="2"/>
    </font>
    <font>
      <sz val="9"/>
      <name val="Arial Narrow"/>
      <family val="2"/>
    </font>
    <font>
      <b/>
      <sz val="9"/>
      <name val="Arial Narrow"/>
      <family val="2"/>
    </font>
    <font>
      <b/>
      <sz val="8"/>
      <name val="Arial Narrow"/>
      <family val="2"/>
    </font>
    <font>
      <sz val="8"/>
      <name val="Arial Narrow"/>
      <family val="2"/>
    </font>
    <font>
      <b/>
      <sz val="8"/>
      <color rgb="FFFF0000"/>
      <name val="Arial Narrow"/>
      <family val="2"/>
    </font>
    <font>
      <sz val="11"/>
      <name val="Calibri"/>
      <family val="2"/>
    </font>
    <font>
      <b/>
      <sz val="9"/>
      <color rgb="FFFF0000"/>
      <name val="Arial Narrow"/>
      <family val="2"/>
    </font>
    <font>
      <sz val="8"/>
      <color rgb="FFFF0000"/>
      <name val="Arial Narrow"/>
      <family val="2"/>
    </font>
    <font>
      <sz val="11"/>
      <color rgb="FFFF0000"/>
      <name val="Arial Narrow"/>
      <family val="2"/>
    </font>
    <font>
      <sz val="11"/>
      <name val="Arial"/>
      <family val="2"/>
    </font>
  </fonts>
  <fills count="2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rgb="FFE2EFD9"/>
      </patternFill>
    </fill>
    <fill>
      <patternFill patternType="solid">
        <fgColor theme="0"/>
        <bgColor theme="0"/>
      </patternFill>
    </fill>
    <fill>
      <patternFill patternType="solid">
        <fgColor theme="2"/>
        <bgColor rgb="FFFF0000"/>
      </patternFill>
    </fill>
    <fill>
      <patternFill patternType="solid">
        <fgColor theme="7" tint="0.79998168889431442"/>
        <bgColor rgb="FFE2EFD9"/>
      </patternFill>
    </fill>
    <fill>
      <patternFill patternType="solid">
        <fgColor theme="2"/>
        <bgColor theme="0"/>
      </patternFill>
    </fill>
    <fill>
      <patternFill patternType="solid">
        <fgColor theme="8" tint="0.79998168889431442"/>
        <bgColor rgb="FFE2EFD9"/>
      </patternFill>
    </fill>
    <fill>
      <patternFill patternType="solid">
        <fgColor theme="2"/>
        <bgColor rgb="FFA4C2F4"/>
      </patternFill>
    </fill>
    <fill>
      <patternFill patternType="solid">
        <fgColor rgb="FFCC99FF"/>
        <bgColor rgb="FFE2EFD9"/>
      </patternFill>
    </fill>
    <fill>
      <patternFill patternType="solid">
        <fgColor theme="7" tint="0.79998168889431442"/>
        <bgColor rgb="FFBDD6EE"/>
      </patternFill>
    </fill>
    <fill>
      <patternFill patternType="solid">
        <fgColor theme="8" tint="0.79998168889431442"/>
        <bgColor rgb="FFBDD6EE"/>
      </patternFill>
    </fill>
    <fill>
      <patternFill patternType="solid">
        <fgColor theme="8" tint="0.79998168889431442"/>
        <bgColor indexed="64"/>
      </patternFill>
    </fill>
    <fill>
      <patternFill patternType="solid">
        <fgColor theme="2"/>
        <bgColor rgb="FFB6D7A8"/>
      </patternFill>
    </fill>
    <fill>
      <patternFill patternType="solid">
        <fgColor theme="2" tint="-9.9978637043366805E-2"/>
        <bgColor rgb="FFE2EFD9"/>
      </patternFill>
    </fill>
    <fill>
      <patternFill patternType="solid">
        <fgColor theme="2" tint="-9.9978637043366805E-2"/>
        <bgColor indexed="64"/>
      </patternFill>
    </fill>
    <fill>
      <patternFill patternType="solid">
        <fgColor theme="2" tint="-9.9978637043366805E-2"/>
        <bgColor rgb="FFC9DAF8"/>
      </patternFill>
    </fill>
    <fill>
      <patternFill patternType="solid">
        <fgColor theme="2" tint="-9.9978637043366805E-2"/>
        <bgColor rgb="FFD6DCE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CC99FF"/>
        <bgColor indexed="64"/>
      </patternFill>
    </fill>
    <fill>
      <patternFill patternType="solid">
        <fgColor theme="9" tint="0.79998168889431442"/>
        <bgColor rgb="FFE2EFD9"/>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thin">
        <color rgb="FF000000"/>
      </right>
      <top/>
      <bottom style="thin">
        <color rgb="FF000000"/>
      </bottom>
      <diagonal/>
    </border>
    <border>
      <left style="thin">
        <color auto="1"/>
      </left>
      <right style="thin">
        <color auto="1"/>
      </right>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s>
  <cellStyleXfs count="8">
    <xf numFmtId="0" fontId="0" fillId="0" borderId="0"/>
    <xf numFmtId="164" fontId="1" fillId="0" borderId="0" applyFont="0" applyFill="0" applyBorder="0" applyAlignment="0" applyProtection="0"/>
    <xf numFmtId="0" fontId="2" fillId="0" borderId="0"/>
    <xf numFmtId="164" fontId="1" fillId="0" borderId="0" applyFont="0" applyFill="0" applyBorder="0" applyAlignment="0" applyProtection="0"/>
    <xf numFmtId="0" fontId="8" fillId="0" borderId="0"/>
    <xf numFmtId="0" fontId="2" fillId="0" borderId="0"/>
    <xf numFmtId="9" fontId="1" fillId="0" borderId="0" applyFont="0" applyFill="0" applyBorder="0" applyAlignment="0" applyProtection="0"/>
    <xf numFmtId="43" fontId="1" fillId="0" borderId="0" applyFont="0" applyFill="0" applyBorder="0" applyAlignment="0" applyProtection="0"/>
  </cellStyleXfs>
  <cellXfs count="177">
    <xf numFmtId="0" fontId="0" fillId="0" borderId="0" xfId="0"/>
    <xf numFmtId="0" fontId="7" fillId="0" borderId="0" xfId="0" applyFont="1" applyAlignment="1">
      <alignment vertical="center" wrapText="1"/>
    </xf>
    <xf numFmtId="0" fontId="11" fillId="0" borderId="0" xfId="0" applyFont="1" applyAlignment="1">
      <alignment vertical="center" wrapText="1"/>
    </xf>
    <xf numFmtId="0" fontId="10" fillId="4" borderId="1"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4"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3" fillId="0" borderId="1" xfId="0" applyFont="1" applyBorder="1" applyAlignment="1">
      <alignment horizontal="center" vertical="center"/>
    </xf>
    <xf numFmtId="0" fontId="14" fillId="0" borderId="0" xfId="0" applyFont="1"/>
    <xf numFmtId="0" fontId="7" fillId="0" borderId="0" xfId="0" applyFont="1"/>
    <xf numFmtId="0" fontId="9" fillId="0" borderId="0" xfId="0" applyFont="1"/>
    <xf numFmtId="0" fontId="14" fillId="0" borderId="0" xfId="0" applyFont="1" applyAlignment="1">
      <alignment horizontal="center" vertical="center"/>
    </xf>
    <xf numFmtId="0" fontId="15" fillId="0" borderId="0" xfId="0" applyFont="1"/>
    <xf numFmtId="0" fontId="7" fillId="0" borderId="0" xfId="0" applyFont="1" applyAlignment="1">
      <alignment horizontal="center" vertical="center"/>
    </xf>
    <xf numFmtId="0" fontId="4" fillId="0" borderId="0" xfId="0" applyFont="1" applyAlignment="1">
      <alignment horizontal="center" vertical="center" wrapText="1"/>
    </xf>
    <xf numFmtId="0" fontId="16" fillId="0" borderId="0" xfId="0" applyFont="1"/>
    <xf numFmtId="17" fontId="17" fillId="4" borderId="1" xfId="0" applyNumberFormat="1" applyFont="1" applyFill="1" applyBorder="1" applyAlignment="1">
      <alignment horizontal="center" vertical="center" wrapText="1"/>
    </xf>
    <xf numFmtId="10" fontId="17" fillId="5" borderId="1" xfId="6" applyNumberFormat="1" applyFont="1" applyFill="1" applyBorder="1" applyAlignment="1">
      <alignment horizontal="center" vertical="center" wrapText="1"/>
    </xf>
    <xf numFmtId="0" fontId="17" fillId="4" borderId="1" xfId="0" applyFont="1" applyFill="1" applyBorder="1" applyAlignment="1">
      <alignment horizontal="center" vertical="center" wrapText="1"/>
    </xf>
    <xf numFmtId="0" fontId="18" fillId="0" borderId="0" xfId="0" applyFont="1" applyAlignment="1">
      <alignment vertical="center"/>
    </xf>
    <xf numFmtId="0" fontId="19" fillId="0" borderId="0" xfId="0" applyFont="1" applyAlignment="1">
      <alignment vertical="center"/>
    </xf>
    <xf numFmtId="0" fontId="19" fillId="0" borderId="0" xfId="0" applyFont="1"/>
    <xf numFmtId="0" fontId="16" fillId="0" borderId="0" xfId="0" applyFont="1" applyAlignment="1">
      <alignment vertical="center"/>
    </xf>
    <xf numFmtId="0" fontId="17" fillId="0" borderId="0" xfId="0" applyFont="1"/>
    <xf numFmtId="165" fontId="11" fillId="0" borderId="1" xfId="0" applyNumberFormat="1" applyFont="1" applyBorder="1" applyAlignment="1">
      <alignment horizontal="center" vertical="center" wrapText="1"/>
    </xf>
    <xf numFmtId="0" fontId="5" fillId="5" borderId="2" xfId="0" applyFont="1" applyFill="1" applyBorder="1" applyAlignment="1">
      <alignment horizontal="center" vertical="center" wrapText="1"/>
    </xf>
    <xf numFmtId="0" fontId="6" fillId="0" borderId="0" xfId="0" applyFont="1" applyAlignment="1">
      <alignment vertical="center" wrapText="1"/>
    </xf>
    <xf numFmtId="0" fontId="18" fillId="3" borderId="1" xfId="2" applyFont="1" applyFill="1" applyBorder="1" applyAlignment="1">
      <alignment horizontal="center" vertical="center" wrapText="1"/>
    </xf>
    <xf numFmtId="166" fontId="20" fillId="2" borderId="1" xfId="2" applyNumberFormat="1" applyFont="1" applyFill="1" applyBorder="1" applyAlignment="1">
      <alignment horizontal="center" vertical="center" wrapText="1"/>
    </xf>
    <xf numFmtId="10" fontId="20" fillId="0" borderId="1" xfId="6" applyNumberFormat="1" applyFont="1" applyFill="1" applyBorder="1" applyAlignment="1">
      <alignment horizontal="center" vertical="center" wrapText="1"/>
    </xf>
    <xf numFmtId="167" fontId="4" fillId="0" borderId="1" xfId="1" applyNumberFormat="1" applyFont="1" applyFill="1" applyBorder="1" applyAlignment="1">
      <alignment horizontal="center" vertical="center"/>
    </xf>
    <xf numFmtId="167" fontId="7" fillId="0" borderId="0" xfId="0" applyNumberFormat="1" applyFont="1"/>
    <xf numFmtId="167" fontId="9" fillId="4" borderId="1" xfId="0" applyNumberFormat="1" applyFont="1" applyFill="1" applyBorder="1" applyAlignment="1">
      <alignment horizontal="center" vertical="center"/>
    </xf>
    <xf numFmtId="167" fontId="11" fillId="0" borderId="0" xfId="0" applyNumberFormat="1" applyFont="1" applyAlignment="1">
      <alignment vertical="center" wrapText="1"/>
    </xf>
    <xf numFmtId="167" fontId="7" fillId="0" borderId="0" xfId="0" applyNumberFormat="1" applyFont="1" applyAlignment="1">
      <alignment vertical="center" wrapText="1"/>
    </xf>
    <xf numFmtId="0" fontId="13" fillId="7" borderId="16" xfId="0" applyFont="1" applyFill="1" applyBorder="1" applyAlignment="1">
      <alignment horizontal="center" vertical="center" wrapText="1"/>
    </xf>
    <xf numFmtId="0" fontId="14" fillId="9" borderId="16" xfId="0" applyFont="1" applyFill="1" applyBorder="1" applyAlignment="1">
      <alignment wrapText="1"/>
    </xf>
    <xf numFmtId="0" fontId="14" fillId="6" borderId="16" xfId="0" applyFont="1" applyFill="1" applyBorder="1" applyAlignment="1">
      <alignment wrapText="1"/>
    </xf>
    <xf numFmtId="0" fontId="14" fillId="11" borderId="16" xfId="0" applyFont="1" applyFill="1" applyBorder="1" applyAlignment="1">
      <alignment wrapText="1"/>
    </xf>
    <xf numFmtId="0" fontId="14" fillId="13" borderId="16" xfId="0" applyFont="1" applyFill="1" applyBorder="1" applyAlignment="1">
      <alignment wrapText="1"/>
    </xf>
    <xf numFmtId="0" fontId="14" fillId="14" borderId="16" xfId="0" applyFont="1" applyFill="1" applyBorder="1" applyAlignment="1">
      <alignment wrapText="1"/>
    </xf>
    <xf numFmtId="0" fontId="14" fillId="15" borderId="16" xfId="0" applyFont="1" applyFill="1" applyBorder="1" applyAlignment="1">
      <alignment wrapText="1"/>
    </xf>
    <xf numFmtId="0" fontId="13" fillId="7" borderId="15" xfId="0" applyFont="1" applyFill="1" applyBorder="1" applyAlignment="1">
      <alignment horizontal="center" vertical="center" wrapText="1"/>
    </xf>
    <xf numFmtId="0" fontId="14" fillId="16" borderId="1" xfId="0" applyFont="1" applyFill="1" applyBorder="1" applyAlignment="1">
      <alignment horizontal="left"/>
    </xf>
    <xf numFmtId="0" fontId="13" fillId="7" borderId="19" xfId="0" applyFont="1" applyFill="1" applyBorder="1" applyAlignment="1">
      <alignment horizontal="center" vertical="center" wrapText="1"/>
    </xf>
    <xf numFmtId="0" fontId="4" fillId="10" borderId="16" xfId="0" applyFont="1" applyFill="1" applyBorder="1" applyAlignment="1">
      <alignment horizontal="center" vertical="center"/>
    </xf>
    <xf numFmtId="0" fontId="14" fillId="0" borderId="1" xfId="0" applyFont="1" applyBorder="1" applyAlignment="1">
      <alignment horizontal="left"/>
    </xf>
    <xf numFmtId="0" fontId="14" fillId="0" borderId="1" xfId="0" applyFont="1" applyBorder="1"/>
    <xf numFmtId="0" fontId="4" fillId="17" borderId="16" xfId="0" applyFont="1" applyFill="1" applyBorder="1" applyAlignment="1">
      <alignment horizontal="center" vertical="center"/>
    </xf>
    <xf numFmtId="0" fontId="14" fillId="0" borderId="3" xfId="0" applyFont="1" applyBorder="1" applyAlignment="1">
      <alignment horizontal="left" wrapText="1"/>
    </xf>
    <xf numFmtId="3" fontId="4" fillId="17" borderId="16" xfId="0" applyNumberFormat="1" applyFont="1" applyFill="1" applyBorder="1" applyAlignment="1">
      <alignment horizontal="center" vertical="center" wrapText="1"/>
    </xf>
    <xf numFmtId="0" fontId="23" fillId="0" borderId="0" xfId="0" applyFont="1" applyAlignment="1">
      <alignment vertical="center"/>
    </xf>
    <xf numFmtId="0" fontId="23" fillId="0" borderId="0" xfId="0" applyFont="1"/>
    <xf numFmtId="168" fontId="14" fillId="22" borderId="1" xfId="1" applyNumberFormat="1" applyFont="1" applyFill="1" applyBorder="1" applyAlignment="1">
      <alignment horizontal="center" vertical="center"/>
    </xf>
    <xf numFmtId="168" fontId="14" fillId="23" borderId="1" xfId="1" applyNumberFormat="1" applyFont="1" applyFill="1" applyBorder="1" applyAlignment="1">
      <alignment horizontal="center" vertical="center"/>
    </xf>
    <xf numFmtId="168" fontId="14" fillId="2" borderId="1" xfId="1" applyNumberFormat="1" applyFont="1" applyFill="1" applyBorder="1" applyAlignment="1">
      <alignment horizontal="center" vertical="center"/>
    </xf>
    <xf numFmtId="168" fontId="14" fillId="16" borderId="1" xfId="1" applyNumberFormat="1" applyFont="1" applyFill="1" applyBorder="1" applyAlignment="1">
      <alignment horizontal="center" vertical="center"/>
    </xf>
    <xf numFmtId="168" fontId="14" fillId="24" borderId="1" xfId="1" applyNumberFormat="1" applyFont="1" applyFill="1" applyBorder="1" applyAlignment="1">
      <alignment horizontal="center" vertical="center"/>
    </xf>
    <xf numFmtId="0" fontId="14" fillId="25" borderId="16" xfId="0" applyFont="1" applyFill="1" applyBorder="1" applyAlignment="1">
      <alignment wrapText="1"/>
    </xf>
    <xf numFmtId="168" fontId="4" fillId="2" borderId="1" xfId="1" applyNumberFormat="1" applyFont="1" applyFill="1" applyBorder="1" applyAlignment="1">
      <alignment horizontal="center" vertical="center"/>
    </xf>
    <xf numFmtId="9" fontId="7" fillId="0" borderId="0" xfId="6" applyFont="1" applyAlignment="1">
      <alignment vertical="center" wrapText="1"/>
    </xf>
    <xf numFmtId="43" fontId="4" fillId="0" borderId="0" xfId="7" applyFont="1" applyAlignment="1">
      <alignment vertical="center"/>
    </xf>
    <xf numFmtId="43" fontId="7" fillId="0" borderId="0" xfId="7" applyFont="1" applyAlignment="1">
      <alignment vertical="center" wrapText="1"/>
    </xf>
    <xf numFmtId="43" fontId="7" fillId="0" borderId="0" xfId="7" applyFont="1"/>
    <xf numFmtId="43" fontId="7" fillId="0" borderId="0" xfId="0" applyNumberFormat="1" applyFont="1"/>
    <xf numFmtId="0" fontId="13" fillId="0" borderId="3" xfId="0" applyFont="1" applyBorder="1" applyAlignment="1">
      <alignment horizontal="center" vertical="center"/>
    </xf>
    <xf numFmtId="0" fontId="10" fillId="4" borderId="2" xfId="0" applyFont="1" applyFill="1" applyBorder="1" applyAlignment="1">
      <alignment horizontal="center" vertical="center" wrapText="1"/>
    </xf>
    <xf numFmtId="0" fontId="14" fillId="25" borderId="21" xfId="0" applyFont="1" applyFill="1" applyBorder="1" applyAlignment="1">
      <alignment wrapText="1"/>
    </xf>
    <xf numFmtId="0" fontId="13" fillId="7" borderId="21" xfId="0" applyFont="1" applyFill="1" applyBorder="1" applyAlignment="1">
      <alignment horizontal="center" vertical="center" wrapText="1"/>
    </xf>
    <xf numFmtId="0" fontId="4" fillId="8" borderId="22" xfId="0" applyFont="1" applyFill="1" applyBorder="1" applyAlignment="1">
      <alignment horizontal="center" vertical="center" wrapText="1"/>
    </xf>
    <xf numFmtId="0" fontId="4" fillId="10" borderId="24" xfId="0" applyFont="1" applyFill="1" applyBorder="1" applyAlignment="1">
      <alignment horizontal="center" vertical="center" wrapText="1"/>
    </xf>
    <xf numFmtId="0" fontId="4" fillId="12" borderId="24" xfId="0" applyFont="1" applyFill="1" applyBorder="1" applyAlignment="1">
      <alignment horizontal="center" vertical="center" wrapText="1"/>
    </xf>
    <xf numFmtId="0" fontId="14" fillId="6" borderId="26" xfId="0" applyFont="1" applyFill="1" applyBorder="1" applyAlignment="1">
      <alignment wrapText="1"/>
    </xf>
    <xf numFmtId="0" fontId="13" fillId="7" borderId="26" xfId="0" applyFont="1" applyFill="1" applyBorder="1" applyAlignment="1">
      <alignment horizontal="center" vertical="center" wrapText="1"/>
    </xf>
    <xf numFmtId="0" fontId="4" fillId="10" borderId="27" xfId="0" applyFont="1" applyFill="1" applyBorder="1" applyAlignment="1">
      <alignment horizontal="center" vertical="center" wrapText="1"/>
    </xf>
    <xf numFmtId="0" fontId="4" fillId="10" borderId="22" xfId="0" applyFont="1" applyFill="1" applyBorder="1" applyAlignment="1">
      <alignment horizontal="center" vertical="center" wrapText="1"/>
    </xf>
    <xf numFmtId="0" fontId="13" fillId="7" borderId="28" xfId="0" applyFont="1" applyFill="1" applyBorder="1" applyAlignment="1">
      <alignment horizontal="center" vertical="center" wrapText="1"/>
    </xf>
    <xf numFmtId="0" fontId="4" fillId="10" borderId="18" xfId="0" applyFont="1" applyFill="1" applyBorder="1" applyAlignment="1">
      <alignment horizontal="center" vertical="center"/>
    </xf>
    <xf numFmtId="169" fontId="14" fillId="25" borderId="21" xfId="1" applyNumberFormat="1" applyFont="1" applyFill="1" applyBorder="1" applyAlignment="1">
      <alignment wrapText="1"/>
    </xf>
    <xf numFmtId="169" fontId="14" fillId="9" borderId="16" xfId="1" applyNumberFormat="1" applyFont="1" applyFill="1" applyBorder="1" applyAlignment="1">
      <alignment wrapText="1"/>
    </xf>
    <xf numFmtId="169" fontId="14" fillId="6" borderId="16" xfId="1" applyNumberFormat="1" applyFont="1" applyFill="1" applyBorder="1" applyAlignment="1">
      <alignment wrapText="1"/>
    </xf>
    <xf numFmtId="169" fontId="14" fillId="11" borderId="16" xfId="1" applyNumberFormat="1" applyFont="1" applyFill="1" applyBorder="1" applyAlignment="1">
      <alignment wrapText="1"/>
    </xf>
    <xf numFmtId="169" fontId="14" fillId="13" borderId="16" xfId="1" applyNumberFormat="1" applyFont="1" applyFill="1" applyBorder="1" applyAlignment="1">
      <alignment wrapText="1"/>
    </xf>
    <xf numFmtId="169" fontId="14" fillId="6" borderId="26" xfId="1" applyNumberFormat="1" applyFont="1" applyFill="1" applyBorder="1" applyAlignment="1">
      <alignment wrapText="1"/>
    </xf>
    <xf numFmtId="169" fontId="14" fillId="14" borderId="16" xfId="1" applyNumberFormat="1" applyFont="1" applyFill="1" applyBorder="1" applyAlignment="1">
      <alignment wrapText="1"/>
    </xf>
    <xf numFmtId="169" fontId="14" fillId="15" borderId="16" xfId="1" applyNumberFormat="1" applyFont="1" applyFill="1" applyBorder="1" applyAlignment="1">
      <alignment wrapText="1"/>
    </xf>
    <xf numFmtId="168" fontId="7" fillId="0" borderId="0" xfId="0" applyNumberFormat="1" applyFont="1" applyAlignment="1">
      <alignment vertical="center" wrapText="1"/>
    </xf>
    <xf numFmtId="168" fontId="7" fillId="0" borderId="0" xfId="0" applyNumberFormat="1" applyFont="1"/>
    <xf numFmtId="165" fontId="7" fillId="0" borderId="0" xfId="0" applyNumberFormat="1" applyFont="1" applyAlignment="1">
      <alignment vertical="center" wrapText="1"/>
    </xf>
    <xf numFmtId="165" fontId="7" fillId="0" borderId="0" xfId="0" applyNumberFormat="1" applyFont="1"/>
    <xf numFmtId="169" fontId="14" fillId="15" borderId="15" xfId="1" applyNumberFormat="1" applyFont="1" applyFill="1" applyBorder="1" applyAlignment="1">
      <alignment wrapText="1"/>
    </xf>
    <xf numFmtId="169" fontId="14" fillId="6" borderId="1" xfId="1" applyNumberFormat="1" applyFont="1" applyFill="1" applyBorder="1" applyAlignment="1">
      <alignment wrapText="1"/>
    </xf>
    <xf numFmtId="167" fontId="4" fillId="0" borderId="4" xfId="1" applyNumberFormat="1" applyFont="1" applyFill="1" applyBorder="1" applyAlignment="1">
      <alignment horizontal="center" vertical="center"/>
    </xf>
    <xf numFmtId="169" fontId="14" fillId="25" borderId="18" xfId="1" applyNumberFormat="1" applyFont="1" applyFill="1" applyBorder="1" applyAlignment="1">
      <alignment wrapText="1"/>
    </xf>
    <xf numFmtId="0" fontId="24" fillId="10" borderId="22" xfId="0" applyFont="1" applyFill="1" applyBorder="1" applyAlignment="1">
      <alignment horizontal="center" vertical="center" wrapText="1"/>
    </xf>
    <xf numFmtId="0" fontId="24" fillId="10" borderId="24" xfId="0" applyFont="1" applyFill="1" applyBorder="1" applyAlignment="1">
      <alignment horizontal="center" vertical="center" wrapText="1"/>
    </xf>
    <xf numFmtId="0" fontId="24" fillId="10" borderId="27" xfId="0" applyFont="1" applyFill="1" applyBorder="1" applyAlignment="1">
      <alignment horizontal="center" vertical="center" wrapText="1"/>
    </xf>
    <xf numFmtId="0" fontId="24" fillId="10" borderId="18" xfId="0" applyFont="1" applyFill="1" applyBorder="1" applyAlignment="1">
      <alignment horizontal="center" vertical="center"/>
    </xf>
    <xf numFmtId="0" fontId="24" fillId="10" borderId="16" xfId="0" applyFont="1" applyFill="1" applyBorder="1" applyAlignment="1">
      <alignment horizontal="center" vertical="center"/>
    </xf>
    <xf numFmtId="0" fontId="24" fillId="17" borderId="16" xfId="0" applyFont="1" applyFill="1" applyBorder="1" applyAlignment="1">
      <alignment horizontal="center" vertical="center"/>
    </xf>
    <xf numFmtId="3" fontId="24" fillId="17" borderId="16" xfId="0" applyNumberFormat="1" applyFont="1" applyFill="1" applyBorder="1" applyAlignment="1">
      <alignment horizontal="center" vertical="center" wrapText="1"/>
    </xf>
    <xf numFmtId="0" fontId="25" fillId="0" borderId="0" xfId="0" applyFont="1"/>
    <xf numFmtId="168" fontId="4" fillId="22" borderId="1" xfId="1" applyNumberFormat="1" applyFont="1" applyFill="1" applyBorder="1" applyAlignment="1">
      <alignment horizontal="center" vertical="center"/>
    </xf>
    <xf numFmtId="0" fontId="2" fillId="0" borderId="0" xfId="0" applyFont="1" applyAlignment="1">
      <alignment vertical="center" wrapText="1"/>
    </xf>
    <xf numFmtId="168" fontId="4" fillId="23" borderId="1" xfId="1" applyNumberFormat="1" applyFont="1" applyFill="1" applyBorder="1" applyAlignment="1">
      <alignment horizontal="center" vertical="center"/>
    </xf>
    <xf numFmtId="168" fontId="4" fillId="16" borderId="1" xfId="1" applyNumberFormat="1" applyFont="1" applyFill="1" applyBorder="1" applyAlignment="1">
      <alignment horizontal="center" vertical="center"/>
    </xf>
    <xf numFmtId="168" fontId="4" fillId="24" borderId="1" xfId="1" applyNumberFormat="1" applyFont="1" applyFill="1" applyBorder="1" applyAlignment="1">
      <alignment horizontal="center" vertical="center"/>
    </xf>
    <xf numFmtId="0" fontId="2" fillId="2" borderId="0" xfId="0" applyFont="1" applyFill="1" applyAlignment="1">
      <alignment vertical="center" wrapText="1"/>
    </xf>
    <xf numFmtId="165" fontId="2" fillId="0" borderId="1" xfId="0" applyNumberFormat="1" applyFont="1" applyBorder="1" applyAlignment="1">
      <alignment horizontal="right" vertical="center" wrapText="1"/>
    </xf>
    <xf numFmtId="165" fontId="2" fillId="0" borderId="0" xfId="0" applyNumberFormat="1" applyFont="1" applyAlignment="1">
      <alignment horizontal="right" vertical="center" wrapText="1"/>
    </xf>
    <xf numFmtId="0" fontId="25" fillId="0" borderId="0" xfId="0" applyFont="1" applyAlignment="1">
      <alignment horizontal="right"/>
    </xf>
    <xf numFmtId="0" fontId="2" fillId="0" borderId="0" xfId="0" applyFont="1" applyAlignment="1">
      <alignment horizontal="right" vertical="center" wrapText="1"/>
    </xf>
    <xf numFmtId="0" fontId="25" fillId="0" borderId="0" xfId="0" applyFont="1" applyAlignment="1">
      <alignment horizontal="center" vertical="center"/>
    </xf>
    <xf numFmtId="0" fontId="4" fillId="8" borderId="1" xfId="0" applyFont="1" applyFill="1" applyBorder="1" applyAlignment="1">
      <alignment horizontal="center" vertical="center" wrapText="1"/>
    </xf>
    <xf numFmtId="0" fontId="24" fillId="8" borderId="22" xfId="0" applyFont="1" applyFill="1" applyBorder="1" applyAlignment="1">
      <alignment horizontal="center" vertical="center" wrapText="1"/>
    </xf>
    <xf numFmtId="0" fontId="24" fillId="12" borderId="24" xfId="0" applyFont="1" applyFill="1" applyBorder="1" applyAlignment="1">
      <alignment horizontal="center" vertical="center" wrapText="1"/>
    </xf>
    <xf numFmtId="0" fontId="14" fillId="0" borderId="3" xfId="0" applyFont="1" applyBorder="1" applyAlignment="1">
      <alignment horizontal="left" wrapText="1"/>
    </xf>
    <xf numFmtId="0" fontId="14" fillId="0" borderId="5" xfId="0" applyFont="1" applyBorder="1" applyAlignment="1">
      <alignment horizontal="left" wrapText="1"/>
    </xf>
    <xf numFmtId="0" fontId="9" fillId="18" borderId="20" xfId="0" applyFont="1" applyFill="1" applyBorder="1" applyAlignment="1">
      <alignment horizontal="center" vertical="center" wrapText="1"/>
    </xf>
    <xf numFmtId="0" fontId="21" fillId="19" borderId="23" xfId="0" applyFont="1" applyFill="1" applyBorder="1"/>
    <xf numFmtId="0" fontId="21" fillId="19" borderId="25" xfId="0" applyFont="1" applyFill="1" applyBorder="1"/>
    <xf numFmtId="0" fontId="9" fillId="20" borderId="20" xfId="0" applyFont="1" applyFill="1" applyBorder="1" applyAlignment="1">
      <alignment horizontal="center" vertical="center" wrapText="1"/>
    </xf>
    <xf numFmtId="0" fontId="9" fillId="21" borderId="20" xfId="0" applyFont="1" applyFill="1" applyBorder="1" applyAlignment="1">
      <alignment horizontal="center" vertical="center" wrapText="1"/>
    </xf>
    <xf numFmtId="0" fontId="14" fillId="16" borderId="4" xfId="0" applyFont="1" applyFill="1" applyBorder="1" applyAlignment="1">
      <alignment horizontal="left"/>
    </xf>
    <xf numFmtId="0" fontId="9" fillId="4" borderId="3"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5" xfId="0" applyFont="1" applyFill="1" applyBorder="1" applyAlignment="1">
      <alignment horizontal="center" vertical="center"/>
    </xf>
    <xf numFmtId="0" fontId="16" fillId="0" borderId="0" xfId="0" applyFont="1" applyAlignment="1">
      <alignment horizontal="left" vertical="center" wrapText="1"/>
    </xf>
    <xf numFmtId="0" fontId="17" fillId="0" borderId="0" xfId="0" applyFont="1" applyAlignment="1">
      <alignment horizontal="left" vertical="justify" wrapText="1"/>
    </xf>
    <xf numFmtId="0" fontId="3" fillId="4"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2" xfId="0" applyFont="1" applyFill="1" applyBorder="1" applyAlignment="1">
      <alignment horizontal="center" vertical="center"/>
    </xf>
    <xf numFmtId="0" fontId="5" fillId="4" borderId="4"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0" xfId="0" applyFont="1" applyFill="1" applyAlignment="1">
      <alignment horizontal="center" vertical="center" wrapText="1"/>
    </xf>
    <xf numFmtId="0" fontId="3" fillId="5" borderId="14" xfId="0" applyFont="1" applyFill="1" applyBorder="1" applyAlignment="1">
      <alignment horizontal="center" vertical="center" wrapText="1"/>
    </xf>
    <xf numFmtId="0" fontId="6" fillId="0" borderId="0" xfId="0" applyFont="1" applyAlignment="1">
      <alignment vertical="center" wrapText="1"/>
    </xf>
    <xf numFmtId="0" fontId="22" fillId="0" borderId="0" xfId="0" applyFont="1" applyAlignment="1">
      <alignment horizontal="left" vertical="justify" wrapText="1"/>
    </xf>
    <xf numFmtId="0" fontId="4" fillId="0" borderId="1" xfId="0" applyFont="1" applyBorder="1" applyAlignment="1">
      <alignment horizontal="left" wrapText="1"/>
    </xf>
    <xf numFmtId="0" fontId="3" fillId="5" borderId="1" xfId="0" applyFont="1" applyFill="1" applyBorder="1" applyAlignment="1">
      <alignment horizontal="center" vertical="center" wrapText="1"/>
    </xf>
    <xf numFmtId="0" fontId="22" fillId="0" borderId="0" xfId="0" applyFont="1" applyAlignment="1">
      <alignment horizontal="left" wrapText="1"/>
    </xf>
    <xf numFmtId="0" fontId="10" fillId="4" borderId="3"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9" fillId="18" borderId="15" xfId="0" applyFont="1" applyFill="1" applyBorder="1" applyAlignment="1">
      <alignment horizontal="center" vertical="center" wrapText="1"/>
    </xf>
    <xf numFmtId="0" fontId="21" fillId="19" borderId="17" xfId="0" applyFont="1" applyFill="1" applyBorder="1"/>
    <xf numFmtId="0" fontId="21" fillId="19" borderId="18" xfId="0" applyFont="1" applyFill="1" applyBorder="1"/>
    <xf numFmtId="0" fontId="9" fillId="20" borderId="15" xfId="0" applyFont="1" applyFill="1" applyBorder="1" applyAlignment="1">
      <alignment horizontal="center" vertical="center" wrapText="1"/>
    </xf>
    <xf numFmtId="0" fontId="9" fillId="21" borderId="15" xfId="0" applyFont="1" applyFill="1" applyBorder="1" applyAlignment="1">
      <alignment horizontal="center" vertical="center" wrapText="1"/>
    </xf>
    <xf numFmtId="0" fontId="14" fillId="16" borderId="1" xfId="0" applyFont="1" applyFill="1" applyBorder="1" applyAlignment="1">
      <alignment horizontal="left"/>
    </xf>
    <xf numFmtId="167" fontId="11" fillId="0" borderId="3" xfId="0" applyNumberFormat="1" applyFont="1" applyBorder="1" applyAlignment="1">
      <alignment horizontal="center" vertical="center" wrapText="1"/>
    </xf>
    <xf numFmtId="167" fontId="11" fillId="0" borderId="5" xfId="0" applyNumberFormat="1" applyFont="1" applyBorder="1" applyAlignment="1">
      <alignment horizontal="center" vertical="center" wrapText="1"/>
    </xf>
    <xf numFmtId="0" fontId="6" fillId="0" borderId="0" xfId="0" applyFont="1" applyAlignment="1">
      <alignment horizontal="left" vertical="center" wrapText="1"/>
    </xf>
    <xf numFmtId="0" fontId="17" fillId="0" borderId="0" xfId="0" applyFont="1" applyAlignment="1">
      <alignment horizontal="left" wrapText="1"/>
    </xf>
    <xf numFmtId="0" fontId="17" fillId="4" borderId="1"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3" fillId="4" borderId="13" xfId="0" applyFont="1" applyFill="1" applyBorder="1" applyAlignment="1">
      <alignment horizontal="center" vertical="center"/>
    </xf>
    <xf numFmtId="0" fontId="3" fillId="4" borderId="0" xfId="0" applyFont="1" applyFill="1" applyAlignment="1">
      <alignment horizontal="center" vertical="center"/>
    </xf>
    <xf numFmtId="0" fontId="3" fillId="4" borderId="14" xfId="0" applyFont="1" applyFill="1" applyBorder="1" applyAlignment="1">
      <alignment horizontal="center" vertical="center"/>
    </xf>
    <xf numFmtId="0" fontId="3" fillId="5" borderId="6"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4" borderId="0" xfId="0" applyFont="1" applyFill="1" applyBorder="1" applyAlignment="1">
      <alignment horizontal="center" vertical="center"/>
    </xf>
    <xf numFmtId="0" fontId="5"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1" xfId="0" applyFont="1" applyFill="1" applyBorder="1" applyAlignment="1">
      <alignment horizontal="center" vertical="center" wrapText="1"/>
    </xf>
    <xf numFmtId="0" fontId="12" fillId="4" borderId="32" xfId="0" applyFont="1" applyFill="1" applyBorder="1" applyAlignment="1">
      <alignment horizontal="center" vertical="center" wrapText="1"/>
    </xf>
  </cellXfs>
  <cellStyles count="8">
    <cellStyle name="Millares" xfId="7" builtinId="3"/>
    <cellStyle name="Moneda" xfId="1" builtinId="4"/>
    <cellStyle name="Moneda 2" xfId="3" xr:uid="{00000000-0005-0000-0000-000001000000}"/>
    <cellStyle name="Normal" xfId="0" builtinId="0"/>
    <cellStyle name="Normal 2" xfId="4" xr:uid="{00000000-0005-0000-0000-000003000000}"/>
    <cellStyle name="Normal 2 2" xfId="5" xr:uid="{00000000-0005-0000-0000-000004000000}"/>
    <cellStyle name="Normal_HERRAMIENTAS PARA TRANSPORTE" xfId="2" xr:uid="{00000000-0005-0000-0000-000005000000}"/>
    <cellStyle name="Porcentaje" xfId="6"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90461</xdr:colOff>
      <xdr:row>1</xdr:row>
      <xdr:rowOff>114707</xdr:rowOff>
    </xdr:from>
    <xdr:to>
      <xdr:col>3</xdr:col>
      <xdr:colOff>1181100</xdr:colOff>
      <xdr:row>1</xdr:row>
      <xdr:rowOff>523875</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6261" y="476657"/>
          <a:ext cx="2366989"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271436</xdr:colOff>
      <xdr:row>1</xdr:row>
      <xdr:rowOff>171857</xdr:rowOff>
    </xdr:from>
    <xdr:to>
      <xdr:col>3</xdr:col>
      <xdr:colOff>2052913</xdr:colOff>
      <xdr:row>1</xdr:row>
      <xdr:rowOff>581025</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411" y="533807"/>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271436</xdr:colOff>
      <xdr:row>1</xdr:row>
      <xdr:rowOff>171857</xdr:rowOff>
    </xdr:from>
    <xdr:to>
      <xdr:col>3</xdr:col>
      <xdr:colOff>2052913</xdr:colOff>
      <xdr:row>1</xdr:row>
      <xdr:rowOff>581025</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411" y="533807"/>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3"/>
  <sheetViews>
    <sheetView topLeftCell="B14" zoomScale="120" zoomScaleNormal="120" workbookViewId="0">
      <selection activeCell="E2" sqref="E2:AA2"/>
    </sheetView>
  </sheetViews>
  <sheetFormatPr baseColWidth="10" defaultColWidth="11.42578125" defaultRowHeight="15" outlineLevelCol="1" x14ac:dyDescent="0.25"/>
  <cols>
    <col min="1" max="1" width="2.7109375" style="10" customWidth="1"/>
    <col min="2" max="2" width="7.5703125" style="13" customWidth="1"/>
    <col min="3" max="3" width="19.140625" style="13" customWidth="1"/>
    <col min="4" max="4" width="36" style="13" customWidth="1"/>
    <col min="5" max="5" width="14.85546875" style="13" customWidth="1"/>
    <col min="6" max="6" width="12.7109375" style="14" customWidth="1"/>
    <col min="7" max="7" width="2.7109375" style="10" customWidth="1"/>
    <col min="8" max="8" width="14.7109375" style="102" customWidth="1"/>
    <col min="9" max="9" width="2.7109375" style="102" customWidth="1"/>
    <col min="10" max="10" width="14.7109375" style="102" customWidth="1"/>
    <col min="11" max="11" width="2.7109375" style="102" customWidth="1"/>
    <col min="12" max="12" width="14.7109375" style="102" customWidth="1"/>
    <col min="13" max="13" width="2.7109375" style="10" customWidth="1"/>
    <col min="14" max="14" width="14.28515625" style="10" hidden="1" customWidth="1"/>
    <col min="15" max="15" width="2.7109375" style="10" hidden="1" customWidth="1"/>
    <col min="16" max="16" width="14.28515625" style="10" hidden="1" customWidth="1"/>
    <col min="17" max="17" width="2.7109375" style="10" hidden="1" customWidth="1"/>
    <col min="18" max="22" width="11.42578125" style="10" hidden="1" customWidth="1" outlineLevel="1"/>
    <col min="23" max="23" width="2.7109375" style="10" customWidth="1" outlineLevel="1"/>
    <col min="24" max="27" width="17" style="10" customWidth="1"/>
    <col min="28" max="28" width="17.42578125" style="10" hidden="1" customWidth="1"/>
    <col min="29" max="29" width="17" style="10" hidden="1" customWidth="1"/>
    <col min="30" max="16384" width="11.42578125" style="10"/>
  </cols>
  <sheetData>
    <row r="1" spans="1:29" s="6" customFormat="1" ht="28.5" customHeight="1" x14ac:dyDescent="0.25">
      <c r="A1" s="5"/>
      <c r="B1" s="130" t="s">
        <v>18</v>
      </c>
      <c r="C1" s="130"/>
      <c r="D1" s="130"/>
      <c r="E1" s="130"/>
      <c r="F1" s="130"/>
      <c r="G1" s="130"/>
      <c r="H1" s="130"/>
      <c r="I1" s="130"/>
      <c r="J1" s="130"/>
      <c r="K1" s="130"/>
      <c r="L1" s="130"/>
      <c r="M1" s="130"/>
      <c r="N1" s="130"/>
      <c r="O1" s="130"/>
      <c r="P1" s="130"/>
      <c r="Q1" s="130"/>
      <c r="R1" s="130"/>
      <c r="S1" s="130"/>
      <c r="T1" s="130"/>
      <c r="U1" s="130"/>
      <c r="V1" s="130"/>
      <c r="W1" s="130"/>
      <c r="X1" s="130"/>
      <c r="Y1" s="130"/>
      <c r="Z1" s="130"/>
      <c r="AA1" s="130"/>
    </row>
    <row r="2" spans="1:29" s="5" customFormat="1" ht="54" customHeight="1" x14ac:dyDescent="0.3">
      <c r="B2" s="131"/>
      <c r="C2" s="131"/>
      <c r="D2" s="131"/>
      <c r="E2" s="148" t="s">
        <v>60</v>
      </c>
      <c r="F2" s="148"/>
      <c r="G2" s="148"/>
      <c r="H2" s="148"/>
      <c r="I2" s="148"/>
      <c r="J2" s="148"/>
      <c r="K2" s="148"/>
      <c r="L2" s="148"/>
      <c r="M2" s="148"/>
      <c r="N2" s="148"/>
      <c r="O2" s="148"/>
      <c r="P2" s="148"/>
      <c r="Q2" s="148"/>
      <c r="R2" s="148"/>
      <c r="S2" s="148"/>
      <c r="T2" s="148"/>
      <c r="U2" s="148"/>
      <c r="V2" s="148"/>
      <c r="W2" s="148"/>
      <c r="X2" s="148"/>
      <c r="Y2" s="148"/>
      <c r="Z2" s="148"/>
      <c r="AA2" s="148"/>
    </row>
    <row r="3" spans="1:29" s="5" customFormat="1" ht="32.25" customHeight="1" x14ac:dyDescent="0.25">
      <c r="B3" s="133" t="s">
        <v>7</v>
      </c>
      <c r="C3" s="134"/>
      <c r="D3" s="134"/>
      <c r="E3" s="134"/>
      <c r="F3" s="135"/>
      <c r="G3" s="15"/>
      <c r="H3" s="26" t="s">
        <v>20</v>
      </c>
      <c r="I3" s="16"/>
      <c r="J3" s="26" t="s">
        <v>23</v>
      </c>
      <c r="K3" s="16"/>
      <c r="L3" s="26" t="s">
        <v>30</v>
      </c>
      <c r="M3" s="16"/>
      <c r="N3" s="26" t="s">
        <v>31</v>
      </c>
      <c r="O3" s="16"/>
      <c r="P3" s="26" t="s">
        <v>32</v>
      </c>
      <c r="Q3" s="16"/>
      <c r="R3" s="28" t="s">
        <v>24</v>
      </c>
      <c r="S3" s="28" t="s">
        <v>25</v>
      </c>
      <c r="T3" s="28" t="s">
        <v>26</v>
      </c>
      <c r="U3" s="28" t="s">
        <v>27</v>
      </c>
      <c r="V3" s="28" t="s">
        <v>28</v>
      </c>
      <c r="W3" s="16"/>
      <c r="X3" s="149" t="s">
        <v>19</v>
      </c>
      <c r="Y3" s="149"/>
      <c r="Z3" s="149"/>
      <c r="AA3" s="149"/>
    </row>
    <row r="4" spans="1:29" s="1" customFormat="1" ht="49.5" customHeight="1" x14ac:dyDescent="0.25">
      <c r="A4" s="7"/>
      <c r="B4" s="3" t="s">
        <v>2</v>
      </c>
      <c r="C4" s="151" t="s">
        <v>12</v>
      </c>
      <c r="D4" s="152"/>
      <c r="E4" s="3" t="s">
        <v>3</v>
      </c>
      <c r="F4" s="3" t="s">
        <v>5</v>
      </c>
      <c r="G4" s="2"/>
      <c r="H4" s="19" t="s">
        <v>6</v>
      </c>
      <c r="I4" s="16"/>
      <c r="J4" s="19" t="s">
        <v>6</v>
      </c>
      <c r="K4" s="102"/>
      <c r="L4" s="19" t="s">
        <v>6</v>
      </c>
      <c r="M4" s="16"/>
      <c r="N4" s="19" t="s">
        <v>6</v>
      </c>
      <c r="O4" s="16"/>
      <c r="P4" s="19" t="s">
        <v>6</v>
      </c>
      <c r="Q4" s="16"/>
      <c r="R4" s="28" t="s">
        <v>0</v>
      </c>
      <c r="S4" s="28" t="s">
        <v>0</v>
      </c>
      <c r="T4" s="28" t="s">
        <v>0</v>
      </c>
      <c r="U4" s="28" t="s">
        <v>29</v>
      </c>
      <c r="V4" s="28" t="s">
        <v>0</v>
      </c>
      <c r="W4" s="16"/>
      <c r="X4" s="4" t="s">
        <v>6</v>
      </c>
      <c r="Y4" s="4" t="s">
        <v>9</v>
      </c>
      <c r="Z4" s="4" t="s">
        <v>10</v>
      </c>
      <c r="AA4" s="4" t="s">
        <v>8</v>
      </c>
      <c r="AB4" s="1" t="s">
        <v>4</v>
      </c>
    </row>
    <row r="5" spans="1:29" s="1" customFormat="1" ht="16.5" x14ac:dyDescent="0.3">
      <c r="A5" s="7"/>
      <c r="B5" s="8">
        <v>1</v>
      </c>
      <c r="C5" s="153" t="s">
        <v>41</v>
      </c>
      <c r="D5" s="59" t="s">
        <v>34</v>
      </c>
      <c r="E5" s="36" t="s">
        <v>11</v>
      </c>
      <c r="F5" s="114">
        <v>60</v>
      </c>
      <c r="H5" s="103">
        <v>347966</v>
      </c>
      <c r="I5" s="104"/>
      <c r="J5" s="103">
        <v>561440</v>
      </c>
      <c r="K5" s="102"/>
      <c r="L5" s="103">
        <v>900000</v>
      </c>
      <c r="M5" s="2"/>
      <c r="N5" s="25"/>
      <c r="O5" s="2"/>
      <c r="P5" s="25"/>
      <c r="Q5" s="2"/>
      <c r="R5" s="29">
        <f>ROUND(MIN(H5,J5),2)</f>
        <v>347966</v>
      </c>
      <c r="S5" s="29">
        <f>ROUND(AVERAGE(H5,J5),2)</f>
        <v>454703</v>
      </c>
      <c r="T5" s="29">
        <f>+MAX(H5,J5,L5)</f>
        <v>900000</v>
      </c>
      <c r="U5" s="30">
        <f>+(T5/R5)-1</f>
        <v>1.5864595966272566</v>
      </c>
      <c r="V5" s="29">
        <f>+ROUND(AVERAGE(R5,S5),2)</f>
        <v>401334.5</v>
      </c>
      <c r="W5" s="2"/>
      <c r="X5" s="31">
        <f>+V5</f>
        <v>401334.5</v>
      </c>
      <c r="Y5" s="31">
        <f>ROUND(X5*19%,2)</f>
        <v>76253.56</v>
      </c>
      <c r="Z5" s="54">
        <f>+Y5+X5</f>
        <v>477588.06</v>
      </c>
      <c r="AA5" s="54">
        <f>+Z5*F5</f>
        <v>28655283.600000001</v>
      </c>
      <c r="AB5" s="63">
        <f>+R5*1.19*F5</f>
        <v>24844772.399999999</v>
      </c>
      <c r="AC5" s="87">
        <f>+(AVERAGE(AVERAGE(H5:J5),MIN(H5:J5)))*F5*1.19</f>
        <v>28655283.299999997</v>
      </c>
    </row>
    <row r="6" spans="1:29" s="1" customFormat="1" ht="16.5" x14ac:dyDescent="0.3">
      <c r="A6" s="7"/>
      <c r="B6" s="8">
        <v>2</v>
      </c>
      <c r="C6" s="154"/>
      <c r="D6" s="37" t="s">
        <v>35</v>
      </c>
      <c r="E6" s="36" t="s">
        <v>11</v>
      </c>
      <c r="F6" s="114">
        <v>30</v>
      </c>
      <c r="H6" s="105">
        <v>210442</v>
      </c>
      <c r="I6" s="104"/>
      <c r="J6" s="105">
        <v>331760</v>
      </c>
      <c r="K6" s="102"/>
      <c r="L6" s="105">
        <v>450000</v>
      </c>
      <c r="M6" s="2"/>
      <c r="N6" s="25"/>
      <c r="O6" s="2"/>
      <c r="P6" s="25"/>
      <c r="Q6" s="2"/>
      <c r="R6" s="29">
        <f t="shared" ref="R6:R26" si="0">ROUND(MIN(H6,J6,L6),2)</f>
        <v>210442</v>
      </c>
      <c r="S6" s="29">
        <f t="shared" ref="S6:S26" si="1">ROUND(AVERAGE(H6,J6,L6),2)</f>
        <v>330734</v>
      </c>
      <c r="T6" s="29">
        <f t="shared" ref="T6:T26" si="2">+MAX(H6,J6,L6)</f>
        <v>450000</v>
      </c>
      <c r="U6" s="30">
        <f t="shared" ref="U6:U26" si="3">+(T6/R6)-1</f>
        <v>1.1383564117429033</v>
      </c>
      <c r="V6" s="29">
        <f t="shared" ref="V6:V26" si="4">+ROUND(AVERAGE(R6,S6),2)</f>
        <v>270588</v>
      </c>
      <c r="W6" s="2"/>
      <c r="X6" s="31">
        <f t="shared" ref="X6:X26" si="5">+V6</f>
        <v>270588</v>
      </c>
      <c r="Y6" s="31">
        <f t="shared" ref="Y6:Y26" si="6">ROUND(X6*19%,2)</f>
        <v>51411.72</v>
      </c>
      <c r="Z6" s="55">
        <f t="shared" ref="Z6:Z26" si="7">+Y6+X6</f>
        <v>321999.71999999997</v>
      </c>
      <c r="AA6" s="55">
        <f t="shared" ref="AA6:AA26" si="8">+Z6*F6</f>
        <v>9659991.5999999996</v>
      </c>
      <c r="AB6" s="63">
        <f t="shared" ref="AB6:AB26" si="9">+R6*1.19*F6</f>
        <v>7512779.3999999994</v>
      </c>
      <c r="AC6" s="87">
        <f>+(AVERAGE(AVERAGE(H6:L6),MIN(H6:L6)))*F6*1.19</f>
        <v>9659991.5999999996</v>
      </c>
    </row>
    <row r="7" spans="1:29" s="1" customFormat="1" ht="16.5" x14ac:dyDescent="0.3">
      <c r="A7" s="7"/>
      <c r="B7" s="8">
        <v>3</v>
      </c>
      <c r="C7" s="154"/>
      <c r="D7" s="38" t="s">
        <v>36</v>
      </c>
      <c r="E7" s="36" t="s">
        <v>11</v>
      </c>
      <c r="F7" s="114">
        <v>30</v>
      </c>
      <c r="H7" s="60">
        <v>141931</v>
      </c>
      <c r="I7" s="104"/>
      <c r="J7" s="60">
        <v>290000</v>
      </c>
      <c r="K7" s="102"/>
      <c r="L7" s="60">
        <v>300000</v>
      </c>
      <c r="M7" s="2"/>
      <c r="N7" s="25"/>
      <c r="O7" s="2"/>
      <c r="P7" s="25"/>
      <c r="Q7" s="2"/>
      <c r="R7" s="29">
        <f t="shared" si="0"/>
        <v>141931</v>
      </c>
      <c r="S7" s="29">
        <f t="shared" si="1"/>
        <v>243977</v>
      </c>
      <c r="T7" s="29">
        <f t="shared" si="2"/>
        <v>300000</v>
      </c>
      <c r="U7" s="30">
        <f t="shared" si="3"/>
        <v>1.1137031374400235</v>
      </c>
      <c r="V7" s="29">
        <f t="shared" si="4"/>
        <v>192954</v>
      </c>
      <c r="W7" s="2"/>
      <c r="X7" s="31">
        <f t="shared" si="5"/>
        <v>192954</v>
      </c>
      <c r="Y7" s="31">
        <f t="shared" si="6"/>
        <v>36661.26</v>
      </c>
      <c r="Z7" s="56">
        <f t="shared" si="7"/>
        <v>229615.26</v>
      </c>
      <c r="AA7" s="56">
        <f t="shared" si="8"/>
        <v>6888457.8000000007</v>
      </c>
      <c r="AB7" s="63">
        <f t="shared" si="9"/>
        <v>5066936.6999999993</v>
      </c>
      <c r="AC7" s="87">
        <f>+(AVERAGE(AVERAGE(H7:L7),MIN(H7:L7)))*F7*1.19</f>
        <v>6888457.7999999998</v>
      </c>
    </row>
    <row r="8" spans="1:29" s="1" customFormat="1" ht="16.5" x14ac:dyDescent="0.3">
      <c r="A8" s="7"/>
      <c r="B8" s="8">
        <v>4</v>
      </c>
      <c r="C8" s="154"/>
      <c r="D8" s="39" t="s">
        <v>37</v>
      </c>
      <c r="E8" s="36" t="s">
        <v>11</v>
      </c>
      <c r="F8" s="114">
        <v>30</v>
      </c>
      <c r="H8" s="106">
        <v>803960</v>
      </c>
      <c r="I8" s="104"/>
      <c r="J8" s="106">
        <v>835200</v>
      </c>
      <c r="K8" s="102"/>
      <c r="L8" s="106">
        <v>1400000</v>
      </c>
      <c r="M8" s="2"/>
      <c r="N8" s="25"/>
      <c r="O8" s="2"/>
      <c r="P8" s="25"/>
      <c r="Q8" s="2"/>
      <c r="R8" s="29">
        <f>ROUND(MIN(H8,J8),2)</f>
        <v>803960</v>
      </c>
      <c r="S8" s="29">
        <f>ROUND(AVERAGE(H8,J8),2)</f>
        <v>819580</v>
      </c>
      <c r="T8" s="29">
        <f t="shared" si="2"/>
        <v>1400000</v>
      </c>
      <c r="U8" s="30">
        <f t="shared" si="3"/>
        <v>0.74138016816757046</v>
      </c>
      <c r="V8" s="29">
        <f t="shared" si="4"/>
        <v>811770</v>
      </c>
      <c r="W8" s="2"/>
      <c r="X8" s="31">
        <f t="shared" si="5"/>
        <v>811770</v>
      </c>
      <c r="Y8" s="31">
        <f t="shared" si="6"/>
        <v>154236.29999999999</v>
      </c>
      <c r="Z8" s="57">
        <f t="shared" si="7"/>
        <v>966006.3</v>
      </c>
      <c r="AA8" s="57">
        <f t="shared" si="8"/>
        <v>28980189</v>
      </c>
      <c r="AB8" s="63">
        <f t="shared" si="9"/>
        <v>28701371.999999996</v>
      </c>
      <c r="AC8" s="87">
        <f t="shared" ref="AC8:AC25" si="10">+(AVERAGE(AVERAGE(H8:J8),MIN(H8:J8)))*F8*1.19</f>
        <v>28980189</v>
      </c>
    </row>
    <row r="9" spans="1:29" s="1" customFormat="1" ht="16.5" x14ac:dyDescent="0.3">
      <c r="A9" s="7"/>
      <c r="B9" s="8">
        <v>5</v>
      </c>
      <c r="C9" s="154"/>
      <c r="D9" s="38" t="s">
        <v>38</v>
      </c>
      <c r="E9" s="36" t="s">
        <v>11</v>
      </c>
      <c r="F9" s="114">
        <v>60</v>
      </c>
      <c r="H9" s="60">
        <v>352869</v>
      </c>
      <c r="I9" s="104"/>
      <c r="J9" s="60">
        <v>735440</v>
      </c>
      <c r="K9" s="102"/>
      <c r="L9" s="60">
        <v>990000</v>
      </c>
      <c r="M9" s="2"/>
      <c r="N9" s="25"/>
      <c r="O9" s="2"/>
      <c r="P9" s="25"/>
      <c r="Q9" s="2"/>
      <c r="R9" s="29">
        <f t="shared" si="0"/>
        <v>352869</v>
      </c>
      <c r="S9" s="29">
        <f t="shared" si="1"/>
        <v>692769.67</v>
      </c>
      <c r="T9" s="29">
        <f t="shared" si="2"/>
        <v>990000</v>
      </c>
      <c r="U9" s="30">
        <f t="shared" si="3"/>
        <v>1.8055737398297951</v>
      </c>
      <c r="V9" s="29">
        <f t="shared" si="4"/>
        <v>522819.34</v>
      </c>
      <c r="W9" s="2"/>
      <c r="X9" s="31">
        <f t="shared" si="5"/>
        <v>522819.34</v>
      </c>
      <c r="Y9" s="31">
        <f t="shared" si="6"/>
        <v>99335.67</v>
      </c>
      <c r="Z9" s="56">
        <f t="shared" si="7"/>
        <v>622155.01</v>
      </c>
      <c r="AA9" s="56">
        <f t="shared" si="8"/>
        <v>37329300.600000001</v>
      </c>
      <c r="AB9" s="63">
        <f t="shared" si="9"/>
        <v>25194846.599999998</v>
      </c>
      <c r="AC9" s="87">
        <f>+(AVERAGE(AVERAGE(H9:L9),MIN(H9:L9)))*F9*1.19</f>
        <v>37329300.399999999</v>
      </c>
    </row>
    <row r="10" spans="1:29" s="1" customFormat="1" ht="16.5" x14ac:dyDescent="0.3">
      <c r="A10" s="7"/>
      <c r="B10" s="8">
        <v>6</v>
      </c>
      <c r="C10" s="154"/>
      <c r="D10" s="40" t="s">
        <v>39</v>
      </c>
      <c r="E10" s="36" t="s">
        <v>11</v>
      </c>
      <c r="F10" s="114">
        <v>30</v>
      </c>
      <c r="H10" s="107">
        <v>555238</v>
      </c>
      <c r="I10" s="104"/>
      <c r="J10" s="107">
        <v>881600</v>
      </c>
      <c r="K10" s="102"/>
      <c r="L10" s="107">
        <v>950000</v>
      </c>
      <c r="M10" s="2"/>
      <c r="N10" s="25"/>
      <c r="O10" s="2"/>
      <c r="P10" s="25"/>
      <c r="Q10" s="2"/>
      <c r="R10" s="29">
        <f t="shared" si="0"/>
        <v>555238</v>
      </c>
      <c r="S10" s="29">
        <f t="shared" si="1"/>
        <v>795612.67</v>
      </c>
      <c r="T10" s="29">
        <f t="shared" si="2"/>
        <v>950000</v>
      </c>
      <c r="U10" s="30">
        <f t="shared" si="3"/>
        <v>0.71097799502195458</v>
      </c>
      <c r="V10" s="29">
        <f t="shared" si="4"/>
        <v>675425.34</v>
      </c>
      <c r="W10" s="2"/>
      <c r="X10" s="31">
        <f t="shared" si="5"/>
        <v>675425.34</v>
      </c>
      <c r="Y10" s="31">
        <f t="shared" si="6"/>
        <v>128330.81</v>
      </c>
      <c r="Z10" s="58">
        <f t="shared" si="7"/>
        <v>803756.14999999991</v>
      </c>
      <c r="AA10" s="58">
        <f t="shared" si="8"/>
        <v>24112684.499999996</v>
      </c>
      <c r="AB10" s="63">
        <f t="shared" si="9"/>
        <v>19821996.599999998</v>
      </c>
      <c r="AC10" s="87">
        <f>+(AVERAGE(AVERAGE(H10:L10),MIN(H10:L10)))*F10*1.19</f>
        <v>24112684.399999995</v>
      </c>
    </row>
    <row r="11" spans="1:29" s="1" customFormat="1" ht="16.5" x14ac:dyDescent="0.3">
      <c r="A11" s="7"/>
      <c r="B11" s="8">
        <v>7</v>
      </c>
      <c r="C11" s="155"/>
      <c r="D11" s="38" t="s">
        <v>40</v>
      </c>
      <c r="E11" s="36" t="s">
        <v>11</v>
      </c>
      <c r="F11" s="114">
        <v>30</v>
      </c>
      <c r="H11" s="60">
        <v>329127</v>
      </c>
      <c r="I11" s="108"/>
      <c r="J11" s="60">
        <v>116000</v>
      </c>
      <c r="K11" s="102"/>
      <c r="L11" s="60">
        <v>550000</v>
      </c>
      <c r="M11" s="2"/>
      <c r="N11" s="25"/>
      <c r="O11" s="2"/>
      <c r="P11" s="25"/>
      <c r="Q11" s="2"/>
      <c r="R11" s="29">
        <f t="shared" si="0"/>
        <v>116000</v>
      </c>
      <c r="S11" s="29">
        <f t="shared" si="1"/>
        <v>331709</v>
      </c>
      <c r="T11" s="29">
        <f t="shared" si="2"/>
        <v>550000</v>
      </c>
      <c r="U11" s="30">
        <f t="shared" si="3"/>
        <v>3.7413793103448274</v>
      </c>
      <c r="V11" s="29">
        <f t="shared" si="4"/>
        <v>223854.5</v>
      </c>
      <c r="W11" s="2"/>
      <c r="X11" s="31">
        <f t="shared" si="5"/>
        <v>223854.5</v>
      </c>
      <c r="Y11" s="31">
        <f t="shared" si="6"/>
        <v>42532.36</v>
      </c>
      <c r="Z11" s="56">
        <f t="shared" si="7"/>
        <v>266386.86</v>
      </c>
      <c r="AA11" s="56">
        <f t="shared" si="8"/>
        <v>7991605.7999999998</v>
      </c>
      <c r="AB11" s="63">
        <f t="shared" si="9"/>
        <v>4141200</v>
      </c>
      <c r="AC11" s="87">
        <f>+(AVERAGE(AVERAGE(H11:L11),MIN(H11:L11)))*F11*1.19</f>
        <v>7991605.6499999994</v>
      </c>
    </row>
    <row r="12" spans="1:29" s="1" customFormat="1" ht="16.5" x14ac:dyDescent="0.3">
      <c r="A12" s="7"/>
      <c r="B12" s="8">
        <v>8</v>
      </c>
      <c r="C12" s="156" t="s">
        <v>42</v>
      </c>
      <c r="D12" s="59" t="s">
        <v>34</v>
      </c>
      <c r="E12" s="36" t="s">
        <v>11</v>
      </c>
      <c r="F12" s="114">
        <v>50</v>
      </c>
      <c r="H12" s="103">
        <v>347966</v>
      </c>
      <c r="I12" s="104"/>
      <c r="J12" s="103">
        <v>561440</v>
      </c>
      <c r="K12" s="102"/>
      <c r="L12" s="103">
        <v>900000</v>
      </c>
      <c r="M12" s="2"/>
      <c r="N12" s="25"/>
      <c r="O12" s="2"/>
      <c r="P12" s="25"/>
      <c r="Q12" s="2"/>
      <c r="R12" s="29">
        <f>ROUND(MIN(H12,J12),2)</f>
        <v>347966</v>
      </c>
      <c r="S12" s="29">
        <f>ROUND(AVERAGE(H12,J12),2)</f>
        <v>454703</v>
      </c>
      <c r="T12" s="29">
        <f t="shared" si="2"/>
        <v>900000</v>
      </c>
      <c r="U12" s="30">
        <f t="shared" si="3"/>
        <v>1.5864595966272566</v>
      </c>
      <c r="V12" s="29">
        <f t="shared" si="4"/>
        <v>401334.5</v>
      </c>
      <c r="W12" s="2"/>
      <c r="X12" s="31">
        <f t="shared" si="5"/>
        <v>401334.5</v>
      </c>
      <c r="Y12" s="31">
        <f t="shared" si="6"/>
        <v>76253.56</v>
      </c>
      <c r="Z12" s="54">
        <f t="shared" si="7"/>
        <v>477588.06</v>
      </c>
      <c r="AA12" s="54">
        <f t="shared" si="8"/>
        <v>23879403</v>
      </c>
      <c r="AB12" s="63">
        <f t="shared" si="9"/>
        <v>20703977</v>
      </c>
      <c r="AC12" s="87">
        <f>+(AVERAGE(AVERAGE(H12:J12),MIN(H12:J12)))*F12*1.19</f>
        <v>23879402.75</v>
      </c>
    </row>
    <row r="13" spans="1:29" s="1" customFormat="1" ht="16.5" x14ac:dyDescent="0.3">
      <c r="A13" s="7"/>
      <c r="B13" s="8">
        <v>9</v>
      </c>
      <c r="C13" s="154"/>
      <c r="D13" s="41" t="s">
        <v>35</v>
      </c>
      <c r="E13" s="36" t="s">
        <v>11</v>
      </c>
      <c r="F13" s="114">
        <v>50</v>
      </c>
      <c r="H13" s="105">
        <v>210442</v>
      </c>
      <c r="I13" s="104"/>
      <c r="J13" s="105">
        <v>331760</v>
      </c>
      <c r="K13" s="102"/>
      <c r="L13" s="105">
        <v>450000</v>
      </c>
      <c r="M13" s="2"/>
      <c r="N13" s="25"/>
      <c r="O13" s="2"/>
      <c r="P13" s="25"/>
      <c r="Q13" s="2"/>
      <c r="R13" s="29">
        <f t="shared" si="0"/>
        <v>210442</v>
      </c>
      <c r="S13" s="29">
        <f t="shared" si="1"/>
        <v>330734</v>
      </c>
      <c r="T13" s="29">
        <f t="shared" si="2"/>
        <v>450000</v>
      </c>
      <c r="U13" s="30">
        <f t="shared" si="3"/>
        <v>1.1383564117429033</v>
      </c>
      <c r="V13" s="29">
        <f t="shared" si="4"/>
        <v>270588</v>
      </c>
      <c r="W13" s="2"/>
      <c r="X13" s="31">
        <f t="shared" si="5"/>
        <v>270588</v>
      </c>
      <c r="Y13" s="31">
        <f t="shared" si="6"/>
        <v>51411.72</v>
      </c>
      <c r="Z13" s="55">
        <f t="shared" si="7"/>
        <v>321999.71999999997</v>
      </c>
      <c r="AA13" s="55">
        <f t="shared" si="8"/>
        <v>16099985.999999998</v>
      </c>
      <c r="AB13" s="63">
        <f t="shared" si="9"/>
        <v>12521299</v>
      </c>
      <c r="AC13" s="87">
        <f>+(AVERAGE(AVERAGE(H13:L13),MIN(H13:L13)))*F13*1.19</f>
        <v>16099986</v>
      </c>
    </row>
    <row r="14" spans="1:29" s="1" customFormat="1" ht="16.5" x14ac:dyDescent="0.3">
      <c r="A14" s="7"/>
      <c r="B14" s="8">
        <v>10</v>
      </c>
      <c r="C14" s="154"/>
      <c r="D14" s="42" t="s">
        <v>37</v>
      </c>
      <c r="E14" s="36" t="s">
        <v>11</v>
      </c>
      <c r="F14" s="114">
        <v>50</v>
      </c>
      <c r="H14" s="106">
        <v>803960</v>
      </c>
      <c r="I14" s="104"/>
      <c r="J14" s="106">
        <v>835200</v>
      </c>
      <c r="K14" s="102"/>
      <c r="L14" s="106">
        <v>1400000</v>
      </c>
      <c r="M14" s="2"/>
      <c r="N14" s="25"/>
      <c r="O14" s="2"/>
      <c r="P14" s="25"/>
      <c r="Q14" s="2"/>
      <c r="R14" s="29">
        <f>ROUND(MIN(H14,J14),2)</f>
        <v>803960</v>
      </c>
      <c r="S14" s="29">
        <f>ROUND(AVERAGE(H14,J14),2)</f>
        <v>819580</v>
      </c>
      <c r="T14" s="29">
        <f t="shared" si="2"/>
        <v>1400000</v>
      </c>
      <c r="U14" s="30">
        <f t="shared" si="3"/>
        <v>0.74138016816757046</v>
      </c>
      <c r="V14" s="29">
        <f t="shared" si="4"/>
        <v>811770</v>
      </c>
      <c r="W14" s="2"/>
      <c r="X14" s="31">
        <f t="shared" si="5"/>
        <v>811770</v>
      </c>
      <c r="Y14" s="31">
        <f t="shared" si="6"/>
        <v>154236.29999999999</v>
      </c>
      <c r="Z14" s="57">
        <f t="shared" si="7"/>
        <v>966006.3</v>
      </c>
      <c r="AA14" s="57">
        <f t="shared" si="8"/>
        <v>48300315</v>
      </c>
      <c r="AB14" s="63">
        <f t="shared" si="9"/>
        <v>47835619.999999993</v>
      </c>
      <c r="AC14" s="87">
        <f t="shared" si="10"/>
        <v>48300315</v>
      </c>
    </row>
    <row r="15" spans="1:29" s="1" customFormat="1" ht="16.5" x14ac:dyDescent="0.3">
      <c r="A15" s="7"/>
      <c r="B15" s="8">
        <v>11</v>
      </c>
      <c r="C15" s="154"/>
      <c r="D15" s="40" t="s">
        <v>39</v>
      </c>
      <c r="E15" s="36" t="s">
        <v>11</v>
      </c>
      <c r="F15" s="114">
        <v>50</v>
      </c>
      <c r="H15" s="107">
        <v>555238</v>
      </c>
      <c r="I15" s="104"/>
      <c r="J15" s="107">
        <v>881600</v>
      </c>
      <c r="K15" s="102"/>
      <c r="L15" s="107">
        <v>950000</v>
      </c>
      <c r="M15" s="2"/>
      <c r="N15" s="25"/>
      <c r="O15" s="2"/>
      <c r="P15" s="25"/>
      <c r="Q15" s="2"/>
      <c r="R15" s="29">
        <f t="shared" si="0"/>
        <v>555238</v>
      </c>
      <c r="S15" s="29">
        <f t="shared" si="1"/>
        <v>795612.67</v>
      </c>
      <c r="T15" s="29">
        <f t="shared" si="2"/>
        <v>950000</v>
      </c>
      <c r="U15" s="30">
        <f t="shared" si="3"/>
        <v>0.71097799502195458</v>
      </c>
      <c r="V15" s="29">
        <f t="shared" si="4"/>
        <v>675425.34</v>
      </c>
      <c r="W15" s="2"/>
      <c r="X15" s="31">
        <f t="shared" si="5"/>
        <v>675425.34</v>
      </c>
      <c r="Y15" s="31">
        <f t="shared" si="6"/>
        <v>128330.81</v>
      </c>
      <c r="Z15" s="58">
        <f t="shared" si="7"/>
        <v>803756.14999999991</v>
      </c>
      <c r="AA15" s="58">
        <f t="shared" si="8"/>
        <v>40187807.499999993</v>
      </c>
      <c r="AB15" s="63">
        <f t="shared" si="9"/>
        <v>33036661</v>
      </c>
      <c r="AC15" s="87">
        <f>+(AVERAGE(AVERAGE(H15:L15),MIN(H15:L15)))*F15*1.19</f>
        <v>40187807.333333328</v>
      </c>
    </row>
    <row r="16" spans="1:29" s="1" customFormat="1" ht="16.5" x14ac:dyDescent="0.3">
      <c r="A16" s="7"/>
      <c r="B16" s="8">
        <v>12</v>
      </c>
      <c r="C16" s="154"/>
      <c r="D16" s="38" t="s">
        <v>40</v>
      </c>
      <c r="E16" s="43" t="s">
        <v>11</v>
      </c>
      <c r="F16" s="114">
        <v>50</v>
      </c>
      <c r="H16" s="60">
        <v>246845</v>
      </c>
      <c r="I16" s="108"/>
      <c r="J16" s="60">
        <v>116000</v>
      </c>
      <c r="K16" s="102"/>
      <c r="L16" s="60">
        <v>550000</v>
      </c>
      <c r="M16" s="2"/>
      <c r="N16" s="25"/>
      <c r="O16" s="2"/>
      <c r="P16" s="25"/>
      <c r="Q16" s="2"/>
      <c r="R16" s="29">
        <f t="shared" si="0"/>
        <v>116000</v>
      </c>
      <c r="S16" s="29">
        <f t="shared" si="1"/>
        <v>304281.67</v>
      </c>
      <c r="T16" s="29">
        <f t="shared" si="2"/>
        <v>550000</v>
      </c>
      <c r="U16" s="30">
        <f t="shared" si="3"/>
        <v>3.7413793103448274</v>
      </c>
      <c r="V16" s="29">
        <f t="shared" si="4"/>
        <v>210140.84</v>
      </c>
      <c r="W16" s="2"/>
      <c r="X16" s="31">
        <f t="shared" si="5"/>
        <v>210140.84</v>
      </c>
      <c r="Y16" s="31">
        <f t="shared" si="6"/>
        <v>39926.76</v>
      </c>
      <c r="Z16" s="56">
        <f t="shared" si="7"/>
        <v>250067.6</v>
      </c>
      <c r="AA16" s="56">
        <f t="shared" si="8"/>
        <v>12503380</v>
      </c>
      <c r="AB16" s="63">
        <f t="shared" si="9"/>
        <v>6902000</v>
      </c>
      <c r="AC16" s="87">
        <f>+(AVERAGE(AVERAGE(H16:L16),MIN(H16:L16)))*F16*1.19</f>
        <v>12503379.583333334</v>
      </c>
    </row>
    <row r="17" spans="1:29" s="1" customFormat="1" ht="16.5" x14ac:dyDescent="0.3">
      <c r="A17" s="7"/>
      <c r="B17" s="8">
        <v>13</v>
      </c>
      <c r="C17" s="157" t="s">
        <v>43</v>
      </c>
      <c r="D17" s="59" t="s">
        <v>34</v>
      </c>
      <c r="E17" s="36" t="s">
        <v>11</v>
      </c>
      <c r="F17" s="114">
        <v>25</v>
      </c>
      <c r="H17" s="103">
        <v>347966</v>
      </c>
      <c r="I17" s="104"/>
      <c r="J17" s="103">
        <v>561440</v>
      </c>
      <c r="K17" s="102"/>
      <c r="L17" s="103">
        <v>900000</v>
      </c>
      <c r="M17" s="2"/>
      <c r="N17" s="25"/>
      <c r="O17" s="2"/>
      <c r="P17" s="25"/>
      <c r="Q17" s="2"/>
      <c r="R17" s="29">
        <f>ROUND(MIN(H17,J17),2)</f>
        <v>347966</v>
      </c>
      <c r="S17" s="29">
        <f>ROUND(AVERAGE(H17,J17),2)</f>
        <v>454703</v>
      </c>
      <c r="T17" s="29">
        <f t="shared" si="2"/>
        <v>900000</v>
      </c>
      <c r="U17" s="30">
        <f t="shared" si="3"/>
        <v>1.5864595966272566</v>
      </c>
      <c r="V17" s="29">
        <f t="shared" si="4"/>
        <v>401334.5</v>
      </c>
      <c r="W17" s="2"/>
      <c r="X17" s="31">
        <f t="shared" si="5"/>
        <v>401334.5</v>
      </c>
      <c r="Y17" s="31">
        <f t="shared" si="6"/>
        <v>76253.56</v>
      </c>
      <c r="Z17" s="54">
        <f t="shared" si="7"/>
        <v>477588.06</v>
      </c>
      <c r="AA17" s="54">
        <f t="shared" si="8"/>
        <v>11939701.5</v>
      </c>
      <c r="AB17" s="63">
        <f t="shared" si="9"/>
        <v>10351988.5</v>
      </c>
      <c r="AC17" s="87">
        <f t="shared" si="10"/>
        <v>11939701.375</v>
      </c>
    </row>
    <row r="18" spans="1:29" s="1" customFormat="1" ht="16.5" x14ac:dyDescent="0.3">
      <c r="A18" s="7"/>
      <c r="B18" s="8">
        <v>14</v>
      </c>
      <c r="C18" s="154"/>
      <c r="D18" s="42" t="s">
        <v>37</v>
      </c>
      <c r="E18" s="36" t="s">
        <v>11</v>
      </c>
      <c r="F18" s="114">
        <v>25</v>
      </c>
      <c r="H18" s="106">
        <v>803960</v>
      </c>
      <c r="I18" s="104"/>
      <c r="J18" s="106">
        <v>835200</v>
      </c>
      <c r="K18" s="102"/>
      <c r="L18" s="106">
        <v>1400000</v>
      </c>
      <c r="M18" s="2"/>
      <c r="N18" s="25"/>
      <c r="O18" s="2"/>
      <c r="P18" s="25"/>
      <c r="Q18" s="2"/>
      <c r="R18" s="29">
        <f>ROUND(MIN(H18,J18),2)</f>
        <v>803960</v>
      </c>
      <c r="S18" s="29">
        <f>ROUND(AVERAGE(H18,J18),2)</f>
        <v>819580</v>
      </c>
      <c r="T18" s="29">
        <f t="shared" si="2"/>
        <v>1400000</v>
      </c>
      <c r="U18" s="30">
        <f t="shared" si="3"/>
        <v>0.74138016816757046</v>
      </c>
      <c r="V18" s="29">
        <f t="shared" si="4"/>
        <v>811770</v>
      </c>
      <c r="W18" s="2"/>
      <c r="X18" s="31">
        <f t="shared" si="5"/>
        <v>811770</v>
      </c>
      <c r="Y18" s="31">
        <f t="shared" si="6"/>
        <v>154236.29999999999</v>
      </c>
      <c r="Z18" s="57">
        <f t="shared" si="7"/>
        <v>966006.3</v>
      </c>
      <c r="AA18" s="57">
        <f t="shared" si="8"/>
        <v>24150157.5</v>
      </c>
      <c r="AB18" s="63">
        <f t="shared" si="9"/>
        <v>23917809.999999996</v>
      </c>
      <c r="AC18" s="87">
        <f t="shared" si="10"/>
        <v>24150157.5</v>
      </c>
    </row>
    <row r="19" spans="1:29" s="1" customFormat="1" ht="16.5" x14ac:dyDescent="0.3">
      <c r="A19" s="7"/>
      <c r="B19" s="8">
        <v>15</v>
      </c>
      <c r="C19" s="154"/>
      <c r="D19" s="40" t="s">
        <v>39</v>
      </c>
      <c r="E19" s="36" t="s">
        <v>11</v>
      </c>
      <c r="F19" s="114">
        <v>25</v>
      </c>
      <c r="H19" s="107">
        <v>555238</v>
      </c>
      <c r="I19" s="104"/>
      <c r="J19" s="107">
        <v>881600</v>
      </c>
      <c r="K19" s="102"/>
      <c r="L19" s="107">
        <v>950000</v>
      </c>
      <c r="M19" s="2"/>
      <c r="N19" s="25"/>
      <c r="O19" s="2"/>
      <c r="P19" s="25"/>
      <c r="Q19" s="2"/>
      <c r="R19" s="29">
        <f t="shared" si="0"/>
        <v>555238</v>
      </c>
      <c r="S19" s="29">
        <f t="shared" si="1"/>
        <v>795612.67</v>
      </c>
      <c r="T19" s="29">
        <f t="shared" si="2"/>
        <v>950000</v>
      </c>
      <c r="U19" s="30">
        <f t="shared" si="3"/>
        <v>0.71097799502195458</v>
      </c>
      <c r="V19" s="29">
        <f t="shared" si="4"/>
        <v>675425.34</v>
      </c>
      <c r="W19" s="2"/>
      <c r="X19" s="31">
        <f t="shared" si="5"/>
        <v>675425.34</v>
      </c>
      <c r="Y19" s="31">
        <f t="shared" si="6"/>
        <v>128330.81</v>
      </c>
      <c r="Z19" s="58">
        <f t="shared" si="7"/>
        <v>803756.14999999991</v>
      </c>
      <c r="AA19" s="58">
        <f t="shared" si="8"/>
        <v>20093903.749999996</v>
      </c>
      <c r="AB19" s="63">
        <f t="shared" si="9"/>
        <v>16518330.5</v>
      </c>
      <c r="AC19" s="87">
        <f>+(AVERAGE(AVERAGE(H19:L19),MIN(H19:L19)))*F19*1.19</f>
        <v>20093903.666666664</v>
      </c>
    </row>
    <row r="20" spans="1:29" s="1" customFormat="1" ht="16.5" x14ac:dyDescent="0.3">
      <c r="A20" s="7"/>
      <c r="B20" s="8">
        <v>16</v>
      </c>
      <c r="C20" s="155"/>
      <c r="D20" s="38" t="s">
        <v>40</v>
      </c>
      <c r="E20" s="36" t="s">
        <v>11</v>
      </c>
      <c r="F20" s="114">
        <v>25</v>
      </c>
      <c r="H20" s="60">
        <v>240000</v>
      </c>
      <c r="I20" s="108"/>
      <c r="J20" s="60">
        <v>116000</v>
      </c>
      <c r="K20" s="102"/>
      <c r="L20" s="60">
        <v>550000</v>
      </c>
      <c r="M20" s="2"/>
      <c r="N20" s="25"/>
      <c r="O20" s="2"/>
      <c r="P20" s="25"/>
      <c r="Q20" s="2"/>
      <c r="R20" s="29">
        <f t="shared" si="0"/>
        <v>116000</v>
      </c>
      <c r="S20" s="29">
        <f t="shared" si="1"/>
        <v>302000</v>
      </c>
      <c r="T20" s="29">
        <f t="shared" si="2"/>
        <v>550000</v>
      </c>
      <c r="U20" s="30">
        <f t="shared" si="3"/>
        <v>3.7413793103448274</v>
      </c>
      <c r="V20" s="29">
        <f t="shared" si="4"/>
        <v>209000</v>
      </c>
      <c r="W20" s="2"/>
      <c r="X20" s="31">
        <f t="shared" si="5"/>
        <v>209000</v>
      </c>
      <c r="Y20" s="31">
        <f t="shared" si="6"/>
        <v>39710</v>
      </c>
      <c r="Z20" s="56">
        <f t="shared" si="7"/>
        <v>248710</v>
      </c>
      <c r="AA20" s="56">
        <f t="shared" si="8"/>
        <v>6217750</v>
      </c>
      <c r="AB20" s="63">
        <f t="shared" si="9"/>
        <v>3451000</v>
      </c>
      <c r="AC20" s="87">
        <f>+(AVERAGE(AVERAGE(H20:L20),MIN(H20:L20)))*F20*1.19</f>
        <v>6217750</v>
      </c>
    </row>
    <row r="21" spans="1:29" s="1" customFormat="1" ht="16.5" x14ac:dyDescent="0.3">
      <c r="A21" s="7"/>
      <c r="B21" s="8">
        <v>17</v>
      </c>
      <c r="C21" s="158" t="s">
        <v>37</v>
      </c>
      <c r="D21" s="158"/>
      <c r="E21" s="45" t="s">
        <v>11</v>
      </c>
      <c r="F21" s="114">
        <v>35</v>
      </c>
      <c r="H21" s="106">
        <v>803960</v>
      </c>
      <c r="I21" s="104"/>
      <c r="J21" s="106">
        <v>835200</v>
      </c>
      <c r="K21" s="102"/>
      <c r="L21" s="106">
        <v>1400000</v>
      </c>
      <c r="M21" s="2"/>
      <c r="N21" s="25"/>
      <c r="O21" s="2"/>
      <c r="P21" s="25"/>
      <c r="Q21" s="2"/>
      <c r="R21" s="29">
        <f>ROUND(MIN(H21,J21),2)</f>
        <v>803960</v>
      </c>
      <c r="S21" s="29">
        <f>ROUND(AVERAGE(H21,J21),2)</f>
        <v>819580</v>
      </c>
      <c r="T21" s="29">
        <f t="shared" si="2"/>
        <v>1400000</v>
      </c>
      <c r="U21" s="30">
        <f t="shared" si="3"/>
        <v>0.74138016816757046</v>
      </c>
      <c r="V21" s="29">
        <f t="shared" si="4"/>
        <v>811770</v>
      </c>
      <c r="W21" s="2"/>
      <c r="X21" s="31">
        <f t="shared" si="5"/>
        <v>811770</v>
      </c>
      <c r="Y21" s="31">
        <f t="shared" si="6"/>
        <v>154236.29999999999</v>
      </c>
      <c r="Z21" s="57">
        <f t="shared" si="7"/>
        <v>966006.3</v>
      </c>
      <c r="AA21" s="57">
        <f t="shared" si="8"/>
        <v>33810220.5</v>
      </c>
      <c r="AB21" s="63">
        <f t="shared" si="9"/>
        <v>33484933.999999996</v>
      </c>
      <c r="AC21" s="87">
        <f t="shared" si="10"/>
        <v>33810220.5</v>
      </c>
    </row>
    <row r="22" spans="1:29" s="1" customFormat="1" ht="16.5" x14ac:dyDescent="0.3">
      <c r="A22" s="7"/>
      <c r="B22" s="8">
        <v>18</v>
      </c>
      <c r="C22" s="47" t="s">
        <v>44</v>
      </c>
      <c r="D22" s="47"/>
      <c r="E22" s="45" t="s">
        <v>11</v>
      </c>
      <c r="F22" s="114">
        <v>15</v>
      </c>
      <c r="H22" s="109">
        <v>703218</v>
      </c>
      <c r="I22" s="110"/>
      <c r="J22" s="109">
        <v>422000</v>
      </c>
      <c r="K22" s="111"/>
      <c r="L22" s="109">
        <v>1400000</v>
      </c>
      <c r="M22" s="2"/>
      <c r="N22" s="25"/>
      <c r="O22" s="2"/>
      <c r="P22" s="25"/>
      <c r="Q22" s="2"/>
      <c r="R22" s="29">
        <f>ROUND(MIN(H22,J22),2)</f>
        <v>422000</v>
      </c>
      <c r="S22" s="29">
        <f>ROUND(AVERAGE(H22,J22),2)</f>
        <v>562609</v>
      </c>
      <c r="T22" s="29">
        <f t="shared" si="2"/>
        <v>1400000</v>
      </c>
      <c r="U22" s="30">
        <f t="shared" si="3"/>
        <v>2.3175355450236967</v>
      </c>
      <c r="V22" s="29">
        <f t="shared" si="4"/>
        <v>492304.5</v>
      </c>
      <c r="W22" s="2"/>
      <c r="X22" s="31">
        <f t="shared" si="5"/>
        <v>492304.5</v>
      </c>
      <c r="Y22" s="31">
        <f t="shared" si="6"/>
        <v>93537.86</v>
      </c>
      <c r="Z22" s="31">
        <f t="shared" si="7"/>
        <v>585842.36</v>
      </c>
      <c r="AA22" s="56">
        <f t="shared" si="8"/>
        <v>8787635.4000000004</v>
      </c>
      <c r="AB22" s="63">
        <f t="shared" si="9"/>
        <v>7532700</v>
      </c>
      <c r="AC22" s="87">
        <f t="shared" si="10"/>
        <v>8787635.3249999993</v>
      </c>
    </row>
    <row r="23" spans="1:29" s="1" customFormat="1" ht="16.5" x14ac:dyDescent="0.3">
      <c r="A23" s="7"/>
      <c r="B23" s="8">
        <v>19</v>
      </c>
      <c r="C23" s="48" t="s">
        <v>45</v>
      </c>
      <c r="D23" s="48"/>
      <c r="E23" s="45" t="s">
        <v>11</v>
      </c>
      <c r="F23" s="114">
        <v>35</v>
      </c>
      <c r="H23" s="109">
        <v>1171715</v>
      </c>
      <c r="I23" s="110"/>
      <c r="J23" s="109">
        <v>1429128</v>
      </c>
      <c r="K23" s="112"/>
      <c r="L23" s="109">
        <v>2500000</v>
      </c>
      <c r="M23" s="2"/>
      <c r="N23" s="25"/>
      <c r="O23" s="2"/>
      <c r="P23" s="25"/>
      <c r="Q23" s="2"/>
      <c r="R23" s="29">
        <f>ROUND(MIN(H23,J23),2)</f>
        <v>1171715</v>
      </c>
      <c r="S23" s="29">
        <f>ROUND(AVERAGE(H23,J23),2)</f>
        <v>1300421.5</v>
      </c>
      <c r="T23" s="29">
        <f t="shared" si="2"/>
        <v>2500000</v>
      </c>
      <c r="U23" s="30">
        <f t="shared" si="3"/>
        <v>1.1336246442180906</v>
      </c>
      <c r="V23" s="29">
        <f t="shared" si="4"/>
        <v>1236068.25</v>
      </c>
      <c r="W23" s="2"/>
      <c r="X23" s="31">
        <f t="shared" si="5"/>
        <v>1236068.25</v>
      </c>
      <c r="Y23" s="31">
        <f t="shared" si="6"/>
        <v>234852.97</v>
      </c>
      <c r="Z23" s="31">
        <f t="shared" si="7"/>
        <v>1470921.22</v>
      </c>
      <c r="AA23" s="56">
        <f t="shared" si="8"/>
        <v>51482242.699999996</v>
      </c>
      <c r="AB23" s="63">
        <f t="shared" si="9"/>
        <v>48801929.749999993</v>
      </c>
      <c r="AC23" s="87">
        <f t="shared" si="10"/>
        <v>51482242.612499997</v>
      </c>
    </row>
    <row r="24" spans="1:29" s="1" customFormat="1" ht="16.5" x14ac:dyDescent="0.3">
      <c r="A24" s="7"/>
      <c r="B24" s="8">
        <v>20</v>
      </c>
      <c r="C24" s="117" t="s">
        <v>46</v>
      </c>
      <c r="D24" s="118"/>
      <c r="E24" s="45" t="s">
        <v>11</v>
      </c>
      <c r="F24" s="114">
        <v>60</v>
      </c>
      <c r="H24" s="109">
        <v>2100840</v>
      </c>
      <c r="I24" s="110"/>
      <c r="J24" s="109">
        <v>3016000</v>
      </c>
      <c r="K24" s="112"/>
      <c r="L24" s="109">
        <v>3900000</v>
      </c>
      <c r="M24" s="2"/>
      <c r="N24" s="25"/>
      <c r="O24" s="2"/>
      <c r="P24" s="25"/>
      <c r="Q24" s="2"/>
      <c r="R24" s="29">
        <f t="shared" si="0"/>
        <v>2100840</v>
      </c>
      <c r="S24" s="29">
        <f t="shared" si="1"/>
        <v>3005613.33</v>
      </c>
      <c r="T24" s="29">
        <f t="shared" si="2"/>
        <v>3900000</v>
      </c>
      <c r="U24" s="30">
        <f t="shared" si="3"/>
        <v>0.85640029702404763</v>
      </c>
      <c r="V24" s="29">
        <f t="shared" si="4"/>
        <v>2553226.67</v>
      </c>
      <c r="W24" s="2"/>
      <c r="X24" s="31">
        <f t="shared" si="5"/>
        <v>2553226.67</v>
      </c>
      <c r="Y24" s="31">
        <f t="shared" si="6"/>
        <v>485113.07</v>
      </c>
      <c r="Z24" s="31">
        <f t="shared" si="7"/>
        <v>3038339.7399999998</v>
      </c>
      <c r="AA24" s="56">
        <f t="shared" si="8"/>
        <v>182300384.39999998</v>
      </c>
      <c r="AB24" s="63">
        <f t="shared" si="9"/>
        <v>149999976</v>
      </c>
      <c r="AC24" s="87">
        <f>+(AVERAGE(AVERAGE(H24:L24),MIN(H24:L24)))*F24*1.19</f>
        <v>182300384.00000003</v>
      </c>
    </row>
    <row r="25" spans="1:29" s="1" customFormat="1" ht="16.5" x14ac:dyDescent="0.3">
      <c r="A25" s="7"/>
      <c r="B25" s="8">
        <v>21</v>
      </c>
      <c r="C25" s="117" t="s">
        <v>47</v>
      </c>
      <c r="D25" s="118"/>
      <c r="E25" s="45" t="s">
        <v>11</v>
      </c>
      <c r="F25" s="114">
        <v>20</v>
      </c>
      <c r="H25" s="109">
        <v>1848739</v>
      </c>
      <c r="I25" s="110"/>
      <c r="J25" s="109">
        <v>2200000</v>
      </c>
      <c r="K25" s="112"/>
      <c r="L25" s="109">
        <v>3600000</v>
      </c>
      <c r="M25" s="2"/>
      <c r="N25" s="25"/>
      <c r="O25" s="2"/>
      <c r="P25" s="25"/>
      <c r="Q25" s="2"/>
      <c r="R25" s="29">
        <f>ROUND(MIN(H25,J25),2)</f>
        <v>1848739</v>
      </c>
      <c r="S25" s="29">
        <f>ROUND(AVERAGE(H25,J25),2)</f>
        <v>2024369.5</v>
      </c>
      <c r="T25" s="29">
        <f t="shared" si="2"/>
        <v>3600000</v>
      </c>
      <c r="U25" s="30">
        <f t="shared" si="3"/>
        <v>0.94727324949600789</v>
      </c>
      <c r="V25" s="29">
        <f t="shared" si="4"/>
        <v>1936554.25</v>
      </c>
      <c r="W25" s="2"/>
      <c r="X25" s="31">
        <f t="shared" si="5"/>
        <v>1936554.25</v>
      </c>
      <c r="Y25" s="31">
        <f t="shared" si="6"/>
        <v>367945.31</v>
      </c>
      <c r="Z25" s="31">
        <f t="shared" si="7"/>
        <v>2304499.56</v>
      </c>
      <c r="AA25" s="56">
        <f t="shared" si="8"/>
        <v>46089991.200000003</v>
      </c>
      <c r="AB25" s="63">
        <f t="shared" si="9"/>
        <v>43999988.199999996</v>
      </c>
      <c r="AC25" s="87">
        <f t="shared" si="10"/>
        <v>46089991.149999999</v>
      </c>
    </row>
    <row r="26" spans="1:29" s="1" customFormat="1" ht="30.75" customHeight="1" x14ac:dyDescent="0.3">
      <c r="A26" s="7"/>
      <c r="B26" s="8">
        <v>22</v>
      </c>
      <c r="C26" s="117" t="s">
        <v>48</v>
      </c>
      <c r="D26" s="118"/>
      <c r="E26" s="45" t="s">
        <v>11</v>
      </c>
      <c r="F26" s="114">
        <v>40</v>
      </c>
      <c r="H26" s="109">
        <v>1176471</v>
      </c>
      <c r="I26" s="110"/>
      <c r="J26" s="109">
        <v>1763200</v>
      </c>
      <c r="K26" s="112"/>
      <c r="L26" s="109">
        <v>1900000</v>
      </c>
      <c r="M26" s="2"/>
      <c r="N26" s="25"/>
      <c r="O26" s="2"/>
      <c r="P26" s="25"/>
      <c r="Q26" s="2"/>
      <c r="R26" s="29">
        <f t="shared" si="0"/>
        <v>1176471</v>
      </c>
      <c r="S26" s="29">
        <f t="shared" si="1"/>
        <v>1613223.67</v>
      </c>
      <c r="T26" s="29">
        <f t="shared" si="2"/>
        <v>1900000</v>
      </c>
      <c r="U26" s="30">
        <f t="shared" si="3"/>
        <v>0.61499943475019792</v>
      </c>
      <c r="V26" s="29">
        <f t="shared" si="4"/>
        <v>1394847.34</v>
      </c>
      <c r="W26" s="2"/>
      <c r="X26" s="31">
        <f t="shared" si="5"/>
        <v>1394847.34</v>
      </c>
      <c r="Y26" s="31">
        <f t="shared" si="6"/>
        <v>265020.99</v>
      </c>
      <c r="Z26" s="31">
        <f t="shared" si="7"/>
        <v>1659868.33</v>
      </c>
      <c r="AA26" s="56">
        <f t="shared" si="8"/>
        <v>66394733.200000003</v>
      </c>
      <c r="AB26" s="63">
        <f t="shared" si="9"/>
        <v>56000019.600000001</v>
      </c>
      <c r="AC26" s="87">
        <f>+(AVERAGE(AVERAGE(H26:L26),MIN(H26:L26)))*F26*1.19</f>
        <v>66394733.066666678</v>
      </c>
    </row>
    <row r="27" spans="1:29" ht="29.25" customHeight="1" x14ac:dyDescent="0.3">
      <c r="A27" s="9"/>
      <c r="B27" s="125" t="s">
        <v>1</v>
      </c>
      <c r="C27" s="126"/>
      <c r="D27" s="126"/>
      <c r="E27" s="126"/>
      <c r="F27" s="127"/>
      <c r="X27" s="32"/>
      <c r="Y27" s="32" t="s">
        <v>22</v>
      </c>
      <c r="Z27" s="32"/>
      <c r="AA27" s="33">
        <f>SUM(AA5:AA26)</f>
        <v>735855124.54999995</v>
      </c>
      <c r="AB27" s="65">
        <f>SUM(AB5:AB26)</f>
        <v>630342137.25</v>
      </c>
      <c r="AC27" s="88">
        <f>SUM(AC5:AC26)</f>
        <v>735855122.01250005</v>
      </c>
    </row>
    <row r="28" spans="1:29" ht="16.5" x14ac:dyDescent="0.3">
      <c r="A28" s="9"/>
      <c r="B28" s="11"/>
      <c r="C28" s="11"/>
      <c r="D28" s="11"/>
      <c r="E28" s="11"/>
      <c r="F28" s="12"/>
      <c r="X28" s="9"/>
      <c r="Y28" s="9"/>
      <c r="Z28" s="9"/>
      <c r="AA28" s="9"/>
      <c r="AC28" s="88">
        <f>+AA27-AC27</f>
        <v>2.5374999046325684</v>
      </c>
    </row>
    <row r="29" spans="1:29" x14ac:dyDescent="0.25">
      <c r="AA29" s="65"/>
      <c r="AB29" s="64">
        <v>270000000</v>
      </c>
    </row>
    <row r="30" spans="1:29" ht="14.25" x14ac:dyDescent="0.2">
      <c r="B30" s="20" t="s">
        <v>14</v>
      </c>
      <c r="C30" s="20"/>
      <c r="D30" s="20"/>
      <c r="E30" s="21"/>
      <c r="F30" s="21"/>
      <c r="G30" s="21"/>
      <c r="H30" s="21"/>
      <c r="I30" s="21"/>
      <c r="J30" s="21"/>
      <c r="K30" s="21"/>
      <c r="L30" s="21"/>
      <c r="M30" s="21"/>
      <c r="N30" s="21"/>
      <c r="O30" s="21"/>
      <c r="P30" s="21"/>
      <c r="Q30" s="21"/>
      <c r="R30" s="21"/>
      <c r="S30" s="21"/>
      <c r="T30" s="21"/>
      <c r="U30" s="21"/>
      <c r="V30" s="21"/>
      <c r="W30" s="21"/>
      <c r="X30" s="21"/>
      <c r="AA30" s="32"/>
    </row>
    <row r="31" spans="1:29" ht="18.75" customHeight="1" x14ac:dyDescent="0.2">
      <c r="B31" s="146" t="s">
        <v>54</v>
      </c>
      <c r="C31" s="146"/>
      <c r="D31" s="146"/>
      <c r="E31" s="146"/>
      <c r="F31" s="146"/>
      <c r="G31" s="146"/>
      <c r="H31" s="146"/>
      <c r="I31" s="146"/>
      <c r="J31" s="146"/>
      <c r="K31" s="146"/>
      <c r="L31" s="146"/>
      <c r="M31" s="27"/>
      <c r="N31" s="27"/>
      <c r="O31" s="27"/>
      <c r="P31" s="27"/>
      <c r="Q31" s="27"/>
      <c r="R31" s="27"/>
      <c r="S31" s="27"/>
      <c r="T31" s="27"/>
      <c r="U31" s="27"/>
      <c r="V31" s="27"/>
      <c r="W31" s="27"/>
      <c r="X31" s="27"/>
      <c r="AB31" s="65">
        <f>+AB27-AB29</f>
        <v>360342137.25</v>
      </c>
    </row>
    <row r="32" spans="1:29" ht="18.75" customHeight="1" x14ac:dyDescent="0.2">
      <c r="B32" s="146" t="s">
        <v>55</v>
      </c>
      <c r="C32" s="146"/>
      <c r="D32" s="146"/>
      <c r="E32" s="146"/>
      <c r="F32" s="146"/>
      <c r="G32" s="146"/>
      <c r="H32" s="146"/>
      <c r="I32" s="146"/>
      <c r="J32" s="146"/>
      <c r="K32" s="146"/>
      <c r="L32" s="146"/>
      <c r="M32" s="27"/>
      <c r="N32" s="27"/>
      <c r="O32" s="27"/>
      <c r="P32" s="27"/>
      <c r="Q32" s="27"/>
      <c r="R32" s="27"/>
      <c r="S32" s="27"/>
      <c r="T32" s="27"/>
      <c r="U32" s="27"/>
      <c r="V32" s="27"/>
      <c r="W32" s="27"/>
      <c r="X32" s="27"/>
      <c r="AB32" s="65"/>
    </row>
    <row r="33" spans="2:25" ht="30" customHeight="1" x14ac:dyDescent="0.2">
      <c r="B33" s="146" t="s">
        <v>33</v>
      </c>
      <c r="C33" s="146"/>
      <c r="D33" s="146"/>
      <c r="E33" s="146"/>
      <c r="F33" s="146"/>
      <c r="G33" s="146"/>
      <c r="H33" s="146"/>
      <c r="I33" s="146"/>
      <c r="J33" s="146"/>
      <c r="K33" s="146"/>
      <c r="L33" s="146"/>
      <c r="M33" s="27"/>
      <c r="N33" s="27"/>
      <c r="O33" s="27"/>
      <c r="P33" s="27"/>
      <c r="Q33" s="27"/>
      <c r="R33" s="27"/>
      <c r="S33" s="27"/>
      <c r="T33" s="27"/>
      <c r="U33" s="27"/>
      <c r="V33" s="27"/>
      <c r="W33" s="27"/>
      <c r="X33" s="27"/>
      <c r="Y33" s="27"/>
    </row>
    <row r="34" spans="2:25" ht="19.5" customHeight="1" x14ac:dyDescent="0.25">
      <c r="B34" s="150"/>
      <c r="C34" s="150"/>
      <c r="D34" s="150"/>
      <c r="E34" s="150"/>
      <c r="F34" s="150"/>
      <c r="G34" s="52"/>
      <c r="H34" s="21"/>
      <c r="I34" s="21"/>
      <c r="J34" s="21"/>
      <c r="K34" s="21"/>
      <c r="L34" s="21"/>
      <c r="M34" s="21"/>
      <c r="N34" s="21"/>
      <c r="O34" s="21"/>
      <c r="P34" s="21"/>
      <c r="Q34" s="21"/>
      <c r="R34" s="21"/>
      <c r="S34" s="21"/>
      <c r="T34" s="21"/>
      <c r="U34" s="21"/>
      <c r="V34" s="21"/>
      <c r="W34" s="21"/>
      <c r="X34" s="21"/>
    </row>
    <row r="35" spans="2:25" x14ac:dyDescent="0.25">
      <c r="B35" s="147"/>
      <c r="C35" s="147"/>
      <c r="D35" s="147"/>
      <c r="E35" s="53"/>
      <c r="F35" s="53"/>
      <c r="G35" s="52"/>
      <c r="H35" s="21"/>
      <c r="I35" s="21"/>
      <c r="J35" s="21"/>
      <c r="K35" s="21"/>
      <c r="L35" s="21"/>
      <c r="M35" s="21"/>
      <c r="N35" s="21"/>
      <c r="O35" s="21"/>
      <c r="P35" s="21"/>
      <c r="Q35" s="21"/>
      <c r="R35" s="21"/>
      <c r="S35" s="21"/>
      <c r="T35" s="21"/>
      <c r="U35" s="21"/>
      <c r="V35" s="21"/>
      <c r="W35" s="21"/>
      <c r="X35" s="21"/>
    </row>
    <row r="36" spans="2:25" x14ac:dyDescent="0.25">
      <c r="B36" s="16"/>
      <c r="C36" s="16"/>
      <c r="D36" s="16"/>
      <c r="E36" s="16"/>
      <c r="F36" s="16"/>
      <c r="G36" s="23"/>
      <c r="H36" s="23"/>
      <c r="I36" s="23"/>
      <c r="J36" s="23"/>
      <c r="K36" s="23"/>
      <c r="L36" s="23"/>
      <c r="M36" s="23"/>
      <c r="N36" s="23"/>
      <c r="O36" s="23"/>
      <c r="P36" s="23"/>
      <c r="Q36" s="23"/>
      <c r="R36" s="23"/>
      <c r="S36" s="23"/>
      <c r="T36" s="23"/>
      <c r="U36" s="23"/>
      <c r="V36" s="23"/>
      <c r="W36" s="23"/>
      <c r="X36" s="23"/>
    </row>
    <row r="37" spans="2:25" x14ac:dyDescent="0.25">
      <c r="B37" s="16"/>
      <c r="C37" s="16"/>
      <c r="D37" s="16"/>
      <c r="E37" s="16"/>
      <c r="F37" s="16"/>
      <c r="G37" s="23"/>
      <c r="H37" s="23"/>
      <c r="I37" s="23"/>
      <c r="J37" s="23"/>
      <c r="K37" s="23"/>
      <c r="L37" s="23"/>
      <c r="M37" s="23"/>
      <c r="N37" s="23"/>
      <c r="O37" s="23"/>
      <c r="P37" s="23"/>
      <c r="Q37" s="23"/>
      <c r="R37" s="23"/>
      <c r="S37" s="23"/>
      <c r="T37" s="23"/>
      <c r="U37" s="23"/>
      <c r="V37" s="23"/>
      <c r="W37" s="23"/>
      <c r="X37" s="23"/>
    </row>
    <row r="38" spans="2:25" x14ac:dyDescent="0.25">
      <c r="B38" s="16"/>
      <c r="C38" s="16"/>
      <c r="D38" s="16"/>
      <c r="E38" s="16"/>
      <c r="F38" s="16"/>
      <c r="G38" s="23"/>
      <c r="H38" s="23"/>
      <c r="I38" s="23"/>
      <c r="J38" s="23"/>
      <c r="K38" s="23"/>
      <c r="L38" s="23"/>
      <c r="M38" s="23"/>
      <c r="N38" s="23"/>
      <c r="O38" s="23"/>
      <c r="P38" s="23"/>
      <c r="Q38" s="23"/>
      <c r="R38" s="23"/>
      <c r="S38" s="23"/>
      <c r="T38" s="23"/>
      <c r="U38" s="23"/>
      <c r="V38" s="23"/>
      <c r="W38" s="23"/>
      <c r="X38" s="23"/>
    </row>
    <row r="39" spans="2:25" x14ac:dyDescent="0.25">
      <c r="B39" s="16"/>
      <c r="C39" s="16"/>
      <c r="D39" s="16"/>
      <c r="E39" s="16"/>
      <c r="F39" s="16"/>
      <c r="G39" s="23"/>
      <c r="H39" s="23"/>
      <c r="I39" s="23"/>
      <c r="J39" s="23"/>
      <c r="K39" s="23"/>
      <c r="L39" s="23"/>
      <c r="M39" s="23"/>
      <c r="N39" s="23"/>
      <c r="O39" s="23"/>
      <c r="P39" s="23"/>
      <c r="Q39" s="23"/>
      <c r="R39" s="23"/>
      <c r="S39" s="23"/>
      <c r="T39" s="23"/>
      <c r="U39" s="23"/>
      <c r="V39" s="23"/>
      <c r="W39" s="23"/>
      <c r="X39" s="23"/>
    </row>
    <row r="40" spans="2:25" x14ac:dyDescent="0.25">
      <c r="B40" s="16"/>
      <c r="C40" s="16"/>
      <c r="D40" s="16"/>
      <c r="E40" s="16"/>
      <c r="F40" s="16"/>
      <c r="G40" s="23"/>
      <c r="H40" s="23"/>
      <c r="I40" s="23"/>
      <c r="J40" s="23"/>
      <c r="K40" s="23"/>
      <c r="L40" s="23"/>
      <c r="M40" s="23"/>
      <c r="N40" s="23"/>
      <c r="O40" s="23"/>
      <c r="P40" s="23"/>
      <c r="Q40" s="23"/>
      <c r="R40" s="23"/>
      <c r="S40" s="23"/>
      <c r="T40" s="23"/>
      <c r="U40" s="23"/>
      <c r="V40" s="23"/>
      <c r="W40" s="23"/>
      <c r="X40" s="23"/>
    </row>
    <row r="41" spans="2:25" x14ac:dyDescent="0.25">
      <c r="B41" s="24"/>
      <c r="C41" s="24"/>
      <c r="D41" s="24"/>
      <c r="E41" s="16"/>
      <c r="F41" s="16"/>
      <c r="G41" s="23"/>
      <c r="H41" s="23"/>
      <c r="I41" s="23"/>
      <c r="J41" s="23"/>
      <c r="K41" s="23"/>
      <c r="L41" s="23"/>
      <c r="M41" s="23"/>
      <c r="N41" s="23"/>
      <c r="O41" s="23"/>
      <c r="P41" s="23"/>
      <c r="Q41" s="23"/>
      <c r="R41" s="23"/>
      <c r="S41" s="23"/>
      <c r="T41" s="23"/>
      <c r="U41" s="23"/>
      <c r="V41" s="23"/>
      <c r="W41" s="23"/>
      <c r="X41" s="23"/>
    </row>
    <row r="42" spans="2:25" x14ac:dyDescent="0.25">
      <c r="B42" s="24"/>
      <c r="C42" s="24"/>
      <c r="D42" s="24"/>
      <c r="E42" s="16"/>
      <c r="F42" s="16"/>
      <c r="G42" s="23"/>
      <c r="H42" s="23"/>
      <c r="I42" s="23"/>
      <c r="J42" s="23"/>
      <c r="K42" s="23"/>
      <c r="L42" s="23"/>
      <c r="M42" s="23"/>
      <c r="N42" s="23"/>
      <c r="O42" s="23"/>
      <c r="P42" s="23"/>
      <c r="Q42" s="23"/>
      <c r="R42" s="23"/>
      <c r="S42" s="23"/>
      <c r="T42" s="23"/>
      <c r="U42" s="23"/>
      <c r="V42" s="23"/>
      <c r="W42" s="23"/>
      <c r="X42" s="23"/>
    </row>
    <row r="43" spans="2:25" x14ac:dyDescent="0.25">
      <c r="F43" s="13"/>
      <c r="G43" s="13"/>
      <c r="H43" s="113"/>
      <c r="J43" s="113"/>
    </row>
  </sheetData>
  <sheetProtection algorithmName="SHA-512" hashValue="SVib/xmnt4nllMBBUxyZ8HsdSzN/iIluMhviScj5p0eE6vsIGhrpouqdtY4RE7RCjdMalWepEnLRp97l9zGIHw==" saltValue="l1AgCmAysd/X6VkOUeky/w==" spinCount="100000" sheet="1" objects="1" scenarios="1" selectLockedCells="1" selectUnlockedCells="1"/>
  <mergeCells count="20">
    <mergeCell ref="C4:D4"/>
    <mergeCell ref="C5:C11"/>
    <mergeCell ref="C26:D26"/>
    <mergeCell ref="C12:C16"/>
    <mergeCell ref="C17:C20"/>
    <mergeCell ref="C21:D21"/>
    <mergeCell ref="B1:AA1"/>
    <mergeCell ref="B2:D2"/>
    <mergeCell ref="E2:AA2"/>
    <mergeCell ref="B3:F3"/>
    <mergeCell ref="X3:AA3"/>
    <mergeCell ref="C24:D24"/>
    <mergeCell ref="C25:D25"/>
    <mergeCell ref="B32:L32"/>
    <mergeCell ref="B33:L33"/>
    <mergeCell ref="B35:D35"/>
    <mergeCell ref="E34:F34"/>
    <mergeCell ref="B27:F27"/>
    <mergeCell ref="B34:D34"/>
    <mergeCell ref="B31:L31"/>
  </mergeCells>
  <pageMargins left="0.7" right="0.7" top="0.75" bottom="0.75" header="0.3" footer="0.3"/>
  <pageSetup paperSize="5" scale="50" orientation="landscape" horizontalDpi="4294967293"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6"/>
  <sheetViews>
    <sheetView zoomScaleNormal="100" workbookViewId="0">
      <selection activeCell="E2" sqref="E2:P2"/>
    </sheetView>
  </sheetViews>
  <sheetFormatPr baseColWidth="10" defaultColWidth="11.42578125" defaultRowHeight="15" x14ac:dyDescent="0.25"/>
  <cols>
    <col min="1" max="1" width="2.7109375" style="10" customWidth="1"/>
    <col min="2" max="2" width="7.5703125" style="13" customWidth="1"/>
    <col min="3" max="3" width="23.42578125" style="13" customWidth="1"/>
    <col min="4" max="4" width="36" style="13" customWidth="1"/>
    <col min="5" max="5" width="14.85546875" style="13" customWidth="1"/>
    <col min="6" max="6" width="12.7109375" style="14" customWidth="1"/>
    <col min="7" max="7" width="2.7109375" style="10" customWidth="1"/>
    <col min="8" max="8" width="16.5703125" style="10" customWidth="1"/>
    <col min="9" max="9" width="2.7109375" style="10" customWidth="1"/>
    <col min="10" max="11" width="7.7109375" style="10" customWidth="1"/>
    <col min="12" max="12" width="2.7109375" style="10" customWidth="1"/>
    <col min="13" max="16" width="17" style="10" customWidth="1"/>
    <col min="17" max="16384" width="11.42578125" style="10"/>
  </cols>
  <sheetData>
    <row r="1" spans="1:17" s="6" customFormat="1" ht="28.5" customHeight="1" x14ac:dyDescent="0.25">
      <c r="A1" s="5"/>
      <c r="B1" s="130" t="s">
        <v>17</v>
      </c>
      <c r="C1" s="130"/>
      <c r="D1" s="130"/>
      <c r="E1" s="130"/>
      <c r="F1" s="130"/>
      <c r="G1" s="130"/>
      <c r="H1" s="130"/>
      <c r="I1" s="130"/>
      <c r="J1" s="130"/>
      <c r="K1" s="130"/>
      <c r="L1" s="130"/>
      <c r="M1" s="130"/>
      <c r="N1" s="130"/>
      <c r="O1" s="130"/>
      <c r="P1" s="130"/>
    </row>
    <row r="2" spans="1:17" s="5" customFormat="1" ht="54" customHeight="1" x14ac:dyDescent="0.25">
      <c r="B2" s="131"/>
      <c r="C2" s="131"/>
      <c r="D2" s="131"/>
      <c r="E2" s="132" t="s">
        <v>60</v>
      </c>
      <c r="F2" s="132"/>
      <c r="G2" s="132"/>
      <c r="H2" s="132"/>
      <c r="I2" s="132"/>
      <c r="J2" s="132"/>
      <c r="K2" s="132"/>
      <c r="L2" s="132"/>
      <c r="M2" s="132"/>
      <c r="N2" s="132"/>
      <c r="O2" s="132"/>
      <c r="P2" s="132"/>
    </row>
    <row r="3" spans="1:17" s="5" customFormat="1" ht="18.75" customHeight="1" x14ac:dyDescent="0.25">
      <c r="B3" s="133" t="s">
        <v>7</v>
      </c>
      <c r="C3" s="134"/>
      <c r="D3" s="134"/>
      <c r="E3" s="134"/>
      <c r="F3" s="135"/>
      <c r="G3" s="15"/>
      <c r="H3" s="164"/>
      <c r="I3" s="16"/>
      <c r="J3" s="17"/>
      <c r="K3" s="17"/>
      <c r="L3" s="15"/>
      <c r="M3" s="140" t="s">
        <v>13</v>
      </c>
      <c r="N3" s="141"/>
      <c r="O3" s="141"/>
      <c r="P3" s="142"/>
    </row>
    <row r="4" spans="1:17" s="5" customFormat="1" ht="21.75" customHeight="1" x14ac:dyDescent="0.25">
      <c r="B4" s="166"/>
      <c r="C4" s="167"/>
      <c r="D4" s="167"/>
      <c r="E4" s="167"/>
      <c r="F4" s="168"/>
      <c r="G4" s="15"/>
      <c r="H4" s="165"/>
      <c r="I4" s="16"/>
      <c r="J4" s="18"/>
      <c r="K4" s="18"/>
      <c r="L4" s="15"/>
      <c r="M4" s="143"/>
      <c r="N4" s="144"/>
      <c r="O4" s="144"/>
      <c r="P4" s="145"/>
    </row>
    <row r="5" spans="1:17" s="5" customFormat="1" ht="21.75" customHeight="1" x14ac:dyDescent="0.25">
      <c r="B5" s="166"/>
      <c r="C5" s="167"/>
      <c r="D5" s="167"/>
      <c r="E5" s="167"/>
      <c r="F5" s="168"/>
      <c r="G5" s="15"/>
      <c r="H5" s="164"/>
      <c r="I5" s="16"/>
      <c r="J5" s="17">
        <v>45444</v>
      </c>
      <c r="K5" s="17">
        <v>46204</v>
      </c>
      <c r="L5" s="15"/>
      <c r="M5" s="143"/>
      <c r="N5" s="144"/>
      <c r="O5" s="144"/>
      <c r="P5" s="145"/>
    </row>
    <row r="6" spans="1:17" s="5" customFormat="1" ht="21.75" customHeight="1" x14ac:dyDescent="0.25">
      <c r="B6" s="136"/>
      <c r="C6" s="137"/>
      <c r="D6" s="137"/>
      <c r="E6" s="137"/>
      <c r="F6" s="138"/>
      <c r="G6" s="15"/>
      <c r="H6" s="165"/>
      <c r="I6" s="16"/>
      <c r="J6" s="18">
        <v>1.4338</v>
      </c>
      <c r="K6" s="18">
        <v>1.5979000000000001</v>
      </c>
      <c r="L6" s="15"/>
      <c r="M6" s="169"/>
      <c r="N6" s="170"/>
      <c r="O6" s="170"/>
      <c r="P6" s="171"/>
    </row>
    <row r="7" spans="1:17" s="1" customFormat="1" ht="49.5" customHeight="1" x14ac:dyDescent="0.25">
      <c r="A7" s="7"/>
      <c r="B7" s="3" t="s">
        <v>2</v>
      </c>
      <c r="C7" s="3"/>
      <c r="D7" s="3" t="s">
        <v>12</v>
      </c>
      <c r="E7" s="3" t="s">
        <v>3</v>
      </c>
      <c r="F7" s="3" t="s">
        <v>5</v>
      </c>
      <c r="G7" s="2"/>
      <c r="H7" s="19" t="s">
        <v>6</v>
      </c>
      <c r="I7" s="16"/>
      <c r="J7" s="163" t="s">
        <v>6</v>
      </c>
      <c r="K7" s="163"/>
      <c r="L7" s="2"/>
      <c r="M7" s="4" t="s">
        <v>6</v>
      </c>
      <c r="N7" s="4" t="s">
        <v>9</v>
      </c>
      <c r="O7" s="4" t="s">
        <v>10</v>
      </c>
      <c r="P7" s="4" t="s">
        <v>8</v>
      </c>
      <c r="Q7" s="1" t="s">
        <v>4</v>
      </c>
    </row>
    <row r="8" spans="1:17" s="1" customFormat="1" ht="16.5" x14ac:dyDescent="0.3">
      <c r="A8" s="7"/>
      <c r="B8" s="8">
        <f>+'ANEXO 1 - COTIZACIONES'!B5</f>
        <v>1</v>
      </c>
      <c r="C8" s="153" t="str">
        <f>+'ANEXO 1 - COTIZACIONES'!C5</f>
        <v>TIPOLOGÍA FISCAL</v>
      </c>
      <c r="D8" s="59" t="str">
        <f>+'ANEXO 1 - COTIZACIONES'!D5</f>
        <v>SUPERFICIE RECTA DE 1,50 X 0,60M</v>
      </c>
      <c r="E8" s="36" t="str">
        <f>+'ANEXO 1 - COTIZACIONES'!E5</f>
        <v>UND</v>
      </c>
      <c r="F8" s="114">
        <v>60</v>
      </c>
      <c r="H8" s="54">
        <v>159768.06722689077</v>
      </c>
      <c r="I8" s="153"/>
      <c r="J8" s="159">
        <f>ROUND($K$6/$J$6*H8,2)</f>
        <v>178053.7</v>
      </c>
      <c r="K8" s="160"/>
      <c r="L8" s="35"/>
      <c r="M8" s="31">
        <f>+J8</f>
        <v>178053.7</v>
      </c>
      <c r="N8" s="31">
        <f>ROUND(M8*19%,2)</f>
        <v>33830.199999999997</v>
      </c>
      <c r="O8" s="31">
        <f>+N8+M8</f>
        <v>211883.90000000002</v>
      </c>
      <c r="P8" s="31">
        <f>+O8*F8</f>
        <v>12713034.000000002</v>
      </c>
      <c r="Q8" s="1" t="s">
        <v>4</v>
      </c>
    </row>
    <row r="9" spans="1:17" s="1" customFormat="1" ht="16.5" x14ac:dyDescent="0.3">
      <c r="A9" s="7"/>
      <c r="B9" s="8">
        <f>+'ANEXO 1 - COTIZACIONES'!B6</f>
        <v>2</v>
      </c>
      <c r="C9" s="154"/>
      <c r="D9" s="37" t="str">
        <f>+'ANEXO 1 - COTIZACIONES'!D6</f>
        <v>SUPERFICIE RETORNO DE 0,90 X 0,60M</v>
      </c>
      <c r="E9" s="36" t="str">
        <f>+'ANEXO 1 - COTIZACIONES'!E6</f>
        <v>UND</v>
      </c>
      <c r="F9" s="114">
        <v>30</v>
      </c>
      <c r="H9" s="55">
        <v>95745.378151260506</v>
      </c>
      <c r="I9" s="154"/>
      <c r="J9" s="159">
        <f>ROUND($K$6/$J$6*H9,2)</f>
        <v>106703.54</v>
      </c>
      <c r="K9" s="160"/>
      <c r="L9" s="35"/>
      <c r="M9" s="31">
        <f t="shared" ref="M9:M29" si="0">+J9</f>
        <v>106703.54</v>
      </c>
      <c r="N9" s="31">
        <f>ROUND(M9*19%,2)</f>
        <v>20273.669999999998</v>
      </c>
      <c r="O9" s="31">
        <f t="shared" ref="O9" si="1">+N9+M9</f>
        <v>126977.20999999999</v>
      </c>
      <c r="P9" s="31">
        <f t="shared" ref="P9:P29" si="2">+O9*F9</f>
        <v>3809316.3</v>
      </c>
    </row>
    <row r="10" spans="1:17" s="1" customFormat="1" ht="16.5" x14ac:dyDescent="0.3">
      <c r="A10" s="7"/>
      <c r="B10" s="8">
        <f>+'ANEXO 1 - COTIZACIONES'!B7</f>
        <v>3</v>
      </c>
      <c r="C10" s="154"/>
      <c r="D10" s="38" t="str">
        <f>+'ANEXO 1 - COTIZACIONES'!D7</f>
        <v>FALDERO MADERA AGLOMERADA 1.50M</v>
      </c>
      <c r="E10" s="36" t="str">
        <f>+'ANEXO 1 - COTIZACIONES'!E7</f>
        <v>UND</v>
      </c>
      <c r="F10" s="114">
        <v>30</v>
      </c>
      <c r="H10" s="56">
        <v>65064.705882352944</v>
      </c>
      <c r="I10" s="154"/>
      <c r="J10" s="159">
        <f t="shared" ref="J10:J29" si="3">ROUND($K$6/$J$6*H10,2)</f>
        <v>72511.429999999993</v>
      </c>
      <c r="K10" s="160"/>
      <c r="L10" s="35"/>
      <c r="M10" s="31">
        <f t="shared" si="0"/>
        <v>72511.429999999993</v>
      </c>
      <c r="N10" s="31">
        <f t="shared" ref="N10:N30" si="4">ROUND(M10*19%,2)</f>
        <v>13777.17</v>
      </c>
      <c r="O10" s="31">
        <f t="shared" ref="O10:O30" si="5">+N10+M10</f>
        <v>86288.599999999991</v>
      </c>
      <c r="P10" s="31">
        <f t="shared" si="2"/>
        <v>2588657.9999999995</v>
      </c>
    </row>
    <row r="11" spans="1:17" s="1" customFormat="1" ht="16.5" x14ac:dyDescent="0.3">
      <c r="A11" s="7"/>
      <c r="B11" s="8">
        <f>+'ANEXO 1 - COTIZACIONES'!B8</f>
        <v>4</v>
      </c>
      <c r="C11" s="154"/>
      <c r="D11" s="39" t="str">
        <f>+'ANEXO 1 - COTIZACIONES'!D8</f>
        <v>SILLA OPERATIVA</v>
      </c>
      <c r="E11" s="36" t="str">
        <f>+'ANEXO 1 - COTIZACIONES'!E8</f>
        <v>UND</v>
      </c>
      <c r="F11" s="114">
        <v>30</v>
      </c>
      <c r="H11" s="57">
        <v>468421.84873949579</v>
      </c>
      <c r="I11" s="154"/>
      <c r="J11" s="159">
        <f t="shared" si="3"/>
        <v>522033.25</v>
      </c>
      <c r="K11" s="160"/>
      <c r="L11" s="35"/>
      <c r="M11" s="31">
        <f t="shared" si="0"/>
        <v>522033.25</v>
      </c>
      <c r="N11" s="31">
        <f t="shared" si="4"/>
        <v>99186.32</v>
      </c>
      <c r="O11" s="31">
        <f t="shared" si="5"/>
        <v>621219.57000000007</v>
      </c>
      <c r="P11" s="31">
        <f t="shared" si="2"/>
        <v>18636587.100000001</v>
      </c>
    </row>
    <row r="12" spans="1:17" s="1" customFormat="1" ht="16.5" x14ac:dyDescent="0.3">
      <c r="A12" s="7"/>
      <c r="B12" s="8">
        <f>+'ANEXO 1 - COTIZACIONES'!B9</f>
        <v>5</v>
      </c>
      <c r="C12" s="154"/>
      <c r="D12" s="38" t="str">
        <f>+'ANEXO 1 - COTIZACIONES'!D9</f>
        <v>SILLAS INTERLOCUTORAS</v>
      </c>
      <c r="E12" s="36" t="str">
        <f>+'ANEXO 1 - COTIZACIONES'!E9</f>
        <v>UND</v>
      </c>
      <c r="F12" s="114">
        <v>60</v>
      </c>
      <c r="H12" s="56">
        <v>177973.52941176473</v>
      </c>
      <c r="I12" s="154"/>
      <c r="J12" s="159">
        <f t="shared" si="3"/>
        <v>198342.8</v>
      </c>
      <c r="K12" s="160"/>
      <c r="L12" s="35"/>
      <c r="M12" s="31">
        <f t="shared" si="0"/>
        <v>198342.8</v>
      </c>
      <c r="N12" s="31">
        <f t="shared" si="4"/>
        <v>37685.129999999997</v>
      </c>
      <c r="O12" s="31">
        <f t="shared" si="5"/>
        <v>236027.93</v>
      </c>
      <c r="P12" s="31">
        <f t="shared" si="2"/>
        <v>14161675.799999999</v>
      </c>
    </row>
    <row r="13" spans="1:17" s="1" customFormat="1" ht="16.5" x14ac:dyDescent="0.3">
      <c r="A13" s="7"/>
      <c r="B13" s="8">
        <f>+'ANEXO 1 - COTIZACIONES'!B10</f>
        <v>6</v>
      </c>
      <c r="C13" s="154"/>
      <c r="D13" s="40" t="str">
        <f>+'ANEXO 1 - COTIZACIONES'!D10</f>
        <v>CAJONERA METALICA 2x1</v>
      </c>
      <c r="E13" s="36" t="str">
        <f>+'ANEXO 1 - COTIZACIONES'!E10</f>
        <v>UND</v>
      </c>
      <c r="F13" s="114">
        <v>30</v>
      </c>
      <c r="H13" s="58">
        <v>194094.95798319328</v>
      </c>
      <c r="I13" s="154"/>
      <c r="J13" s="159">
        <f t="shared" si="3"/>
        <v>216309.34</v>
      </c>
      <c r="K13" s="160"/>
      <c r="L13" s="35"/>
      <c r="M13" s="31">
        <f t="shared" si="0"/>
        <v>216309.34</v>
      </c>
      <c r="N13" s="31">
        <f t="shared" si="4"/>
        <v>41098.769999999997</v>
      </c>
      <c r="O13" s="31">
        <f t="shared" si="5"/>
        <v>257408.11</v>
      </c>
      <c r="P13" s="31">
        <f t="shared" si="2"/>
        <v>7722243.2999999998</v>
      </c>
    </row>
    <row r="14" spans="1:17" s="1" customFormat="1" ht="16.5" x14ac:dyDescent="0.3">
      <c r="A14" s="7"/>
      <c r="B14" s="8">
        <f>+'ANEXO 1 - COTIZACIONES'!B11</f>
        <v>7</v>
      </c>
      <c r="C14" s="155"/>
      <c r="D14" s="38" t="str">
        <f>+'ANEXO 1 - COTIZACIONES'!D11</f>
        <v>SOPORTES Y HERRAJES</v>
      </c>
      <c r="E14" s="36" t="str">
        <f>+'ANEXO 1 - COTIZACIONES'!E11</f>
        <v>UND</v>
      </c>
      <c r="F14" s="114">
        <v>30</v>
      </c>
      <c r="H14" s="56">
        <v>143270.58823529413</v>
      </c>
      <c r="I14" s="155"/>
      <c r="J14" s="159">
        <f t="shared" si="3"/>
        <v>159668.07</v>
      </c>
      <c r="K14" s="160"/>
      <c r="L14" s="35"/>
      <c r="M14" s="31">
        <f t="shared" si="0"/>
        <v>159668.07</v>
      </c>
      <c r="N14" s="31">
        <f t="shared" si="4"/>
        <v>30336.93</v>
      </c>
      <c r="O14" s="31">
        <f t="shared" si="5"/>
        <v>190005</v>
      </c>
      <c r="P14" s="31">
        <f t="shared" si="2"/>
        <v>5700150</v>
      </c>
    </row>
    <row r="15" spans="1:17" s="1" customFormat="1" ht="16.5" x14ac:dyDescent="0.3">
      <c r="A15" s="7"/>
      <c r="B15" s="8">
        <f>+'ANEXO 1 - COTIZACIONES'!B12</f>
        <v>8</v>
      </c>
      <c r="C15" s="156" t="str">
        <f>+'ANEXO 1 - COTIZACIONES'!C12</f>
        <v>TIPOLOGÍA ASISTENTE</v>
      </c>
      <c r="D15" s="59" t="str">
        <f>+'ANEXO 1 - COTIZACIONES'!D12</f>
        <v>SUPERFICIE RECTA DE 1,50 X 0,60M</v>
      </c>
      <c r="E15" s="36" t="str">
        <f>+'ANEXO 1 - COTIZACIONES'!E12</f>
        <v>UND</v>
      </c>
      <c r="F15" s="114">
        <v>50</v>
      </c>
      <c r="H15" s="54">
        <v>159768.06722689077</v>
      </c>
      <c r="I15" s="156"/>
      <c r="J15" s="159">
        <f t="shared" si="3"/>
        <v>178053.7</v>
      </c>
      <c r="K15" s="160"/>
      <c r="L15" s="35"/>
      <c r="M15" s="31">
        <f t="shared" si="0"/>
        <v>178053.7</v>
      </c>
      <c r="N15" s="31">
        <f t="shared" si="4"/>
        <v>33830.199999999997</v>
      </c>
      <c r="O15" s="31">
        <f t="shared" si="5"/>
        <v>211883.90000000002</v>
      </c>
      <c r="P15" s="31">
        <f t="shared" si="2"/>
        <v>10594195.000000002</v>
      </c>
    </row>
    <row r="16" spans="1:17" s="1" customFormat="1" ht="16.5" x14ac:dyDescent="0.3">
      <c r="A16" s="7"/>
      <c r="B16" s="8">
        <f>+'ANEXO 1 - COTIZACIONES'!B13</f>
        <v>9</v>
      </c>
      <c r="C16" s="154"/>
      <c r="D16" s="41" t="str">
        <f>+'ANEXO 1 - COTIZACIONES'!D13</f>
        <v>SUPERFICIE RETORNO DE 0,90 X 0,60M</v>
      </c>
      <c r="E16" s="36" t="str">
        <f>+'ANEXO 1 - COTIZACIONES'!E13</f>
        <v>UND</v>
      </c>
      <c r="F16" s="114">
        <v>50</v>
      </c>
      <c r="H16" s="55">
        <v>95745.378151260506</v>
      </c>
      <c r="I16" s="154"/>
      <c r="J16" s="159">
        <f t="shared" si="3"/>
        <v>106703.54</v>
      </c>
      <c r="K16" s="160"/>
      <c r="L16" s="35"/>
      <c r="M16" s="31">
        <f t="shared" si="0"/>
        <v>106703.54</v>
      </c>
      <c r="N16" s="31">
        <f t="shared" si="4"/>
        <v>20273.669999999998</v>
      </c>
      <c r="O16" s="31">
        <f t="shared" si="5"/>
        <v>126977.20999999999</v>
      </c>
      <c r="P16" s="31">
        <f t="shared" si="2"/>
        <v>6348860.5</v>
      </c>
    </row>
    <row r="17" spans="1:16" s="1" customFormat="1" ht="16.5" x14ac:dyDescent="0.3">
      <c r="A17" s="7"/>
      <c r="B17" s="8">
        <f>+'ANEXO 1 - COTIZACIONES'!B14</f>
        <v>10</v>
      </c>
      <c r="C17" s="154"/>
      <c r="D17" s="42" t="str">
        <f>+'ANEXO 1 - COTIZACIONES'!D14</f>
        <v>SILLA OPERATIVA</v>
      </c>
      <c r="E17" s="36" t="str">
        <f>+'ANEXO 1 - COTIZACIONES'!E14</f>
        <v>UND</v>
      </c>
      <c r="F17" s="114">
        <v>50</v>
      </c>
      <c r="H17" s="57">
        <v>468421.84873949579</v>
      </c>
      <c r="I17" s="154"/>
      <c r="J17" s="159">
        <f t="shared" si="3"/>
        <v>522033.25</v>
      </c>
      <c r="K17" s="160"/>
      <c r="L17" s="35"/>
      <c r="M17" s="31">
        <f t="shared" si="0"/>
        <v>522033.25</v>
      </c>
      <c r="N17" s="31">
        <f t="shared" si="4"/>
        <v>99186.32</v>
      </c>
      <c r="O17" s="31">
        <f t="shared" si="5"/>
        <v>621219.57000000007</v>
      </c>
      <c r="P17" s="31">
        <f t="shared" si="2"/>
        <v>31060978.500000004</v>
      </c>
    </row>
    <row r="18" spans="1:16" s="1" customFormat="1" ht="16.5" x14ac:dyDescent="0.3">
      <c r="A18" s="7"/>
      <c r="B18" s="8">
        <f>+'ANEXO 1 - COTIZACIONES'!B15</f>
        <v>11</v>
      </c>
      <c r="C18" s="154"/>
      <c r="D18" s="40" t="str">
        <f>+'ANEXO 1 - COTIZACIONES'!D15</f>
        <v>CAJONERA METALICA 2x1</v>
      </c>
      <c r="E18" s="36" t="str">
        <f>+'ANEXO 1 - COTIZACIONES'!E15</f>
        <v>UND</v>
      </c>
      <c r="F18" s="114">
        <v>50</v>
      </c>
      <c r="H18" s="58">
        <v>194094.95798319328</v>
      </c>
      <c r="I18" s="154"/>
      <c r="J18" s="159">
        <f t="shared" si="3"/>
        <v>216309.34</v>
      </c>
      <c r="K18" s="160"/>
      <c r="L18" s="35"/>
      <c r="M18" s="31">
        <f t="shared" si="0"/>
        <v>216309.34</v>
      </c>
      <c r="N18" s="31">
        <f t="shared" si="4"/>
        <v>41098.769999999997</v>
      </c>
      <c r="O18" s="31">
        <f t="shared" si="5"/>
        <v>257408.11</v>
      </c>
      <c r="P18" s="31">
        <f t="shared" si="2"/>
        <v>12870405.5</v>
      </c>
    </row>
    <row r="19" spans="1:16" s="1" customFormat="1" ht="16.5" x14ac:dyDescent="0.3">
      <c r="A19" s="7"/>
      <c r="B19" s="8">
        <f>+'ANEXO 1 - COTIZACIONES'!B16</f>
        <v>12</v>
      </c>
      <c r="C19" s="154"/>
      <c r="D19" s="38" t="str">
        <f>+'ANEXO 1 - COTIZACIONES'!D16</f>
        <v>SOPORTES Y HERRAJES</v>
      </c>
      <c r="E19" s="43" t="str">
        <f>+'ANEXO 1 - COTIZACIONES'!E16</f>
        <v>UND</v>
      </c>
      <c r="F19" s="114">
        <v>50</v>
      </c>
      <c r="H19" s="56">
        <v>108016.80672268909</v>
      </c>
      <c r="I19" s="154"/>
      <c r="J19" s="159">
        <f t="shared" si="3"/>
        <v>120379.45</v>
      </c>
      <c r="K19" s="160"/>
      <c r="L19" s="35"/>
      <c r="M19" s="31">
        <f t="shared" si="0"/>
        <v>120379.45</v>
      </c>
      <c r="N19" s="31">
        <f t="shared" si="4"/>
        <v>22872.1</v>
      </c>
      <c r="O19" s="31">
        <f t="shared" si="5"/>
        <v>143251.54999999999</v>
      </c>
      <c r="P19" s="31">
        <f t="shared" si="2"/>
        <v>7162577.4999999991</v>
      </c>
    </row>
    <row r="20" spans="1:16" s="1" customFormat="1" ht="16.5" x14ac:dyDescent="0.3">
      <c r="A20" s="7"/>
      <c r="B20" s="8">
        <f>+'ANEXO 1 - COTIZACIONES'!B17</f>
        <v>13</v>
      </c>
      <c r="C20" s="157" t="str">
        <f>+'ANEXO 1 - COTIZACIONES'!C17</f>
        <v>TIPOLOGÍA INVESTIGADOR</v>
      </c>
      <c r="D20" s="59" t="str">
        <f>+'ANEXO 1 - COTIZACIONES'!D17</f>
        <v>SUPERFICIE RECTA DE 1,50 X 0,60M</v>
      </c>
      <c r="E20" s="36" t="str">
        <f>+'ANEXO 1 - COTIZACIONES'!E17</f>
        <v>UND</v>
      </c>
      <c r="F20" s="114">
        <v>25</v>
      </c>
      <c r="H20" s="54">
        <v>159768.06722689077</v>
      </c>
      <c r="I20" s="157"/>
      <c r="J20" s="159">
        <f t="shared" si="3"/>
        <v>178053.7</v>
      </c>
      <c r="K20" s="160"/>
      <c r="L20" s="35"/>
      <c r="M20" s="31">
        <f t="shared" si="0"/>
        <v>178053.7</v>
      </c>
      <c r="N20" s="31">
        <f t="shared" si="4"/>
        <v>33830.199999999997</v>
      </c>
      <c r="O20" s="31">
        <f t="shared" si="5"/>
        <v>211883.90000000002</v>
      </c>
      <c r="P20" s="31">
        <f t="shared" si="2"/>
        <v>5297097.5000000009</v>
      </c>
    </row>
    <row r="21" spans="1:16" s="1" customFormat="1" ht="16.5" x14ac:dyDescent="0.3">
      <c r="A21" s="7"/>
      <c r="B21" s="8">
        <f>+'ANEXO 1 - COTIZACIONES'!B18</f>
        <v>14</v>
      </c>
      <c r="C21" s="154"/>
      <c r="D21" s="42" t="str">
        <f>+'ANEXO 1 - COTIZACIONES'!D18</f>
        <v>SILLA OPERATIVA</v>
      </c>
      <c r="E21" s="36" t="str">
        <f>+'ANEXO 1 - COTIZACIONES'!E18</f>
        <v>UND</v>
      </c>
      <c r="F21" s="114">
        <v>25</v>
      </c>
      <c r="H21" s="57">
        <v>468421.84873949579</v>
      </c>
      <c r="I21" s="154"/>
      <c r="J21" s="159">
        <f t="shared" si="3"/>
        <v>522033.25</v>
      </c>
      <c r="K21" s="160"/>
      <c r="L21" s="35"/>
      <c r="M21" s="31">
        <f t="shared" si="0"/>
        <v>522033.25</v>
      </c>
      <c r="N21" s="31">
        <f t="shared" si="4"/>
        <v>99186.32</v>
      </c>
      <c r="O21" s="31">
        <f t="shared" si="5"/>
        <v>621219.57000000007</v>
      </c>
      <c r="P21" s="31">
        <f t="shared" si="2"/>
        <v>15530489.250000002</v>
      </c>
    </row>
    <row r="22" spans="1:16" s="1" customFormat="1" ht="16.5" x14ac:dyDescent="0.3">
      <c r="A22" s="7"/>
      <c r="B22" s="8">
        <f>+'ANEXO 1 - COTIZACIONES'!B19</f>
        <v>15</v>
      </c>
      <c r="C22" s="154"/>
      <c r="D22" s="40" t="str">
        <f>+'ANEXO 1 - COTIZACIONES'!D19</f>
        <v>CAJONERA METALICA 2x1</v>
      </c>
      <c r="E22" s="36" t="str">
        <f>+'ANEXO 1 - COTIZACIONES'!E19</f>
        <v>UND</v>
      </c>
      <c r="F22" s="114">
        <v>25</v>
      </c>
      <c r="H22" s="58">
        <v>194094.95798319328</v>
      </c>
      <c r="I22" s="154"/>
      <c r="J22" s="159">
        <f t="shared" si="3"/>
        <v>216309.34</v>
      </c>
      <c r="K22" s="160"/>
      <c r="L22" s="35"/>
      <c r="M22" s="31">
        <f t="shared" si="0"/>
        <v>216309.34</v>
      </c>
      <c r="N22" s="31">
        <f t="shared" si="4"/>
        <v>41098.769999999997</v>
      </c>
      <c r="O22" s="31">
        <f t="shared" si="5"/>
        <v>257408.11</v>
      </c>
      <c r="P22" s="31">
        <f t="shared" si="2"/>
        <v>6435202.75</v>
      </c>
    </row>
    <row r="23" spans="1:16" s="1" customFormat="1" ht="16.5" x14ac:dyDescent="0.3">
      <c r="A23" s="7"/>
      <c r="B23" s="8">
        <f>+'ANEXO 1 - COTIZACIONES'!B20</f>
        <v>16</v>
      </c>
      <c r="C23" s="155"/>
      <c r="D23" s="38" t="str">
        <f>+'ANEXO 1 - COTIZACIONES'!D20</f>
        <v>SOPORTES Y HERRAJES</v>
      </c>
      <c r="E23" s="36" t="str">
        <f>+'ANEXO 1 - COTIZACIONES'!E20</f>
        <v>UND</v>
      </c>
      <c r="F23" s="114">
        <v>25</v>
      </c>
      <c r="H23" s="56">
        <v>93256.302521008402</v>
      </c>
      <c r="I23" s="155"/>
      <c r="J23" s="159">
        <f t="shared" si="3"/>
        <v>103929.59</v>
      </c>
      <c r="K23" s="160"/>
      <c r="L23" s="35"/>
      <c r="M23" s="31">
        <f t="shared" si="0"/>
        <v>103929.59</v>
      </c>
      <c r="N23" s="31">
        <f t="shared" si="4"/>
        <v>19746.62</v>
      </c>
      <c r="O23" s="31">
        <f t="shared" si="5"/>
        <v>123676.20999999999</v>
      </c>
      <c r="P23" s="31">
        <f t="shared" si="2"/>
        <v>3091905.25</v>
      </c>
    </row>
    <row r="24" spans="1:16" s="1" customFormat="1" ht="16.5" x14ac:dyDescent="0.3">
      <c r="A24" s="7"/>
      <c r="B24" s="8">
        <f>+'ANEXO 1 - COTIZACIONES'!B21</f>
        <v>17</v>
      </c>
      <c r="C24" s="158" t="str">
        <f>+'ANEXO 1 - COTIZACIONES'!C21</f>
        <v>SILLA OPERATIVA</v>
      </c>
      <c r="D24" s="158"/>
      <c r="E24" s="45" t="str">
        <f>+'ANEXO 1 - COTIZACIONES'!E21</f>
        <v>UND</v>
      </c>
      <c r="F24" s="114">
        <v>35</v>
      </c>
      <c r="H24" s="57">
        <v>468421.84873949579</v>
      </c>
      <c r="I24" s="44"/>
      <c r="J24" s="159">
        <f t="shared" si="3"/>
        <v>522033.25</v>
      </c>
      <c r="K24" s="160"/>
      <c r="L24" s="35"/>
      <c r="M24" s="31">
        <f t="shared" si="0"/>
        <v>522033.25</v>
      </c>
      <c r="N24" s="31">
        <f t="shared" si="4"/>
        <v>99186.32</v>
      </c>
      <c r="O24" s="31">
        <f t="shared" si="5"/>
        <v>621219.57000000007</v>
      </c>
      <c r="P24" s="31">
        <f t="shared" si="2"/>
        <v>21742684.950000003</v>
      </c>
    </row>
    <row r="25" spans="1:16" s="1" customFormat="1" ht="16.5" customHeight="1" x14ac:dyDescent="0.3">
      <c r="A25" s="7"/>
      <c r="B25" s="8">
        <f>+'ANEXO 1 - COTIZACIONES'!B22</f>
        <v>18</v>
      </c>
      <c r="C25" s="47" t="str">
        <f>+'ANEXO 1 - COTIZACIONES'!C22</f>
        <v>PANEL 1/2 ALTURA MIXTO 0,60 ALTURA 1.35</v>
      </c>
      <c r="D25" s="47"/>
      <c r="E25" s="45" t="str">
        <f>+'ANEXO 1 - COTIZACIONES'!E22</f>
        <v>UND</v>
      </c>
      <c r="F25" s="114">
        <v>15</v>
      </c>
      <c r="H25" s="25">
        <v>298407.56302521011</v>
      </c>
      <c r="I25" s="47"/>
      <c r="J25" s="159">
        <f t="shared" si="3"/>
        <v>332560.64000000001</v>
      </c>
      <c r="K25" s="160"/>
      <c r="L25" s="35"/>
      <c r="M25" s="31">
        <f t="shared" si="0"/>
        <v>332560.64000000001</v>
      </c>
      <c r="N25" s="31">
        <f t="shared" si="4"/>
        <v>63186.52</v>
      </c>
      <c r="O25" s="31">
        <f t="shared" si="5"/>
        <v>395747.16000000003</v>
      </c>
      <c r="P25" s="31">
        <f t="shared" si="2"/>
        <v>5936207.4000000004</v>
      </c>
    </row>
    <row r="26" spans="1:16" s="1" customFormat="1" ht="16.5" customHeight="1" x14ac:dyDescent="0.3">
      <c r="A26" s="7"/>
      <c r="B26" s="8">
        <f>+'ANEXO 1 - COTIZACIONES'!B23</f>
        <v>19</v>
      </c>
      <c r="C26" s="48" t="str">
        <f>+'ANEXO 1 - COTIZACIONES'!C23</f>
        <v>PANEL 1/2 ALTURA MIXTO 1,50 ALTURA 1,35</v>
      </c>
      <c r="D26" s="48"/>
      <c r="E26" s="45" t="str">
        <f>+'ANEXO 1 - COTIZACIONES'!E23</f>
        <v>UND</v>
      </c>
      <c r="F26" s="114">
        <v>35</v>
      </c>
      <c r="H26" s="25">
        <v>490823.5294117647</v>
      </c>
      <c r="I26" s="48"/>
      <c r="J26" s="159">
        <f t="shared" si="3"/>
        <v>546998.82999999996</v>
      </c>
      <c r="K26" s="160"/>
      <c r="L26" s="35"/>
      <c r="M26" s="31">
        <f t="shared" si="0"/>
        <v>546998.82999999996</v>
      </c>
      <c r="N26" s="31">
        <f t="shared" si="4"/>
        <v>103929.78</v>
      </c>
      <c r="O26" s="31">
        <f t="shared" si="5"/>
        <v>650928.61</v>
      </c>
      <c r="P26" s="31">
        <f t="shared" si="2"/>
        <v>22782501.349999998</v>
      </c>
    </row>
    <row r="27" spans="1:16" s="1" customFormat="1" ht="16.5" customHeight="1" x14ac:dyDescent="0.3">
      <c r="A27" s="7"/>
      <c r="B27" s="8">
        <f>+'ANEXO 1 - COTIZACIONES'!B24</f>
        <v>20</v>
      </c>
      <c r="C27" s="117" t="str">
        <f>+'ANEXO 1 - COTIZACIONES'!C24</f>
        <v>ARCHIVADOR 0.90X0.50M H=2.05 (A1)</v>
      </c>
      <c r="D27" s="118"/>
      <c r="E27" s="45" t="str">
        <f>+'ANEXO 1 - COTIZACIONES'!E24</f>
        <v>UND</v>
      </c>
      <c r="F27" s="114">
        <v>60</v>
      </c>
      <c r="H27" s="25">
        <v>1142457.9831932774</v>
      </c>
      <c r="I27" s="50"/>
      <c r="J27" s="159">
        <f t="shared" si="3"/>
        <v>1273213.57</v>
      </c>
      <c r="K27" s="160"/>
      <c r="L27" s="35"/>
      <c r="M27" s="31">
        <f t="shared" si="0"/>
        <v>1273213.57</v>
      </c>
      <c r="N27" s="31">
        <f t="shared" si="4"/>
        <v>241910.58</v>
      </c>
      <c r="O27" s="31">
        <f t="shared" si="5"/>
        <v>1515124.1500000001</v>
      </c>
      <c r="P27" s="31">
        <f t="shared" si="2"/>
        <v>90907449.000000015</v>
      </c>
    </row>
    <row r="28" spans="1:16" s="1" customFormat="1" ht="16.5" customHeight="1" x14ac:dyDescent="0.3">
      <c r="A28" s="7"/>
      <c r="B28" s="8">
        <f>+'ANEXO 1 - COTIZACIONES'!B25</f>
        <v>21</v>
      </c>
      <c r="C28" s="117" t="str">
        <f>+'ANEXO 1 - COTIZACIONES'!C25</f>
        <v>ARCHIVADOR 0.75X0.50M H=2.05 (A2)</v>
      </c>
      <c r="D28" s="118"/>
      <c r="E28" s="45" t="str">
        <f>+'ANEXO 1 - COTIZACIONES'!E25</f>
        <v>UND</v>
      </c>
      <c r="F28" s="114">
        <v>20</v>
      </c>
      <c r="H28" s="25">
        <v>984021.00840336143</v>
      </c>
      <c r="I28" s="50"/>
      <c r="J28" s="159">
        <f t="shared" si="3"/>
        <v>1096643.3</v>
      </c>
      <c r="K28" s="160"/>
      <c r="L28" s="35"/>
      <c r="M28" s="31">
        <f t="shared" si="0"/>
        <v>1096643.3</v>
      </c>
      <c r="N28" s="31">
        <f t="shared" si="4"/>
        <v>208362.23</v>
      </c>
      <c r="O28" s="31">
        <f t="shared" si="5"/>
        <v>1305005.53</v>
      </c>
      <c r="P28" s="31">
        <f t="shared" si="2"/>
        <v>26100110.600000001</v>
      </c>
    </row>
    <row r="29" spans="1:16" s="1" customFormat="1" ht="35.25" customHeight="1" x14ac:dyDescent="0.3">
      <c r="A29" s="7"/>
      <c r="B29" s="8">
        <f>+'ANEXO 1 - COTIZACIONES'!B26</f>
        <v>22</v>
      </c>
      <c r="C29" s="117" t="str">
        <f>+'ANEXO 1 - COTIZACIONES'!C26</f>
        <v>ARCHIVADOR 0.75X0.50M H=0.70 CON SUPERFICIE RECTA DE 0,75 X 0,60M (A3)</v>
      </c>
      <c r="D29" s="118"/>
      <c r="E29" s="45" t="str">
        <f>+'ANEXO 1 - COTIZACIONES'!E26</f>
        <v>UND</v>
      </c>
      <c r="F29" s="114">
        <v>40</v>
      </c>
      <c r="H29" s="25">
        <v>559478.15126050427</v>
      </c>
      <c r="I29" s="50"/>
      <c r="J29" s="159">
        <f t="shared" si="3"/>
        <v>623511.05000000005</v>
      </c>
      <c r="K29" s="160"/>
      <c r="L29" s="35"/>
      <c r="M29" s="31">
        <f t="shared" si="0"/>
        <v>623511.05000000005</v>
      </c>
      <c r="N29" s="31">
        <f t="shared" si="4"/>
        <v>118467.1</v>
      </c>
      <c r="O29" s="31">
        <f t="shared" si="5"/>
        <v>741978.15</v>
      </c>
      <c r="P29" s="31">
        <f t="shared" si="2"/>
        <v>29679126</v>
      </c>
    </row>
    <row r="30" spans="1:16" ht="45" customHeight="1" x14ac:dyDescent="0.3">
      <c r="A30" s="9"/>
      <c r="B30" s="125" t="s">
        <v>1</v>
      </c>
      <c r="C30" s="126"/>
      <c r="D30" s="126"/>
      <c r="E30" s="126"/>
      <c r="F30" s="127"/>
      <c r="H30" s="32"/>
      <c r="I30" s="32"/>
      <c r="J30" s="32"/>
      <c r="K30" s="32"/>
      <c r="L30" s="32"/>
      <c r="M30" s="32">
        <f>SUM(M8:M29)</f>
        <v>8012387.9299999997</v>
      </c>
      <c r="N30" s="32">
        <f t="shared" si="4"/>
        <v>1522353.71</v>
      </c>
      <c r="O30" s="32">
        <f t="shared" si="5"/>
        <v>9534741.6400000006</v>
      </c>
      <c r="P30" s="33">
        <f>SUM(P8:P29)</f>
        <v>360871455.55000001</v>
      </c>
    </row>
    <row r="31" spans="1:16" ht="16.5" x14ac:dyDescent="0.3">
      <c r="A31" s="9"/>
      <c r="B31" s="11"/>
      <c r="C31" s="11"/>
      <c r="D31" s="11"/>
      <c r="E31" s="11"/>
      <c r="F31" s="12"/>
      <c r="M31" s="9"/>
      <c r="N31" s="9"/>
      <c r="O31" s="9"/>
      <c r="P31" s="9"/>
    </row>
    <row r="33" spans="2:13" ht="14.25" x14ac:dyDescent="0.2">
      <c r="B33" s="20" t="s">
        <v>14</v>
      </c>
      <c r="C33" s="20"/>
      <c r="D33" s="20"/>
      <c r="E33" s="21"/>
      <c r="F33" s="21"/>
      <c r="G33" s="21"/>
      <c r="H33" s="21"/>
      <c r="I33" s="21"/>
      <c r="J33" s="21"/>
      <c r="K33" s="21"/>
      <c r="L33" s="21"/>
      <c r="M33" s="21"/>
    </row>
    <row r="34" spans="2:13" ht="29.25" customHeight="1" x14ac:dyDescent="0.2">
      <c r="B34" s="161" t="s">
        <v>15</v>
      </c>
      <c r="C34" s="161"/>
      <c r="D34" s="161"/>
      <c r="E34" s="161"/>
      <c r="F34" s="161"/>
      <c r="G34" s="161"/>
      <c r="H34" s="161"/>
      <c r="I34" s="161"/>
      <c r="J34" s="161"/>
      <c r="K34" s="161"/>
      <c r="L34" s="161"/>
      <c r="M34" s="161"/>
    </row>
    <row r="35" spans="2:13" ht="34.5" customHeight="1" x14ac:dyDescent="0.2">
      <c r="B35" s="161" t="s">
        <v>16</v>
      </c>
      <c r="C35" s="161"/>
      <c r="D35" s="161"/>
      <c r="E35" s="161"/>
      <c r="F35" s="161"/>
      <c r="G35" s="161"/>
      <c r="H35" s="161"/>
      <c r="I35" s="161"/>
      <c r="J35" s="161"/>
      <c r="K35" s="161"/>
      <c r="L35" s="161"/>
      <c r="M35" s="161"/>
    </row>
    <row r="36" spans="2:13" ht="39.75" customHeight="1" x14ac:dyDescent="0.2">
      <c r="B36" s="161" t="s">
        <v>33</v>
      </c>
      <c r="C36" s="161"/>
      <c r="D36" s="161"/>
      <c r="E36" s="161"/>
      <c r="F36" s="161"/>
      <c r="G36" s="161"/>
      <c r="H36" s="161"/>
      <c r="I36" s="161"/>
      <c r="J36" s="161"/>
      <c r="K36" s="161"/>
      <c r="L36" s="161"/>
      <c r="M36" s="161"/>
    </row>
    <row r="37" spans="2:13" ht="15" customHeight="1" x14ac:dyDescent="0.25">
      <c r="B37" s="162"/>
      <c r="C37" s="162"/>
      <c r="D37" s="162"/>
      <c r="E37" s="162"/>
      <c r="F37" s="162"/>
      <c r="G37" s="21"/>
      <c r="H37" s="21"/>
      <c r="I37" s="21"/>
      <c r="J37" s="21"/>
      <c r="K37" s="21"/>
      <c r="L37" s="21"/>
      <c r="M37" s="21"/>
    </row>
    <row r="38" spans="2:13" ht="15" customHeight="1" x14ac:dyDescent="0.25">
      <c r="B38" s="129"/>
      <c r="C38" s="129"/>
      <c r="D38" s="129"/>
      <c r="E38" s="22"/>
      <c r="F38" s="22"/>
      <c r="G38" s="21"/>
      <c r="H38" s="21"/>
      <c r="I38" s="21"/>
      <c r="J38" s="21"/>
      <c r="K38" s="21"/>
      <c r="L38" s="21"/>
      <c r="M38" s="21"/>
    </row>
    <row r="39" spans="2:13" x14ac:dyDescent="0.25">
      <c r="B39" s="16"/>
      <c r="C39" s="16"/>
      <c r="D39" s="16"/>
      <c r="E39" s="16"/>
      <c r="F39" s="16"/>
      <c r="G39" s="23"/>
      <c r="H39" s="23"/>
      <c r="I39" s="23"/>
      <c r="J39" s="23"/>
      <c r="K39" s="23"/>
      <c r="L39" s="23"/>
      <c r="M39" s="23"/>
    </row>
    <row r="40" spans="2:13" x14ac:dyDescent="0.25">
      <c r="B40" s="16"/>
      <c r="C40" s="16"/>
      <c r="D40" s="16"/>
      <c r="E40" s="16"/>
      <c r="F40" s="16"/>
      <c r="G40" s="23"/>
      <c r="H40" s="23"/>
      <c r="I40" s="23"/>
      <c r="J40" s="23"/>
      <c r="K40" s="23"/>
      <c r="L40" s="23"/>
      <c r="M40" s="23"/>
    </row>
    <row r="41" spans="2:13" x14ac:dyDescent="0.25">
      <c r="B41" s="16"/>
      <c r="C41" s="16"/>
      <c r="D41" s="16"/>
      <c r="E41" s="16"/>
      <c r="F41" s="16"/>
      <c r="G41" s="23"/>
      <c r="H41" s="23"/>
      <c r="I41" s="23"/>
      <c r="J41" s="23"/>
      <c r="K41" s="23"/>
      <c r="L41" s="23"/>
      <c r="M41" s="23"/>
    </row>
    <row r="42" spans="2:13" x14ac:dyDescent="0.25">
      <c r="B42" s="16"/>
      <c r="C42" s="16"/>
      <c r="D42" s="16"/>
      <c r="E42" s="16"/>
      <c r="F42" s="16"/>
      <c r="G42" s="23"/>
      <c r="H42" s="23"/>
      <c r="I42" s="23"/>
      <c r="J42" s="23"/>
      <c r="K42" s="23"/>
      <c r="L42" s="23"/>
      <c r="M42" s="23"/>
    </row>
    <row r="43" spans="2:13" x14ac:dyDescent="0.25">
      <c r="B43" s="16"/>
      <c r="C43" s="16"/>
      <c r="D43" s="16"/>
      <c r="E43" s="16"/>
      <c r="F43" s="16"/>
      <c r="G43" s="23"/>
      <c r="H43" s="23"/>
      <c r="I43" s="23"/>
      <c r="J43" s="23"/>
      <c r="K43" s="23"/>
      <c r="L43" s="23"/>
      <c r="M43" s="23"/>
    </row>
    <row r="44" spans="2:13" x14ac:dyDescent="0.25">
      <c r="B44" s="24"/>
      <c r="C44" s="24"/>
      <c r="D44" s="24"/>
      <c r="E44" s="16"/>
      <c r="F44" s="16"/>
      <c r="G44" s="23"/>
      <c r="H44" s="23"/>
      <c r="I44" s="23"/>
      <c r="J44" s="23"/>
      <c r="K44" s="23"/>
      <c r="L44" s="23"/>
      <c r="M44" s="23"/>
    </row>
    <row r="45" spans="2:13" x14ac:dyDescent="0.25">
      <c r="B45" s="24"/>
      <c r="C45" s="24"/>
      <c r="D45" s="24"/>
      <c r="E45" s="16"/>
      <c r="F45" s="16"/>
      <c r="G45" s="23"/>
      <c r="H45" s="23"/>
      <c r="I45" s="23"/>
      <c r="J45" s="23"/>
      <c r="K45" s="23"/>
      <c r="L45" s="23"/>
      <c r="M45" s="23"/>
    </row>
    <row r="46" spans="2:13" x14ac:dyDescent="0.25">
      <c r="F46" s="13"/>
      <c r="G46" s="13"/>
      <c r="H46" s="14"/>
    </row>
  </sheetData>
  <sheetProtection algorithmName="SHA-512" hashValue="L+3W6ZJYBjydLIutXihpcNfxVIS1Zm87tOBwOcNyBuRNKiep3SuBC4IGLUktcrAz8ZThlb2/WvFkCS5fcldAaw==" saltValue="wqK38yHIVPCi6gZprsIKwQ==" spinCount="100000" sheet="1" objects="1" scenarios="1" selectLockedCells="1" selectUnlockedCells="1"/>
  <mergeCells count="47">
    <mergeCell ref="B1:P1"/>
    <mergeCell ref="B2:D2"/>
    <mergeCell ref="E2:P2"/>
    <mergeCell ref="B30:F30"/>
    <mergeCell ref="J7:K7"/>
    <mergeCell ref="H3:H4"/>
    <mergeCell ref="J8:K8"/>
    <mergeCell ref="J9:K9"/>
    <mergeCell ref="J16:K16"/>
    <mergeCell ref="J17:K17"/>
    <mergeCell ref="H5:H6"/>
    <mergeCell ref="B3:F6"/>
    <mergeCell ref="M3:P6"/>
    <mergeCell ref="C8:C14"/>
    <mergeCell ref="C27:D27"/>
    <mergeCell ref="C28:D28"/>
    <mergeCell ref="B38:D38"/>
    <mergeCell ref="B34:M34"/>
    <mergeCell ref="B35:M35"/>
    <mergeCell ref="B36:M36"/>
    <mergeCell ref="B37:D37"/>
    <mergeCell ref="E37:F37"/>
    <mergeCell ref="C29:D29"/>
    <mergeCell ref="I8:I14"/>
    <mergeCell ref="I15:I19"/>
    <mergeCell ref="I20:I23"/>
    <mergeCell ref="C15:C19"/>
    <mergeCell ref="C20:C23"/>
    <mergeCell ref="C24:D24"/>
    <mergeCell ref="J10:K10"/>
    <mergeCell ref="J11:K11"/>
    <mergeCell ref="J12:K12"/>
    <mergeCell ref="J13:K13"/>
    <mergeCell ref="J14:K14"/>
    <mergeCell ref="J15:K15"/>
    <mergeCell ref="J18:K18"/>
    <mergeCell ref="J19:K19"/>
    <mergeCell ref="J20:K20"/>
    <mergeCell ref="J21:K21"/>
    <mergeCell ref="J27:K27"/>
    <mergeCell ref="J28:K28"/>
    <mergeCell ref="J29:K29"/>
    <mergeCell ref="J22:K22"/>
    <mergeCell ref="J23:K23"/>
    <mergeCell ref="J24:K24"/>
    <mergeCell ref="J25:K25"/>
    <mergeCell ref="J26:K26"/>
  </mergeCells>
  <pageMargins left="0.7" right="0.7" top="0.75" bottom="0.75" header="0.3" footer="0.3"/>
  <pageSetup paperSize="5" scale="50" orientation="landscape" horizontalDpi="4294967293"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43"/>
  <sheetViews>
    <sheetView tabSelected="1" topLeftCell="D12" zoomScale="120" zoomScaleNormal="120" workbookViewId="0">
      <selection activeCell="O30" sqref="O30:P30"/>
    </sheetView>
  </sheetViews>
  <sheetFormatPr baseColWidth="10" defaultColWidth="11.42578125" defaultRowHeight="15" x14ac:dyDescent="0.25"/>
  <cols>
    <col min="1" max="1" width="2.7109375" style="10" customWidth="1"/>
    <col min="2" max="2" width="7.5703125" style="13" customWidth="1"/>
    <col min="3" max="3" width="15.140625" style="13" customWidth="1"/>
    <col min="4" max="4" width="36" style="13" customWidth="1"/>
    <col min="5" max="5" width="14.85546875" style="13" customWidth="1"/>
    <col min="6" max="6" width="12.7109375" style="14" customWidth="1"/>
    <col min="7" max="7" width="11.28515625" style="10" customWidth="1"/>
    <col min="8" max="8" width="14.85546875" style="10" customWidth="1"/>
    <col min="9" max="9" width="2.7109375" style="10" customWidth="1"/>
    <col min="10" max="10" width="17.28515625" style="10" customWidth="1"/>
    <col min="11" max="11" width="2.7109375" style="10" customWidth="1"/>
    <col min="12" max="14" width="17" style="10" customWidth="1"/>
    <col min="15" max="15" width="18" style="10" customWidth="1"/>
    <col min="16" max="16" width="20.7109375" style="10" customWidth="1"/>
    <col min="17" max="18" width="11.42578125" style="10"/>
    <col min="19" max="21" width="11.42578125" style="10" hidden="1" customWidth="1"/>
    <col min="22" max="22" width="15.28515625" style="10" hidden="1" customWidth="1"/>
    <col min="23" max="23" width="12.42578125" style="10" hidden="1" customWidth="1"/>
    <col min="24" max="24" width="11.42578125" style="10" hidden="1" customWidth="1"/>
    <col min="25" max="25" width="14.85546875" style="10" hidden="1" customWidth="1"/>
    <col min="26" max="26" width="11.42578125" style="10" hidden="1" customWidth="1"/>
    <col min="27" max="27" width="15" style="10" hidden="1" customWidth="1"/>
    <col min="28" max="28" width="20.5703125" style="10" hidden="1" customWidth="1"/>
    <col min="29" max="30" width="11.42578125" style="10" hidden="1" customWidth="1"/>
    <col min="31" max="32" width="11.42578125" style="10" customWidth="1"/>
    <col min="33" max="16384" width="11.42578125" style="10"/>
  </cols>
  <sheetData>
    <row r="1" spans="1:30" s="6" customFormat="1" ht="28.5" customHeight="1" x14ac:dyDescent="0.25">
      <c r="A1" s="5"/>
      <c r="B1" s="130" t="s">
        <v>49</v>
      </c>
      <c r="C1" s="130"/>
      <c r="D1" s="130"/>
      <c r="E1" s="130"/>
      <c r="F1" s="130"/>
      <c r="G1" s="130"/>
      <c r="H1" s="130"/>
      <c r="I1" s="130"/>
      <c r="J1" s="130"/>
      <c r="K1" s="130"/>
      <c r="L1" s="130"/>
      <c r="M1" s="130"/>
      <c r="N1" s="130"/>
      <c r="O1" s="130"/>
      <c r="P1" s="130"/>
    </row>
    <row r="2" spans="1:30" s="5" customFormat="1" ht="54" customHeight="1" x14ac:dyDescent="0.25">
      <c r="B2" s="131"/>
      <c r="C2" s="131"/>
      <c r="D2" s="131"/>
      <c r="E2" s="132" t="s">
        <v>60</v>
      </c>
      <c r="F2" s="132"/>
      <c r="G2" s="132"/>
      <c r="H2" s="132"/>
      <c r="I2" s="132"/>
      <c r="J2" s="132"/>
      <c r="K2" s="132"/>
      <c r="L2" s="132"/>
      <c r="M2" s="132"/>
      <c r="N2" s="132"/>
      <c r="O2" s="132"/>
      <c r="P2" s="132"/>
    </row>
    <row r="3" spans="1:30" s="5" customFormat="1" ht="18.75" customHeight="1" x14ac:dyDescent="0.25">
      <c r="B3" s="133" t="s">
        <v>7</v>
      </c>
      <c r="C3" s="134"/>
      <c r="D3" s="134"/>
      <c r="E3" s="172"/>
      <c r="F3" s="168"/>
      <c r="G3" s="15"/>
      <c r="H3" s="173" t="s">
        <v>19</v>
      </c>
      <c r="I3" s="16"/>
      <c r="J3" s="173" t="s">
        <v>21</v>
      </c>
      <c r="K3" s="15"/>
      <c r="L3" s="149" t="s">
        <v>50</v>
      </c>
      <c r="M3" s="149"/>
      <c r="N3" s="149"/>
      <c r="O3" s="149"/>
      <c r="P3" s="149"/>
    </row>
    <row r="4" spans="1:30" s="5" customFormat="1" ht="21.75" customHeight="1" x14ac:dyDescent="0.25">
      <c r="B4" s="136"/>
      <c r="C4" s="137"/>
      <c r="D4" s="137"/>
      <c r="E4" s="137"/>
      <c r="F4" s="138"/>
      <c r="G4" s="15"/>
      <c r="H4" s="139"/>
      <c r="I4" s="16"/>
      <c r="J4" s="139">
        <v>1.0508</v>
      </c>
      <c r="K4" s="15"/>
      <c r="L4" s="149"/>
      <c r="M4" s="149"/>
      <c r="N4" s="149"/>
      <c r="O4" s="149"/>
      <c r="P4" s="149"/>
      <c r="W4" s="62"/>
    </row>
    <row r="5" spans="1:30" s="1" customFormat="1" ht="39.75" customHeight="1" thickBot="1" x14ac:dyDescent="0.3">
      <c r="A5" s="7"/>
      <c r="B5" s="3" t="s">
        <v>2</v>
      </c>
      <c r="C5" s="67"/>
      <c r="D5" s="67" t="s">
        <v>12</v>
      </c>
      <c r="E5" s="67" t="s">
        <v>3</v>
      </c>
      <c r="F5" s="67" t="s">
        <v>58</v>
      </c>
      <c r="G5" s="67" t="s">
        <v>59</v>
      </c>
      <c r="H5" s="19" t="s">
        <v>6</v>
      </c>
      <c r="I5" s="16"/>
      <c r="J5" s="19" t="s">
        <v>6</v>
      </c>
      <c r="K5" s="2"/>
      <c r="L5" s="174" t="s">
        <v>6</v>
      </c>
      <c r="M5" s="175" t="s">
        <v>9</v>
      </c>
      <c r="N5" s="175" t="s">
        <v>10</v>
      </c>
      <c r="O5" s="175" t="s">
        <v>62</v>
      </c>
      <c r="P5" s="176" t="s">
        <v>63</v>
      </c>
      <c r="S5" s="1" t="s">
        <v>51</v>
      </c>
      <c r="T5" s="1" t="s">
        <v>52</v>
      </c>
      <c r="V5" s="1" t="s">
        <v>53</v>
      </c>
    </row>
    <row r="6" spans="1:30" s="1" customFormat="1" ht="16.5" customHeight="1" x14ac:dyDescent="0.3">
      <c r="A6" s="7"/>
      <c r="B6" s="66">
        <f>+'ANEXO 1 - COTIZACIONES'!B5</f>
        <v>1</v>
      </c>
      <c r="C6" s="119" t="str">
        <f>+'ANEXO 1 - COTIZACIONES'!C5</f>
        <v>TIPOLOGÍA FISCAL</v>
      </c>
      <c r="D6" s="68" t="str">
        <f>+'ANEXO 1 - COTIZACIONES'!D5</f>
        <v>SUPERFICIE RECTA DE 1,50 X 0,60M</v>
      </c>
      <c r="E6" s="69" t="str">
        <f>+'ANEXO 1 - COTIZACIONES'!E5</f>
        <v>UND</v>
      </c>
      <c r="F6" s="70">
        <f>+'ANEXO 1 - COTIZACIONES'!F5</f>
        <v>60</v>
      </c>
      <c r="G6" s="115">
        <v>40</v>
      </c>
      <c r="H6" s="25">
        <f>+'ANEXO 1 - COTIZACIONES'!X5</f>
        <v>401334.5</v>
      </c>
      <c r="I6" s="34"/>
      <c r="J6" s="25" cm="1">
        <f t="array" ref="J6:K6">+'ANEXO 2 - HISTORICOS'!J8:K8</f>
        <v>178053.7</v>
      </c>
      <c r="K6" s="35">
        <v>0</v>
      </c>
      <c r="L6" s="93">
        <f>+ROUND(AVERAGE(H6,J6),2)</f>
        <v>289694.09999999998</v>
      </c>
      <c r="M6" s="93">
        <f>ROUND(L6*19%,2)</f>
        <v>55041.88</v>
      </c>
      <c r="N6" s="94">
        <f>+ROUND(M6+L6,0)</f>
        <v>344736</v>
      </c>
      <c r="O6" s="93">
        <f>+N6*F6</f>
        <v>20684160</v>
      </c>
      <c r="P6" s="93">
        <f>+N6*G6</f>
        <v>13789440</v>
      </c>
      <c r="S6" s="61">
        <f>+L6/J6-1</f>
        <v>0.62700410044834776</v>
      </c>
      <c r="T6" s="61">
        <f>+L6/H6-1</f>
        <v>-0.2781729455105405</v>
      </c>
      <c r="V6" s="63">
        <v>406124.31</v>
      </c>
      <c r="W6" s="61">
        <f>+N6/V6-1</f>
        <v>-0.15115645256497945</v>
      </c>
      <c r="Y6" s="89">
        <f>+AVERAGE(H6:J6)*F6*1.19</f>
        <v>20684158.739999998</v>
      </c>
      <c r="Z6" s="1">
        <f>+'ANEXO 1 - COTIZACIONES'!R5</f>
        <v>347966</v>
      </c>
      <c r="AA6" s="89">
        <f>+AVERAGE(Z6,J6)</f>
        <v>263009.84999999998</v>
      </c>
      <c r="AB6" s="89">
        <f>+AA6*F6*1.19</f>
        <v>18778903.289999995</v>
      </c>
      <c r="AC6" s="61">
        <f>+H6/AA6-1</f>
        <v>0.52592954218254584</v>
      </c>
      <c r="AD6" s="61">
        <f>+AA6/J6-1</f>
        <v>0.47713779606938789</v>
      </c>
    </row>
    <row r="7" spans="1:30" s="1" customFormat="1" ht="16.5" x14ac:dyDescent="0.3">
      <c r="A7" s="7"/>
      <c r="B7" s="66">
        <f>+'ANEXO 1 - COTIZACIONES'!B6</f>
        <v>2</v>
      </c>
      <c r="C7" s="120"/>
      <c r="D7" s="37" t="str">
        <f>+'ANEXO 1 - COTIZACIONES'!D6</f>
        <v>SUPERFICIE RETORNO DE 0,90 X 0,60M</v>
      </c>
      <c r="E7" s="36" t="str">
        <f>+'ANEXO 1 - COTIZACIONES'!E6</f>
        <v>UND</v>
      </c>
      <c r="F7" s="71">
        <f>+'ANEXO 1 - COTIZACIONES'!F6</f>
        <v>30</v>
      </c>
      <c r="G7" s="96">
        <v>20</v>
      </c>
      <c r="H7" s="25">
        <f>+'ANEXO 1 - COTIZACIONES'!X6</f>
        <v>270588</v>
      </c>
      <c r="I7" s="34"/>
      <c r="J7" s="25" cm="1">
        <f t="array" ref="J7:K7">+'ANEXO 2 - HISTORICOS'!J9:K9</f>
        <v>106703.54</v>
      </c>
      <c r="K7" s="35">
        <v>0</v>
      </c>
      <c r="L7" s="31">
        <f t="shared" ref="L7:L24" si="0">+ROUND(AVERAGE(H7,J7),2)</f>
        <v>188645.77</v>
      </c>
      <c r="M7" s="31">
        <f t="shared" ref="M7:M24" si="1">ROUND(L7*19%,2)</f>
        <v>35842.699999999997</v>
      </c>
      <c r="N7" s="80">
        <f t="shared" ref="N7:N27" si="2">+ROUND(M7+L7,0)</f>
        <v>224488</v>
      </c>
      <c r="O7" s="31">
        <f t="shared" ref="O7:O24" si="3">+N7*F7</f>
        <v>6734640</v>
      </c>
      <c r="P7" s="31">
        <f t="shared" ref="P7:P27" si="4">+N7*G7</f>
        <v>4489760</v>
      </c>
      <c r="S7" s="61">
        <f t="shared" ref="S7:S27" si="5">+L7/J7-1</f>
        <v>0.76794293797562863</v>
      </c>
      <c r="T7" s="61">
        <f t="shared" ref="T7:T27" si="6">+L7/H7-1</f>
        <v>-0.30283024376542944</v>
      </c>
      <c r="V7" s="63">
        <v>225557.86</v>
      </c>
      <c r="W7" s="61">
        <f t="shared" ref="W7:W27" si="7">+N7/V7-1</f>
        <v>-4.7431732150676753E-3</v>
      </c>
      <c r="Y7" s="89">
        <f t="shared" ref="Y7:Y27" si="8">+AVERAGE(H7:J7)*F7*1.19</f>
        <v>6734653.9889999991</v>
      </c>
      <c r="Z7" s="1">
        <f>+'ANEXO 1 - COTIZACIONES'!R6</f>
        <v>210442</v>
      </c>
      <c r="AA7" s="89">
        <f t="shared" ref="AA7:AA27" si="9">+AVERAGE(Z7,J7)</f>
        <v>158572.76999999999</v>
      </c>
      <c r="AB7" s="89">
        <f t="shared" ref="AB7:AB27" si="10">+AA7*F7*1.19</f>
        <v>5661047.8889999995</v>
      </c>
      <c r="AC7" s="61">
        <f t="shared" ref="AC7:AC26" si="11">+H7/AA7-1</f>
        <v>0.70639637561984969</v>
      </c>
      <c r="AD7" s="61">
        <f t="shared" ref="AD7:AD29" si="12">+AA7/J7-1</f>
        <v>0.48610599048541414</v>
      </c>
    </row>
    <row r="8" spans="1:30" s="1" customFormat="1" ht="16.5" x14ac:dyDescent="0.3">
      <c r="A8" s="7"/>
      <c r="B8" s="66">
        <f>+'ANEXO 1 - COTIZACIONES'!B7</f>
        <v>3</v>
      </c>
      <c r="C8" s="120"/>
      <c r="D8" s="38" t="str">
        <f>+'ANEXO 1 - COTIZACIONES'!D7</f>
        <v>FALDERO MADERA AGLOMERADA 1.50M</v>
      </c>
      <c r="E8" s="36" t="str">
        <f>+'ANEXO 1 - COTIZACIONES'!E7</f>
        <v>UND</v>
      </c>
      <c r="F8" s="71">
        <f>+'ANEXO 1 - COTIZACIONES'!F7</f>
        <v>30</v>
      </c>
      <c r="G8" s="96">
        <v>20</v>
      </c>
      <c r="H8" s="25">
        <f>+'ANEXO 1 - COTIZACIONES'!X7</f>
        <v>192954</v>
      </c>
      <c r="I8" s="34"/>
      <c r="J8" s="25" cm="1">
        <f t="array" ref="J8:K8">+'ANEXO 2 - HISTORICOS'!J10:K10</f>
        <v>72511.429999999993</v>
      </c>
      <c r="K8" s="35">
        <v>0</v>
      </c>
      <c r="L8" s="31">
        <f t="shared" si="0"/>
        <v>132732.72</v>
      </c>
      <c r="M8" s="31">
        <f t="shared" si="1"/>
        <v>25219.22</v>
      </c>
      <c r="N8" s="81">
        <f t="shared" si="2"/>
        <v>157952</v>
      </c>
      <c r="O8" s="31">
        <f t="shared" si="3"/>
        <v>4738560</v>
      </c>
      <c r="P8" s="31">
        <f t="shared" si="4"/>
        <v>3159040</v>
      </c>
      <c r="S8" s="61">
        <f t="shared" si="5"/>
        <v>0.83050754894780066</v>
      </c>
      <c r="T8" s="61">
        <f t="shared" si="6"/>
        <v>-0.31210174445722816</v>
      </c>
      <c r="V8" s="63">
        <v>200798.59</v>
      </c>
      <c r="W8" s="61">
        <f t="shared" si="7"/>
        <v>-0.21338093061310837</v>
      </c>
      <c r="Y8" s="89">
        <f t="shared" si="8"/>
        <v>4738557.9254999999</v>
      </c>
      <c r="Z8" s="1">
        <f>+'ANEXO 1 - COTIZACIONES'!R7</f>
        <v>141931</v>
      </c>
      <c r="AA8" s="89">
        <f t="shared" si="9"/>
        <v>107221.215</v>
      </c>
      <c r="AB8" s="89">
        <f t="shared" si="10"/>
        <v>3827797.3754999996</v>
      </c>
      <c r="AC8" s="61">
        <f t="shared" si="11"/>
        <v>0.79958788939297132</v>
      </c>
      <c r="AD8" s="61">
        <f t="shared" si="12"/>
        <v>0.47868018876472318</v>
      </c>
    </row>
    <row r="9" spans="1:30" s="1" customFormat="1" ht="16.5" x14ac:dyDescent="0.3">
      <c r="A9" s="7"/>
      <c r="B9" s="66">
        <f>+'ANEXO 1 - COTIZACIONES'!B8</f>
        <v>4</v>
      </c>
      <c r="C9" s="120"/>
      <c r="D9" s="39" t="str">
        <f>+'ANEXO 1 - COTIZACIONES'!D8</f>
        <v>SILLA OPERATIVA</v>
      </c>
      <c r="E9" s="36" t="str">
        <f>+'ANEXO 1 - COTIZACIONES'!E8</f>
        <v>UND</v>
      </c>
      <c r="F9" s="71">
        <f>+'ANEXO 1 - COTIZACIONES'!F8</f>
        <v>30</v>
      </c>
      <c r="G9" s="96">
        <v>20</v>
      </c>
      <c r="H9" s="25">
        <f>+'ANEXO 1 - COTIZACIONES'!X8</f>
        <v>811770</v>
      </c>
      <c r="I9" s="34"/>
      <c r="J9" s="25" cm="1">
        <f t="array" ref="J9:K9">+'ANEXO 2 - HISTORICOS'!J11:K11</f>
        <v>522033.25</v>
      </c>
      <c r="K9" s="35">
        <v>0</v>
      </c>
      <c r="L9" s="31">
        <f t="shared" si="0"/>
        <v>666901.63</v>
      </c>
      <c r="M9" s="31">
        <f t="shared" si="1"/>
        <v>126711.31</v>
      </c>
      <c r="N9" s="82">
        <f t="shared" si="2"/>
        <v>793613</v>
      </c>
      <c r="O9" s="31">
        <f t="shared" si="3"/>
        <v>23808390</v>
      </c>
      <c r="P9" s="31">
        <f t="shared" si="4"/>
        <v>15872260</v>
      </c>
      <c r="S9" s="61">
        <f t="shared" si="5"/>
        <v>0.27750795567140596</v>
      </c>
      <c r="T9" s="61">
        <f t="shared" si="6"/>
        <v>-0.17845987163851829</v>
      </c>
      <c r="V9" s="63">
        <v>862794.27</v>
      </c>
      <c r="W9" s="61">
        <f t="shared" si="7"/>
        <v>-8.0182811135266374E-2</v>
      </c>
      <c r="Y9" s="89">
        <f t="shared" si="8"/>
        <v>23808388.012499999</v>
      </c>
      <c r="Z9" s="1">
        <f>+'ANEXO 1 - COTIZACIONES'!R8</f>
        <v>803960</v>
      </c>
      <c r="AA9" s="89">
        <f t="shared" si="9"/>
        <v>662996.625</v>
      </c>
      <c r="AB9" s="89">
        <f t="shared" si="10"/>
        <v>23668979.512499999</v>
      </c>
      <c r="AC9" s="61">
        <f t="shared" si="11"/>
        <v>0.22439537305336965</v>
      </c>
      <c r="AD9" s="61">
        <f t="shared" si="12"/>
        <v>0.27002757966087398</v>
      </c>
    </row>
    <row r="10" spans="1:30" s="1" customFormat="1" ht="16.5" x14ac:dyDescent="0.3">
      <c r="A10" s="7"/>
      <c r="B10" s="66">
        <f>+'ANEXO 1 - COTIZACIONES'!B9</f>
        <v>5</v>
      </c>
      <c r="C10" s="120"/>
      <c r="D10" s="38" t="str">
        <f>+'ANEXO 1 - COTIZACIONES'!D9</f>
        <v>SILLAS INTERLOCUTORAS</v>
      </c>
      <c r="E10" s="36" t="str">
        <f>+'ANEXO 1 - COTIZACIONES'!E9</f>
        <v>UND</v>
      </c>
      <c r="F10" s="72">
        <f>+'ANEXO 1 - COTIZACIONES'!F9</f>
        <v>60</v>
      </c>
      <c r="G10" s="116">
        <v>40</v>
      </c>
      <c r="H10" s="25">
        <f>+'ANEXO 1 - COTIZACIONES'!X9</f>
        <v>522819.34</v>
      </c>
      <c r="I10" s="34"/>
      <c r="J10" s="25" cm="1">
        <f t="array" ref="J10:K10">+'ANEXO 2 - HISTORICOS'!J12:K12</f>
        <v>198342.8</v>
      </c>
      <c r="K10" s="35">
        <v>0</v>
      </c>
      <c r="L10" s="31">
        <f t="shared" si="0"/>
        <v>360581.07</v>
      </c>
      <c r="M10" s="31">
        <f t="shared" si="1"/>
        <v>68510.399999999994</v>
      </c>
      <c r="N10" s="81">
        <f t="shared" si="2"/>
        <v>429091</v>
      </c>
      <c r="O10" s="31">
        <f t="shared" si="3"/>
        <v>25745460</v>
      </c>
      <c r="P10" s="31">
        <f t="shared" si="4"/>
        <v>17163640</v>
      </c>
      <c r="S10" s="61">
        <f t="shared" si="5"/>
        <v>0.81796904147768412</v>
      </c>
      <c r="T10" s="61">
        <f t="shared" si="6"/>
        <v>-0.3103142091109331</v>
      </c>
      <c r="V10" s="63">
        <v>609758.02</v>
      </c>
      <c r="W10" s="61">
        <f t="shared" si="7"/>
        <v>-0.29629297864749693</v>
      </c>
      <c r="Y10" s="89">
        <f t="shared" si="8"/>
        <v>25745488.397999998</v>
      </c>
      <c r="Z10" s="1">
        <f>+'ANEXO 1 - COTIZACIONES'!R9</f>
        <v>352869</v>
      </c>
      <c r="AA10" s="89">
        <f t="shared" si="9"/>
        <v>275605.90000000002</v>
      </c>
      <c r="AB10" s="89">
        <f t="shared" si="10"/>
        <v>19678261.260000002</v>
      </c>
      <c r="AC10" s="61">
        <f t="shared" si="11"/>
        <v>0.8969816683895373</v>
      </c>
      <c r="AD10" s="61">
        <f t="shared" si="12"/>
        <v>0.38954325541436363</v>
      </c>
    </row>
    <row r="11" spans="1:30" s="1" customFormat="1" ht="16.5" x14ac:dyDescent="0.3">
      <c r="A11" s="7"/>
      <c r="B11" s="66">
        <f>+'ANEXO 1 - COTIZACIONES'!B10</f>
        <v>6</v>
      </c>
      <c r="C11" s="120"/>
      <c r="D11" s="40" t="str">
        <f>+'ANEXO 1 - COTIZACIONES'!D10</f>
        <v>CAJONERA METALICA 2x1</v>
      </c>
      <c r="E11" s="36" t="str">
        <f>+'ANEXO 1 - COTIZACIONES'!E10</f>
        <v>UND</v>
      </c>
      <c r="F11" s="71">
        <f>+'ANEXO 1 - COTIZACIONES'!F10</f>
        <v>30</v>
      </c>
      <c r="G11" s="96">
        <v>20</v>
      </c>
      <c r="H11" s="25">
        <f>+'ANEXO 1 - COTIZACIONES'!X10</f>
        <v>675425.34</v>
      </c>
      <c r="I11" s="34"/>
      <c r="J11" s="25" cm="1">
        <f t="array" ref="J11:K11">+'ANEXO 2 - HISTORICOS'!J13:K13</f>
        <v>216309.34</v>
      </c>
      <c r="K11" s="35">
        <v>0</v>
      </c>
      <c r="L11" s="31">
        <f t="shared" si="0"/>
        <v>445867.34</v>
      </c>
      <c r="M11" s="31">
        <f t="shared" si="1"/>
        <v>84714.79</v>
      </c>
      <c r="N11" s="83">
        <f t="shared" si="2"/>
        <v>530582</v>
      </c>
      <c r="O11" s="31">
        <f t="shared" si="3"/>
        <v>15917460</v>
      </c>
      <c r="P11" s="31">
        <f t="shared" si="4"/>
        <v>10611640</v>
      </c>
      <c r="S11" s="61">
        <f t="shared" si="5"/>
        <v>1.0612486728497252</v>
      </c>
      <c r="T11" s="61">
        <f t="shared" si="6"/>
        <v>-0.33987176140000896</v>
      </c>
      <c r="V11" s="63">
        <v>513856.69</v>
      </c>
      <c r="W11" s="61">
        <f t="shared" si="7"/>
        <v>3.2548588595781469E-2</v>
      </c>
      <c r="Y11" s="89">
        <f t="shared" si="8"/>
        <v>15917464.037999999</v>
      </c>
      <c r="Z11" s="1">
        <f>+'ANEXO 1 - COTIZACIONES'!R10</f>
        <v>555238</v>
      </c>
      <c r="AA11" s="89">
        <f t="shared" si="9"/>
        <v>385773.67</v>
      </c>
      <c r="AB11" s="89">
        <f t="shared" si="10"/>
        <v>13772120.018999999</v>
      </c>
      <c r="AC11" s="61">
        <f t="shared" si="11"/>
        <v>0.75083317635441515</v>
      </c>
      <c r="AD11" s="61">
        <f t="shared" si="12"/>
        <v>0.78343510270985051</v>
      </c>
    </row>
    <row r="12" spans="1:30" s="1" customFormat="1" ht="17.25" thickBot="1" x14ac:dyDescent="0.35">
      <c r="A12" s="7"/>
      <c r="B12" s="66">
        <f>+'ANEXO 1 - COTIZACIONES'!B11</f>
        <v>7</v>
      </c>
      <c r="C12" s="121"/>
      <c r="D12" s="73" t="str">
        <f>+'ANEXO 1 - COTIZACIONES'!D11</f>
        <v>SOPORTES Y HERRAJES</v>
      </c>
      <c r="E12" s="74" t="str">
        <f>+'ANEXO 1 - COTIZACIONES'!E11</f>
        <v>UND</v>
      </c>
      <c r="F12" s="75">
        <f>+'ANEXO 1 - COTIZACIONES'!F11</f>
        <v>30</v>
      </c>
      <c r="G12" s="97">
        <v>20</v>
      </c>
      <c r="H12" s="25">
        <f>+'ANEXO 1 - COTIZACIONES'!X11</f>
        <v>223854.5</v>
      </c>
      <c r="I12" s="34"/>
      <c r="J12" s="25" cm="1">
        <f t="array" ref="J12:K12">+'ANEXO 2 - HISTORICOS'!J14:K14</f>
        <v>159668.07</v>
      </c>
      <c r="K12" s="35">
        <v>0</v>
      </c>
      <c r="L12" s="31">
        <f t="shared" si="0"/>
        <v>191761.29</v>
      </c>
      <c r="M12" s="31">
        <f t="shared" si="1"/>
        <v>36434.65</v>
      </c>
      <c r="N12" s="84">
        <f t="shared" si="2"/>
        <v>228196</v>
      </c>
      <c r="O12" s="31">
        <f t="shared" si="3"/>
        <v>6845880</v>
      </c>
      <c r="P12" s="31">
        <f t="shared" si="4"/>
        <v>4563920</v>
      </c>
      <c r="S12" s="61">
        <f t="shared" si="5"/>
        <v>0.20099961125602639</v>
      </c>
      <c r="T12" s="61">
        <f t="shared" si="6"/>
        <v>-0.14336638307472038</v>
      </c>
      <c r="V12" s="63">
        <v>197158.19</v>
      </c>
      <c r="W12" s="61">
        <f t="shared" si="7"/>
        <v>0.15742592280848178</v>
      </c>
      <c r="Y12" s="89">
        <f t="shared" si="8"/>
        <v>6845877.8744999999</v>
      </c>
      <c r="Z12" s="1">
        <f>+'ANEXO 1 - COTIZACIONES'!R11</f>
        <v>116000</v>
      </c>
      <c r="AA12" s="89">
        <f t="shared" si="9"/>
        <v>137834.035</v>
      </c>
      <c r="AB12" s="89">
        <f t="shared" si="10"/>
        <v>4920675.0494999997</v>
      </c>
      <c r="AC12" s="61">
        <f t="shared" si="11"/>
        <v>0.62408725827405398</v>
      </c>
      <c r="AD12" s="61">
        <f t="shared" si="12"/>
        <v>-0.13674640771946456</v>
      </c>
    </row>
    <row r="13" spans="1:30" s="1" customFormat="1" ht="16.5" customHeight="1" x14ac:dyDescent="0.3">
      <c r="A13" s="7"/>
      <c r="B13" s="66">
        <f>+'ANEXO 1 - COTIZACIONES'!B12</f>
        <v>8</v>
      </c>
      <c r="C13" s="122" t="str">
        <f>+'ANEXO 1 - COTIZACIONES'!C12</f>
        <v>TIPOLOGÍA ASISTENTE</v>
      </c>
      <c r="D13" s="68" t="str">
        <f>+'ANEXO 1 - COTIZACIONES'!D12</f>
        <v>SUPERFICIE RECTA DE 1,50 X 0,60M</v>
      </c>
      <c r="E13" s="69" t="str">
        <f>+'ANEXO 1 - COTIZACIONES'!E12</f>
        <v>UND</v>
      </c>
      <c r="F13" s="76">
        <f>+'ANEXO 1 - COTIZACIONES'!F12</f>
        <v>50</v>
      </c>
      <c r="G13" s="95">
        <v>36</v>
      </c>
      <c r="H13" s="25">
        <f>+'ANEXO 1 - COTIZACIONES'!X12</f>
        <v>401334.5</v>
      </c>
      <c r="I13" s="34"/>
      <c r="J13" s="25" cm="1">
        <f t="array" ref="J13:K13">+'ANEXO 2 - HISTORICOS'!J15:K15</f>
        <v>178053.7</v>
      </c>
      <c r="K13" s="35">
        <v>0</v>
      </c>
      <c r="L13" s="31">
        <f t="shared" si="0"/>
        <v>289694.09999999998</v>
      </c>
      <c r="M13" s="31">
        <f t="shared" si="1"/>
        <v>55041.88</v>
      </c>
      <c r="N13" s="79">
        <f t="shared" si="2"/>
        <v>344736</v>
      </c>
      <c r="O13" s="31">
        <f t="shared" si="3"/>
        <v>17236800</v>
      </c>
      <c r="P13" s="31">
        <f t="shared" si="4"/>
        <v>12410496</v>
      </c>
      <c r="S13" s="61">
        <f t="shared" si="5"/>
        <v>0.62700410044834776</v>
      </c>
      <c r="T13" s="61">
        <f t="shared" si="6"/>
        <v>-0.2781729455105405</v>
      </c>
      <c r="V13" s="63">
        <v>406124.31</v>
      </c>
      <c r="W13" s="61">
        <f t="shared" si="7"/>
        <v>-0.15115645256497945</v>
      </c>
      <c r="Y13" s="89">
        <f t="shared" si="8"/>
        <v>17236798.949999996</v>
      </c>
      <c r="Z13" s="1">
        <f>+'ANEXO 1 - COTIZACIONES'!R12</f>
        <v>347966</v>
      </c>
      <c r="AA13" s="89">
        <f t="shared" si="9"/>
        <v>263009.84999999998</v>
      </c>
      <c r="AB13" s="89">
        <f t="shared" si="10"/>
        <v>15649086.074999997</v>
      </c>
      <c r="AC13" s="61">
        <f t="shared" si="11"/>
        <v>0.52592954218254584</v>
      </c>
      <c r="AD13" s="61">
        <f t="shared" si="12"/>
        <v>0.47713779606938789</v>
      </c>
    </row>
    <row r="14" spans="1:30" s="1" customFormat="1" ht="16.5" x14ac:dyDescent="0.3">
      <c r="A14" s="7"/>
      <c r="B14" s="66">
        <f>+'ANEXO 1 - COTIZACIONES'!B13</f>
        <v>9</v>
      </c>
      <c r="C14" s="120"/>
      <c r="D14" s="41" t="str">
        <f>+'ANEXO 1 - COTIZACIONES'!D13</f>
        <v>SUPERFICIE RETORNO DE 0,90 X 0,60M</v>
      </c>
      <c r="E14" s="36" t="str">
        <f>+'ANEXO 1 - COTIZACIONES'!E13</f>
        <v>UND</v>
      </c>
      <c r="F14" s="71">
        <f>+'ANEXO 1 - COTIZACIONES'!F13</f>
        <v>50</v>
      </c>
      <c r="G14" s="96">
        <v>36</v>
      </c>
      <c r="H14" s="25">
        <f>+'ANEXO 1 - COTIZACIONES'!X13</f>
        <v>270588</v>
      </c>
      <c r="I14" s="34"/>
      <c r="J14" s="25" cm="1">
        <f t="array" ref="J14:K14">+'ANEXO 2 - HISTORICOS'!J16:K16</f>
        <v>106703.54</v>
      </c>
      <c r="K14" s="35">
        <v>0</v>
      </c>
      <c r="L14" s="31">
        <f t="shared" si="0"/>
        <v>188645.77</v>
      </c>
      <c r="M14" s="31">
        <f t="shared" si="1"/>
        <v>35842.699999999997</v>
      </c>
      <c r="N14" s="85">
        <f t="shared" si="2"/>
        <v>224488</v>
      </c>
      <c r="O14" s="31">
        <f t="shared" si="3"/>
        <v>11224400</v>
      </c>
      <c r="P14" s="31">
        <f t="shared" si="4"/>
        <v>8081568</v>
      </c>
      <c r="S14" s="61">
        <f t="shared" si="5"/>
        <v>0.76794293797562863</v>
      </c>
      <c r="T14" s="61">
        <f t="shared" si="6"/>
        <v>-0.30283024376542944</v>
      </c>
      <c r="V14" s="63">
        <v>225557.86</v>
      </c>
      <c r="W14" s="61">
        <f t="shared" si="7"/>
        <v>-4.7431732150676753E-3</v>
      </c>
      <c r="Y14" s="89">
        <f t="shared" si="8"/>
        <v>11224423.314999999</v>
      </c>
      <c r="Z14" s="1">
        <f>+'ANEXO 1 - COTIZACIONES'!R13</f>
        <v>210442</v>
      </c>
      <c r="AA14" s="89">
        <f t="shared" si="9"/>
        <v>158572.76999999999</v>
      </c>
      <c r="AB14" s="89">
        <f t="shared" si="10"/>
        <v>9435079.8149999976</v>
      </c>
      <c r="AC14" s="61">
        <f t="shared" si="11"/>
        <v>0.70639637561984969</v>
      </c>
      <c r="AD14" s="61">
        <f t="shared" si="12"/>
        <v>0.48610599048541414</v>
      </c>
    </row>
    <row r="15" spans="1:30" s="1" customFormat="1" ht="16.5" x14ac:dyDescent="0.3">
      <c r="A15" s="7"/>
      <c r="B15" s="66">
        <f>+'ANEXO 1 - COTIZACIONES'!B14</f>
        <v>10</v>
      </c>
      <c r="C15" s="120"/>
      <c r="D15" s="42" t="str">
        <f>+'ANEXO 1 - COTIZACIONES'!D14</f>
        <v>SILLA OPERATIVA</v>
      </c>
      <c r="E15" s="36" t="str">
        <f>+'ANEXO 1 - COTIZACIONES'!E14</f>
        <v>UND</v>
      </c>
      <c r="F15" s="71">
        <f>+'ANEXO 1 - COTIZACIONES'!F14</f>
        <v>50</v>
      </c>
      <c r="G15" s="96">
        <v>36</v>
      </c>
      <c r="H15" s="25">
        <f>+'ANEXO 1 - COTIZACIONES'!X14</f>
        <v>811770</v>
      </c>
      <c r="I15" s="34"/>
      <c r="J15" s="25" cm="1">
        <f t="array" ref="J15:K15">+'ANEXO 2 - HISTORICOS'!J17:K17</f>
        <v>522033.25</v>
      </c>
      <c r="K15" s="35">
        <v>0</v>
      </c>
      <c r="L15" s="31">
        <f t="shared" si="0"/>
        <v>666901.63</v>
      </c>
      <c r="M15" s="31">
        <f t="shared" si="1"/>
        <v>126711.31</v>
      </c>
      <c r="N15" s="86">
        <f t="shared" si="2"/>
        <v>793613</v>
      </c>
      <c r="O15" s="31">
        <f t="shared" si="3"/>
        <v>39680650</v>
      </c>
      <c r="P15" s="31">
        <f t="shared" si="4"/>
        <v>28570068</v>
      </c>
      <c r="S15" s="61">
        <f t="shared" si="5"/>
        <v>0.27750795567140596</v>
      </c>
      <c r="T15" s="61">
        <f t="shared" si="6"/>
        <v>-0.17845987163851829</v>
      </c>
      <c r="V15" s="63">
        <v>862794.27</v>
      </c>
      <c r="W15" s="61">
        <f t="shared" si="7"/>
        <v>-8.0182811135266374E-2</v>
      </c>
      <c r="Y15" s="89">
        <f t="shared" si="8"/>
        <v>39680646.6875</v>
      </c>
      <c r="Z15" s="1">
        <f>+'ANEXO 1 - COTIZACIONES'!R14</f>
        <v>803960</v>
      </c>
      <c r="AA15" s="89">
        <f t="shared" si="9"/>
        <v>662996.625</v>
      </c>
      <c r="AB15" s="89">
        <f t="shared" si="10"/>
        <v>39448299.1875</v>
      </c>
      <c r="AC15" s="61">
        <f t="shared" si="11"/>
        <v>0.22439537305336965</v>
      </c>
      <c r="AD15" s="61">
        <f t="shared" si="12"/>
        <v>0.27002757966087398</v>
      </c>
    </row>
    <row r="16" spans="1:30" s="1" customFormat="1" ht="16.5" x14ac:dyDescent="0.3">
      <c r="A16" s="7"/>
      <c r="B16" s="66">
        <f>+'ANEXO 1 - COTIZACIONES'!B15</f>
        <v>11</v>
      </c>
      <c r="C16" s="120"/>
      <c r="D16" s="40" t="str">
        <f>+'ANEXO 1 - COTIZACIONES'!D15</f>
        <v>CAJONERA METALICA 2x1</v>
      </c>
      <c r="E16" s="36" t="str">
        <f>+'ANEXO 1 - COTIZACIONES'!E15</f>
        <v>UND</v>
      </c>
      <c r="F16" s="71">
        <f>+'ANEXO 1 - COTIZACIONES'!F15</f>
        <v>50</v>
      </c>
      <c r="G16" s="96">
        <v>36</v>
      </c>
      <c r="H16" s="25">
        <f>+'ANEXO 1 - COTIZACIONES'!X15</f>
        <v>675425.34</v>
      </c>
      <c r="I16" s="34"/>
      <c r="J16" s="25" cm="1">
        <f t="array" ref="J16:K16">+'ANEXO 2 - HISTORICOS'!J18:K18</f>
        <v>216309.34</v>
      </c>
      <c r="K16" s="35">
        <v>0</v>
      </c>
      <c r="L16" s="31">
        <f t="shared" si="0"/>
        <v>445867.34</v>
      </c>
      <c r="M16" s="31">
        <f t="shared" si="1"/>
        <v>84714.79</v>
      </c>
      <c r="N16" s="83">
        <f t="shared" si="2"/>
        <v>530582</v>
      </c>
      <c r="O16" s="31">
        <f t="shared" si="3"/>
        <v>26529100</v>
      </c>
      <c r="P16" s="31">
        <f t="shared" si="4"/>
        <v>19100952</v>
      </c>
      <c r="S16" s="61">
        <f t="shared" si="5"/>
        <v>1.0612486728497252</v>
      </c>
      <c r="T16" s="61">
        <f t="shared" si="6"/>
        <v>-0.33987176140000896</v>
      </c>
      <c r="V16" s="63">
        <v>513856.69</v>
      </c>
      <c r="W16" s="61">
        <f t="shared" si="7"/>
        <v>3.2548588595781469E-2</v>
      </c>
      <c r="Y16" s="89">
        <f t="shared" si="8"/>
        <v>26529106.73</v>
      </c>
      <c r="Z16" s="1">
        <f>+'ANEXO 1 - COTIZACIONES'!R15</f>
        <v>555238</v>
      </c>
      <c r="AA16" s="89">
        <f t="shared" si="9"/>
        <v>385773.67</v>
      </c>
      <c r="AB16" s="89">
        <f t="shared" si="10"/>
        <v>22953533.364999998</v>
      </c>
      <c r="AC16" s="61">
        <f t="shared" si="11"/>
        <v>0.75083317635441515</v>
      </c>
      <c r="AD16" s="61">
        <f t="shared" si="12"/>
        <v>0.78343510270985051</v>
      </c>
    </row>
    <row r="17" spans="1:30" s="1" customFormat="1" ht="17.25" thickBot="1" x14ac:dyDescent="0.35">
      <c r="A17" s="7"/>
      <c r="B17" s="66">
        <f>+'ANEXO 1 - COTIZACIONES'!B16</f>
        <v>12</v>
      </c>
      <c r="C17" s="121"/>
      <c r="D17" s="73" t="str">
        <f>+'ANEXO 1 - COTIZACIONES'!D16</f>
        <v>SOPORTES Y HERRAJES</v>
      </c>
      <c r="E17" s="74" t="str">
        <f>+'ANEXO 1 - COTIZACIONES'!E16</f>
        <v>UND</v>
      </c>
      <c r="F17" s="75">
        <f>+'ANEXO 1 - COTIZACIONES'!F16</f>
        <v>50</v>
      </c>
      <c r="G17" s="97">
        <v>36</v>
      </c>
      <c r="H17" s="25">
        <f>+'ANEXO 1 - COTIZACIONES'!X16</f>
        <v>210140.84</v>
      </c>
      <c r="I17" s="34"/>
      <c r="J17" s="25" cm="1">
        <f t="array" ref="J17:K17">+'ANEXO 2 - HISTORICOS'!J19:K19</f>
        <v>120379.45</v>
      </c>
      <c r="K17" s="35">
        <v>0</v>
      </c>
      <c r="L17" s="31">
        <f t="shared" si="0"/>
        <v>165260.15</v>
      </c>
      <c r="M17" s="31">
        <f t="shared" si="1"/>
        <v>31399.43</v>
      </c>
      <c r="N17" s="84">
        <f t="shared" si="2"/>
        <v>196660</v>
      </c>
      <c r="O17" s="31">
        <f t="shared" si="3"/>
        <v>9833000</v>
      </c>
      <c r="P17" s="31">
        <f t="shared" si="4"/>
        <v>7079760</v>
      </c>
      <c r="S17" s="61">
        <f t="shared" si="5"/>
        <v>0.37282692353221414</v>
      </c>
      <c r="T17" s="61">
        <f t="shared" si="6"/>
        <v>-0.21357433424173999</v>
      </c>
      <c r="V17" s="63">
        <v>155174.48000000001</v>
      </c>
      <c r="W17" s="61">
        <f t="shared" si="7"/>
        <v>0.26734756900748113</v>
      </c>
      <c r="Y17" s="89">
        <f t="shared" si="8"/>
        <v>9832978.6274999976</v>
      </c>
      <c r="Z17" s="1">
        <f>+'ANEXO 1 - COTIZACIONES'!R16</f>
        <v>116000</v>
      </c>
      <c r="AA17" s="89">
        <f t="shared" si="9"/>
        <v>118189.72500000001</v>
      </c>
      <c r="AB17" s="89">
        <f t="shared" si="10"/>
        <v>7032288.6374999993</v>
      </c>
      <c r="AC17" s="61">
        <f t="shared" si="11"/>
        <v>0.77799584523950771</v>
      </c>
      <c r="AD17" s="61">
        <f t="shared" si="12"/>
        <v>-1.819018943847972E-2</v>
      </c>
    </row>
    <row r="18" spans="1:30" s="1" customFormat="1" ht="16.5" customHeight="1" x14ac:dyDescent="0.3">
      <c r="A18" s="7"/>
      <c r="B18" s="66">
        <f>+'ANEXO 1 - COTIZACIONES'!B17</f>
        <v>13</v>
      </c>
      <c r="C18" s="123" t="str">
        <f>+'ANEXO 1 - COTIZACIONES'!C17</f>
        <v>TIPOLOGÍA INVESTIGADOR</v>
      </c>
      <c r="D18" s="68" t="str">
        <f>+'ANEXO 1 - COTIZACIONES'!D17</f>
        <v>SUPERFICIE RECTA DE 1,50 X 0,60M</v>
      </c>
      <c r="E18" s="69" t="str">
        <f>+'ANEXO 1 - COTIZACIONES'!E17</f>
        <v>UND</v>
      </c>
      <c r="F18" s="76">
        <f>+'ANEXO 1 - COTIZACIONES'!F17</f>
        <v>25</v>
      </c>
      <c r="G18" s="95">
        <v>18</v>
      </c>
      <c r="H18" s="25">
        <f>+'ANEXO 1 - COTIZACIONES'!X17</f>
        <v>401334.5</v>
      </c>
      <c r="I18" s="34"/>
      <c r="J18" s="25" cm="1">
        <f t="array" ref="J18:K18">+'ANEXO 2 - HISTORICOS'!J20:K20</f>
        <v>178053.7</v>
      </c>
      <c r="K18" s="35">
        <v>0</v>
      </c>
      <c r="L18" s="31">
        <f t="shared" si="0"/>
        <v>289694.09999999998</v>
      </c>
      <c r="M18" s="31">
        <f t="shared" si="1"/>
        <v>55041.88</v>
      </c>
      <c r="N18" s="79">
        <f t="shared" si="2"/>
        <v>344736</v>
      </c>
      <c r="O18" s="31">
        <f t="shared" si="3"/>
        <v>8618400</v>
      </c>
      <c r="P18" s="31">
        <f t="shared" si="4"/>
        <v>6205248</v>
      </c>
      <c r="S18" s="61">
        <f t="shared" si="5"/>
        <v>0.62700410044834776</v>
      </c>
      <c r="T18" s="61">
        <f t="shared" si="6"/>
        <v>-0.2781729455105405</v>
      </c>
      <c r="V18" s="63">
        <v>406124.31</v>
      </c>
      <c r="W18" s="61">
        <f t="shared" si="7"/>
        <v>-0.15115645256497945</v>
      </c>
      <c r="Y18" s="89">
        <f t="shared" si="8"/>
        <v>8618399.4749999978</v>
      </c>
      <c r="Z18" s="1">
        <f>+'ANEXO 1 - COTIZACIONES'!R17</f>
        <v>347966</v>
      </c>
      <c r="AA18" s="89">
        <f t="shared" si="9"/>
        <v>263009.84999999998</v>
      </c>
      <c r="AB18" s="89">
        <f t="shared" si="10"/>
        <v>7824543.0374999987</v>
      </c>
      <c r="AC18" s="61">
        <f t="shared" si="11"/>
        <v>0.52592954218254584</v>
      </c>
      <c r="AD18" s="61">
        <f t="shared" si="12"/>
        <v>0.47713779606938789</v>
      </c>
    </row>
    <row r="19" spans="1:30" s="1" customFormat="1" ht="16.5" x14ac:dyDescent="0.3">
      <c r="A19" s="7"/>
      <c r="B19" s="66">
        <f>+'ANEXO 1 - COTIZACIONES'!B18</f>
        <v>14</v>
      </c>
      <c r="C19" s="120"/>
      <c r="D19" s="42" t="str">
        <f>+'ANEXO 1 - COTIZACIONES'!D18</f>
        <v>SILLA OPERATIVA</v>
      </c>
      <c r="E19" s="36" t="str">
        <f>+'ANEXO 1 - COTIZACIONES'!E18</f>
        <v>UND</v>
      </c>
      <c r="F19" s="71">
        <f>+'ANEXO 1 - COTIZACIONES'!F18</f>
        <v>25</v>
      </c>
      <c r="G19" s="96">
        <v>18</v>
      </c>
      <c r="H19" s="25">
        <f>+'ANEXO 1 - COTIZACIONES'!X18</f>
        <v>811770</v>
      </c>
      <c r="I19" s="34"/>
      <c r="J19" s="25" cm="1">
        <f t="array" ref="J19:K19">+'ANEXO 2 - HISTORICOS'!J21:K21</f>
        <v>522033.25</v>
      </c>
      <c r="K19" s="35">
        <v>0</v>
      </c>
      <c r="L19" s="31">
        <f t="shared" si="0"/>
        <v>666901.63</v>
      </c>
      <c r="M19" s="31">
        <f t="shared" si="1"/>
        <v>126711.31</v>
      </c>
      <c r="N19" s="86">
        <f t="shared" si="2"/>
        <v>793613</v>
      </c>
      <c r="O19" s="31">
        <f t="shared" si="3"/>
        <v>19840325</v>
      </c>
      <c r="P19" s="31">
        <f t="shared" si="4"/>
        <v>14285034</v>
      </c>
      <c r="S19" s="61">
        <f t="shared" si="5"/>
        <v>0.27750795567140596</v>
      </c>
      <c r="T19" s="61">
        <f t="shared" si="6"/>
        <v>-0.17845987163851829</v>
      </c>
      <c r="V19" s="63">
        <v>862794.27</v>
      </c>
      <c r="W19" s="61">
        <f t="shared" si="7"/>
        <v>-8.0182811135266374E-2</v>
      </c>
      <c r="Y19" s="89">
        <f t="shared" si="8"/>
        <v>19840323.34375</v>
      </c>
      <c r="Z19" s="1">
        <f>+'ANEXO 1 - COTIZACIONES'!R18</f>
        <v>803960</v>
      </c>
      <c r="AA19" s="89">
        <f t="shared" si="9"/>
        <v>662996.625</v>
      </c>
      <c r="AB19" s="89">
        <f t="shared" si="10"/>
        <v>19724149.59375</v>
      </c>
      <c r="AC19" s="61">
        <f t="shared" si="11"/>
        <v>0.22439537305336965</v>
      </c>
      <c r="AD19" s="61">
        <f t="shared" si="12"/>
        <v>0.27002757966087398</v>
      </c>
    </row>
    <row r="20" spans="1:30" s="1" customFormat="1" ht="16.5" x14ac:dyDescent="0.3">
      <c r="A20" s="7"/>
      <c r="B20" s="66">
        <f>+'ANEXO 1 - COTIZACIONES'!B19</f>
        <v>15</v>
      </c>
      <c r="C20" s="120"/>
      <c r="D20" s="40" t="str">
        <f>+'ANEXO 1 - COTIZACIONES'!D19</f>
        <v>CAJONERA METALICA 2x1</v>
      </c>
      <c r="E20" s="36" t="str">
        <f>+'ANEXO 1 - COTIZACIONES'!E19</f>
        <v>UND</v>
      </c>
      <c r="F20" s="71">
        <f>+'ANEXO 1 - COTIZACIONES'!F19</f>
        <v>25</v>
      </c>
      <c r="G20" s="96">
        <v>18</v>
      </c>
      <c r="H20" s="25">
        <f>+'ANEXO 1 - COTIZACIONES'!X19</f>
        <v>675425.34</v>
      </c>
      <c r="I20" s="34"/>
      <c r="J20" s="25" cm="1">
        <f t="array" ref="J20:K20">+'ANEXO 2 - HISTORICOS'!J22:K22</f>
        <v>216309.34</v>
      </c>
      <c r="K20" s="35">
        <v>0</v>
      </c>
      <c r="L20" s="31">
        <f t="shared" si="0"/>
        <v>445867.34</v>
      </c>
      <c r="M20" s="31">
        <f t="shared" si="1"/>
        <v>84714.79</v>
      </c>
      <c r="N20" s="83">
        <f t="shared" si="2"/>
        <v>530582</v>
      </c>
      <c r="O20" s="31">
        <f t="shared" si="3"/>
        <v>13264550</v>
      </c>
      <c r="P20" s="31">
        <f t="shared" si="4"/>
        <v>9550476</v>
      </c>
      <c r="S20" s="61">
        <f t="shared" si="5"/>
        <v>1.0612486728497252</v>
      </c>
      <c r="T20" s="61">
        <f t="shared" si="6"/>
        <v>-0.33987176140000896</v>
      </c>
      <c r="V20" s="63">
        <v>513856.69</v>
      </c>
      <c r="W20" s="61">
        <f t="shared" si="7"/>
        <v>3.2548588595781469E-2</v>
      </c>
      <c r="Y20" s="89">
        <f t="shared" si="8"/>
        <v>13264553.365</v>
      </c>
      <c r="Z20" s="1">
        <f>+'ANEXO 1 - COTIZACIONES'!R19</f>
        <v>555238</v>
      </c>
      <c r="AA20" s="89">
        <f t="shared" si="9"/>
        <v>385773.67</v>
      </c>
      <c r="AB20" s="89">
        <f t="shared" si="10"/>
        <v>11476766.682499999</v>
      </c>
      <c r="AC20" s="61">
        <f t="shared" si="11"/>
        <v>0.75083317635441515</v>
      </c>
      <c r="AD20" s="61">
        <f t="shared" si="12"/>
        <v>0.78343510270985051</v>
      </c>
    </row>
    <row r="21" spans="1:30" s="1" customFormat="1" ht="17.25" thickBot="1" x14ac:dyDescent="0.35">
      <c r="A21" s="7"/>
      <c r="B21" s="66">
        <f>+'ANEXO 1 - COTIZACIONES'!B20</f>
        <v>16</v>
      </c>
      <c r="C21" s="121"/>
      <c r="D21" s="73" t="str">
        <f>+'ANEXO 1 - COTIZACIONES'!D20</f>
        <v>SOPORTES Y HERRAJES</v>
      </c>
      <c r="E21" s="74" t="str">
        <f>+'ANEXO 1 - COTIZACIONES'!E20</f>
        <v>UND</v>
      </c>
      <c r="F21" s="75">
        <f>+'ANEXO 1 - COTIZACIONES'!F20</f>
        <v>25</v>
      </c>
      <c r="G21" s="97">
        <v>18</v>
      </c>
      <c r="H21" s="25">
        <f>+'ANEXO 1 - COTIZACIONES'!X20</f>
        <v>209000</v>
      </c>
      <c r="I21" s="34"/>
      <c r="J21" s="25" cm="1">
        <f t="array" ref="J21:K21">+'ANEXO 2 - HISTORICOS'!J23:K23</f>
        <v>103929.59</v>
      </c>
      <c r="K21" s="35">
        <v>0</v>
      </c>
      <c r="L21" s="31">
        <f t="shared" si="0"/>
        <v>156464.79999999999</v>
      </c>
      <c r="M21" s="31">
        <f t="shared" si="1"/>
        <v>29728.31</v>
      </c>
      <c r="N21" s="84">
        <f t="shared" si="2"/>
        <v>186193</v>
      </c>
      <c r="O21" s="31">
        <f t="shared" si="3"/>
        <v>4654825</v>
      </c>
      <c r="P21" s="31">
        <f t="shared" si="4"/>
        <v>3351474</v>
      </c>
      <c r="S21" s="61">
        <f t="shared" si="5"/>
        <v>0.50548847541879072</v>
      </c>
      <c r="T21" s="61">
        <f t="shared" si="6"/>
        <v>-0.25136459330143546</v>
      </c>
      <c r="V21" s="63">
        <v>142750.51</v>
      </c>
      <c r="W21" s="61">
        <f t="shared" si="7"/>
        <v>0.30432458700147547</v>
      </c>
      <c r="Y21" s="89">
        <f t="shared" si="8"/>
        <v>4654827.6512499992</v>
      </c>
      <c r="Z21" s="1">
        <f>+'ANEXO 1 - COTIZACIONES'!R20</f>
        <v>116000</v>
      </c>
      <c r="AA21" s="89">
        <f t="shared" si="9"/>
        <v>109964.795</v>
      </c>
      <c r="AB21" s="89">
        <f t="shared" si="10"/>
        <v>3271452.6512499996</v>
      </c>
      <c r="AC21" s="61">
        <f t="shared" si="11"/>
        <v>0.90060828104121882</v>
      </c>
      <c r="AD21" s="61">
        <f t="shared" si="12"/>
        <v>5.8070131903724453E-2</v>
      </c>
    </row>
    <row r="22" spans="1:30" s="1" customFormat="1" ht="16.5" x14ac:dyDescent="0.3">
      <c r="A22" s="7"/>
      <c r="B22" s="8">
        <f>+'ANEXO 1 - COTIZACIONES'!B21</f>
        <v>17</v>
      </c>
      <c r="C22" s="124" t="str">
        <f>+'ANEXO 1 - COTIZACIONES'!C21</f>
        <v>SILLA OPERATIVA</v>
      </c>
      <c r="D22" s="124"/>
      <c r="E22" s="77" t="str">
        <f>+'ANEXO 1 - COTIZACIONES'!E21</f>
        <v>UND</v>
      </c>
      <c r="F22" s="78">
        <f>+'ANEXO 1 - COTIZACIONES'!F21</f>
        <v>35</v>
      </c>
      <c r="G22" s="98">
        <v>26</v>
      </c>
      <c r="H22" s="25">
        <f>+'ANEXO 1 - COTIZACIONES'!X21</f>
        <v>811770</v>
      </c>
      <c r="I22" s="34"/>
      <c r="J22" s="25" cm="1">
        <f t="array" ref="J22:K22">+'ANEXO 2 - HISTORICOS'!J24:K24</f>
        <v>522033.25</v>
      </c>
      <c r="K22" s="35">
        <v>0</v>
      </c>
      <c r="L22" s="31">
        <f t="shared" si="0"/>
        <v>666901.63</v>
      </c>
      <c r="M22" s="31">
        <f t="shared" si="1"/>
        <v>126711.31</v>
      </c>
      <c r="N22" s="91">
        <f t="shared" si="2"/>
        <v>793613</v>
      </c>
      <c r="O22" s="31">
        <f t="shared" si="3"/>
        <v>27776455</v>
      </c>
      <c r="P22" s="31">
        <f t="shared" si="4"/>
        <v>20633938</v>
      </c>
      <c r="S22" s="61">
        <f t="shared" si="5"/>
        <v>0.27750795567140596</v>
      </c>
      <c r="T22" s="61">
        <f t="shared" si="6"/>
        <v>-0.17845987163851829</v>
      </c>
      <c r="V22" s="1">
        <v>862794.27</v>
      </c>
      <c r="W22" s="61">
        <f t="shared" si="7"/>
        <v>-8.0182811135266374E-2</v>
      </c>
      <c r="Y22" s="89">
        <f t="shared" si="8"/>
        <v>27776452.681249999</v>
      </c>
      <c r="Z22" s="1">
        <f>+'ANEXO 1 - COTIZACIONES'!R21</f>
        <v>803960</v>
      </c>
      <c r="AA22" s="89">
        <f t="shared" si="9"/>
        <v>662996.625</v>
      </c>
      <c r="AB22" s="89">
        <f t="shared" si="10"/>
        <v>27613809.431249999</v>
      </c>
      <c r="AC22" s="61">
        <f t="shared" si="11"/>
        <v>0.22439537305336965</v>
      </c>
      <c r="AD22" s="61">
        <f t="shared" si="12"/>
        <v>0.27002757966087398</v>
      </c>
    </row>
    <row r="23" spans="1:30" s="1" customFormat="1" ht="16.5" x14ac:dyDescent="0.3">
      <c r="A23" s="7"/>
      <c r="B23" s="8">
        <f>+'ANEXO 1 - COTIZACIONES'!B22</f>
        <v>18</v>
      </c>
      <c r="C23" s="47" t="str">
        <f>+'ANEXO 1 - COTIZACIONES'!C22</f>
        <v>PANEL 1/2 ALTURA MIXTO 0,60 ALTURA 1.35</v>
      </c>
      <c r="D23" s="47"/>
      <c r="E23" s="45" t="str">
        <f>+'ANEXO 1 - COTIZACIONES'!E22</f>
        <v>UND</v>
      </c>
      <c r="F23" s="46">
        <f>+'ANEXO 1 - COTIZACIONES'!F22</f>
        <v>15</v>
      </c>
      <c r="G23" s="99">
        <v>9</v>
      </c>
      <c r="H23" s="25">
        <f>+'ANEXO 1 - COTIZACIONES'!X22</f>
        <v>492304.5</v>
      </c>
      <c r="I23" s="34"/>
      <c r="J23" s="25" cm="1">
        <f t="array" ref="J23:K23">+'ANEXO 2 - HISTORICOS'!J25:K25</f>
        <v>332560.64000000001</v>
      </c>
      <c r="K23" s="35">
        <v>0</v>
      </c>
      <c r="L23" s="31">
        <f t="shared" si="0"/>
        <v>412432.57</v>
      </c>
      <c r="M23" s="31">
        <f t="shared" si="1"/>
        <v>78362.19</v>
      </c>
      <c r="N23" s="92">
        <f t="shared" si="2"/>
        <v>490795</v>
      </c>
      <c r="O23" s="31">
        <f t="shared" si="3"/>
        <v>7361925</v>
      </c>
      <c r="P23" s="31">
        <f t="shared" si="4"/>
        <v>4417155</v>
      </c>
      <c r="S23" s="61">
        <f t="shared" si="5"/>
        <v>0.24017252913634035</v>
      </c>
      <c r="T23" s="61">
        <f t="shared" si="6"/>
        <v>-0.16224090984339978</v>
      </c>
      <c r="W23" s="61" t="e">
        <f t="shared" si="7"/>
        <v>#DIV/0!</v>
      </c>
      <c r="Y23" s="89">
        <f t="shared" si="8"/>
        <v>7361921.374499999</v>
      </c>
      <c r="Z23" s="1">
        <f>+'ANEXO 1 - COTIZACIONES'!R22</f>
        <v>422000</v>
      </c>
      <c r="AA23" s="89">
        <f t="shared" si="9"/>
        <v>377280.32</v>
      </c>
      <c r="AB23" s="89">
        <f t="shared" si="10"/>
        <v>6734453.7119999994</v>
      </c>
      <c r="AC23" s="61">
        <f t="shared" si="11"/>
        <v>0.30487723292855562</v>
      </c>
      <c r="AD23" s="61">
        <f t="shared" si="12"/>
        <v>0.13447075396535202</v>
      </c>
    </row>
    <row r="24" spans="1:30" s="1" customFormat="1" ht="16.5" x14ac:dyDescent="0.3">
      <c r="A24" s="7"/>
      <c r="B24" s="8">
        <f>+'ANEXO 1 - COTIZACIONES'!B23</f>
        <v>19</v>
      </c>
      <c r="C24" s="48" t="str">
        <f>+'ANEXO 1 - COTIZACIONES'!C23</f>
        <v>PANEL 1/2 ALTURA MIXTO 1,50 ALTURA 1,35</v>
      </c>
      <c r="D24" s="48"/>
      <c r="E24" s="45" t="str">
        <f>+'ANEXO 1 - COTIZACIONES'!E23</f>
        <v>UND</v>
      </c>
      <c r="F24" s="49">
        <f>+'ANEXO 1 - COTIZACIONES'!F23</f>
        <v>35</v>
      </c>
      <c r="G24" s="100">
        <v>24</v>
      </c>
      <c r="H24" s="25">
        <f>+'ANEXO 1 - COTIZACIONES'!X23</f>
        <v>1236068.25</v>
      </c>
      <c r="I24" s="34"/>
      <c r="J24" s="25" cm="1">
        <f t="array" ref="J24:K24">+'ANEXO 2 - HISTORICOS'!J26:K26</f>
        <v>546998.82999999996</v>
      </c>
      <c r="K24" s="35">
        <v>0</v>
      </c>
      <c r="L24" s="31">
        <f t="shared" si="0"/>
        <v>891533.54</v>
      </c>
      <c r="M24" s="31">
        <f t="shared" si="1"/>
        <v>169391.37</v>
      </c>
      <c r="N24" s="92">
        <f t="shared" si="2"/>
        <v>1060925</v>
      </c>
      <c r="O24" s="31">
        <f t="shared" si="3"/>
        <v>37132375</v>
      </c>
      <c r="P24" s="31">
        <f t="shared" si="4"/>
        <v>25462200</v>
      </c>
      <c r="S24" s="61">
        <f t="shared" si="5"/>
        <v>0.62986370555856608</v>
      </c>
      <c r="T24" s="61">
        <f t="shared" si="6"/>
        <v>-0.27873437409301627</v>
      </c>
      <c r="V24" s="1">
        <v>1416384.32</v>
      </c>
      <c r="W24" s="61">
        <f t="shared" si="7"/>
        <v>-0.25096247888426215</v>
      </c>
      <c r="Y24" s="89">
        <f t="shared" si="8"/>
        <v>37132371.941</v>
      </c>
      <c r="Z24" s="1">
        <f>+'ANEXO 1 - COTIZACIONES'!R23</f>
        <v>1171715</v>
      </c>
      <c r="AA24" s="89">
        <f t="shared" si="9"/>
        <v>859356.91500000004</v>
      </c>
      <c r="AB24" s="89">
        <f t="shared" si="10"/>
        <v>35792215.509750001</v>
      </c>
      <c r="AC24" s="61">
        <f t="shared" si="11"/>
        <v>0.43836423309632644</v>
      </c>
      <c r="AD24" s="61">
        <f t="shared" si="12"/>
        <v>0.57103976803752965</v>
      </c>
    </row>
    <row r="25" spans="1:30" s="1" customFormat="1" ht="16.5" x14ac:dyDescent="0.3">
      <c r="A25" s="7"/>
      <c r="B25" s="8">
        <f>+'ANEXO 1 - COTIZACIONES'!B24</f>
        <v>20</v>
      </c>
      <c r="C25" s="117" t="str">
        <f>+'ANEXO 1 - COTIZACIONES'!C24</f>
        <v>ARCHIVADOR 0.90X0.50M H=2.05 (A1)</v>
      </c>
      <c r="D25" s="118"/>
      <c r="E25" s="45" t="str">
        <f>+'ANEXO 1 - COTIZACIONES'!E24</f>
        <v>UND</v>
      </c>
      <c r="F25" s="51">
        <f>+'ANEXO 1 - COTIZACIONES'!F24</f>
        <v>60</v>
      </c>
      <c r="G25" s="101">
        <v>47</v>
      </c>
      <c r="H25" s="25">
        <f>+'ANEXO 1 - COTIZACIONES'!X24</f>
        <v>2553226.67</v>
      </c>
      <c r="I25" s="34"/>
      <c r="J25" s="25" cm="1">
        <f t="array" ref="J25:K25">+'ANEXO 2 - HISTORICOS'!J27:K27</f>
        <v>1273213.57</v>
      </c>
      <c r="K25" s="35">
        <v>0</v>
      </c>
      <c r="L25" s="31">
        <f t="shared" ref="L25:L27" si="13">+ROUND(AVERAGE(H25,J25),2)</f>
        <v>1913220.12</v>
      </c>
      <c r="M25" s="31">
        <f t="shared" ref="M25:M27" si="14">ROUND(L25*19%,2)</f>
        <v>363511.82</v>
      </c>
      <c r="N25" s="92">
        <f t="shared" si="2"/>
        <v>2276732</v>
      </c>
      <c r="O25" s="31">
        <f t="shared" ref="O25:O27" si="15">+N25*F25</f>
        <v>136603920</v>
      </c>
      <c r="P25" s="31">
        <f t="shared" si="4"/>
        <v>107006404</v>
      </c>
      <c r="S25" s="61">
        <f t="shared" si="5"/>
        <v>0.50267022366090552</v>
      </c>
      <c r="T25" s="61">
        <f t="shared" si="6"/>
        <v>-0.25066577813868751</v>
      </c>
      <c r="V25" s="1">
        <v>2377803.59</v>
      </c>
      <c r="W25" s="61">
        <f t="shared" si="7"/>
        <v>-4.2506282026430919E-2</v>
      </c>
      <c r="Y25" s="89">
        <f t="shared" si="8"/>
        <v>136603916.56799999</v>
      </c>
      <c r="Z25" s="1">
        <f>+'ANEXO 1 - COTIZACIONES'!R24</f>
        <v>2100840</v>
      </c>
      <c r="AA25" s="89">
        <f t="shared" si="9"/>
        <v>1687026.7850000001</v>
      </c>
      <c r="AB25" s="89">
        <f t="shared" si="10"/>
        <v>120453712.449</v>
      </c>
      <c r="AC25" s="61">
        <f t="shared" si="11"/>
        <v>0.51344761843837561</v>
      </c>
      <c r="AD25" s="61">
        <f t="shared" si="12"/>
        <v>0.32501476951741881</v>
      </c>
    </row>
    <row r="26" spans="1:30" s="1" customFormat="1" ht="16.5" x14ac:dyDescent="0.3">
      <c r="A26" s="7"/>
      <c r="B26" s="8">
        <f>+'ANEXO 1 - COTIZACIONES'!B25</f>
        <v>21</v>
      </c>
      <c r="C26" s="117" t="str">
        <f>+'ANEXO 1 - COTIZACIONES'!C25</f>
        <v>ARCHIVADOR 0.75X0.50M H=2.05 (A2)</v>
      </c>
      <c r="D26" s="118"/>
      <c r="E26" s="45" t="str">
        <f>+'ANEXO 1 - COTIZACIONES'!E25</f>
        <v>UND</v>
      </c>
      <c r="F26" s="51">
        <f>+'ANEXO 1 - COTIZACIONES'!F25</f>
        <v>20</v>
      </c>
      <c r="G26" s="101">
        <v>8</v>
      </c>
      <c r="H26" s="25">
        <f>+'ANEXO 1 - COTIZACIONES'!X25</f>
        <v>1936554.25</v>
      </c>
      <c r="I26" s="34"/>
      <c r="J26" s="25" cm="1">
        <f t="array" ref="J26:K26">+'ANEXO 2 - HISTORICOS'!J28:K28</f>
        <v>1096643.3</v>
      </c>
      <c r="K26" s="35">
        <v>0</v>
      </c>
      <c r="L26" s="31">
        <f t="shared" si="13"/>
        <v>1516598.78</v>
      </c>
      <c r="M26" s="31">
        <f t="shared" si="14"/>
        <v>288153.77</v>
      </c>
      <c r="N26" s="92">
        <f t="shared" si="2"/>
        <v>1804753</v>
      </c>
      <c r="O26" s="31">
        <f t="shared" si="15"/>
        <v>36095060</v>
      </c>
      <c r="P26" s="31">
        <f t="shared" si="4"/>
        <v>14438024</v>
      </c>
      <c r="S26" s="61">
        <f t="shared" si="5"/>
        <v>0.38294628709262168</v>
      </c>
      <c r="T26" s="61">
        <f t="shared" si="6"/>
        <v>-0.21685706455163856</v>
      </c>
      <c r="W26" s="61" t="e">
        <f t="shared" si="7"/>
        <v>#DIV/0!</v>
      </c>
      <c r="Y26" s="89">
        <f t="shared" si="8"/>
        <v>36095050.844999999</v>
      </c>
      <c r="Z26" s="1">
        <f>+'ANEXO 1 - COTIZACIONES'!R25</f>
        <v>1848739</v>
      </c>
      <c r="AA26" s="89">
        <f t="shared" si="9"/>
        <v>1472691.15</v>
      </c>
      <c r="AB26" s="89">
        <f t="shared" si="10"/>
        <v>35050049.369999997</v>
      </c>
      <c r="AC26" s="61">
        <f t="shared" si="11"/>
        <v>0.31497649727846877</v>
      </c>
      <c r="AD26" s="61">
        <f t="shared" si="12"/>
        <v>0.34290808141535156</v>
      </c>
    </row>
    <row r="27" spans="1:30" s="1" customFormat="1" ht="41.25" customHeight="1" x14ac:dyDescent="0.3">
      <c r="A27" s="7"/>
      <c r="B27" s="8">
        <f>+'ANEXO 1 - COTIZACIONES'!B26</f>
        <v>22</v>
      </c>
      <c r="C27" s="117" t="str">
        <f>+'ANEXO 1 - COTIZACIONES'!C26</f>
        <v>ARCHIVADOR 0.75X0.50M H=0.70 CON SUPERFICIE RECTA DE 0,75 X 0,60M (A3)</v>
      </c>
      <c r="D27" s="118">
        <f>+'ANEXO 1 - COTIZACIONES'!D26</f>
        <v>0</v>
      </c>
      <c r="E27" s="45" t="str">
        <f>+'ANEXO 1 - COTIZACIONES'!E26</f>
        <v>UND</v>
      </c>
      <c r="F27" s="46">
        <f>+'ANEXO 1 - COTIZACIONES'!F26</f>
        <v>40</v>
      </c>
      <c r="G27" s="99">
        <v>33</v>
      </c>
      <c r="H27" s="25">
        <f>+'ANEXO 1 - COTIZACIONES'!X26</f>
        <v>1394847.34</v>
      </c>
      <c r="I27" s="34"/>
      <c r="J27" s="25" cm="1">
        <f t="array" ref="J27:K27">+'ANEXO 2 - HISTORICOS'!J29:K29</f>
        <v>623511.05000000005</v>
      </c>
      <c r="K27" s="35">
        <v>0</v>
      </c>
      <c r="L27" s="31">
        <f t="shared" si="13"/>
        <v>1009179.2</v>
      </c>
      <c r="M27" s="31">
        <f t="shared" si="14"/>
        <v>191744.05</v>
      </c>
      <c r="N27" s="92">
        <f t="shared" si="2"/>
        <v>1200923</v>
      </c>
      <c r="O27" s="31">
        <f t="shared" si="15"/>
        <v>48036920</v>
      </c>
      <c r="P27" s="31">
        <f t="shared" si="4"/>
        <v>39630459</v>
      </c>
      <c r="S27" s="61">
        <f t="shared" si="5"/>
        <v>0.61854260642213132</v>
      </c>
      <c r="T27" s="61">
        <f t="shared" si="6"/>
        <v>-0.27649487434230624</v>
      </c>
      <c r="V27" s="1">
        <v>889386.52</v>
      </c>
      <c r="W27" s="61">
        <f t="shared" si="7"/>
        <v>0.35028243963040939</v>
      </c>
      <c r="Y27" s="89">
        <f t="shared" si="8"/>
        <v>48036929.682000004</v>
      </c>
      <c r="Z27" s="1">
        <f>+'ANEXO 1 - COTIZACIONES'!R26</f>
        <v>1176471</v>
      </c>
      <c r="AA27" s="89">
        <f t="shared" si="9"/>
        <v>899991.02500000002</v>
      </c>
      <c r="AB27" s="89">
        <f t="shared" si="10"/>
        <v>42839572.789999999</v>
      </c>
      <c r="AC27" s="61">
        <f>+H27/AA27-1</f>
        <v>0.5498458331848366</v>
      </c>
      <c r="AD27" s="61">
        <f t="shared" si="12"/>
        <v>0.44342433867050146</v>
      </c>
    </row>
    <row r="28" spans="1:30" ht="32.25" customHeight="1" x14ac:dyDescent="0.3">
      <c r="A28" s="9"/>
      <c r="B28" s="125" t="s">
        <v>1</v>
      </c>
      <c r="C28" s="126"/>
      <c r="D28" s="126"/>
      <c r="E28" s="126"/>
      <c r="F28" s="127"/>
      <c r="H28" s="32"/>
      <c r="I28" s="32"/>
      <c r="J28" s="32">
        <f>SUM(J6:J27)</f>
        <v>8012387.9299999997</v>
      </c>
      <c r="K28" s="32"/>
      <c r="L28" s="32"/>
      <c r="M28" s="32"/>
      <c r="N28" s="32"/>
      <c r="O28" s="33">
        <f>SUM(O6:O27)</f>
        <v>548363255</v>
      </c>
      <c r="P28" s="33">
        <f>SUM(P6:P27)</f>
        <v>389872956</v>
      </c>
      <c r="Y28" s="90">
        <f>SUM(Y6:Y27)</f>
        <v>548363290.21424997</v>
      </c>
      <c r="AB28" s="90">
        <f>SUM(AB6:AB27)</f>
        <v>495606796.70250005</v>
      </c>
      <c r="AD28" s="61">
        <f t="shared" si="12"/>
        <v>-1</v>
      </c>
    </row>
    <row r="29" spans="1:30" ht="16.5" x14ac:dyDescent="0.3">
      <c r="A29" s="9"/>
      <c r="B29" s="11"/>
      <c r="C29" s="11"/>
      <c r="D29" s="11"/>
      <c r="E29" s="11"/>
      <c r="F29" s="12"/>
      <c r="L29" s="9"/>
      <c r="M29" s="9"/>
      <c r="N29" s="9"/>
      <c r="O29" s="9"/>
      <c r="Y29" s="32">
        <f>+Y28-O28</f>
        <v>35.214249968528748</v>
      </c>
      <c r="AD29" s="61" t="e">
        <f t="shared" si="12"/>
        <v>#DIV/0!</v>
      </c>
    </row>
    <row r="30" spans="1:30" x14ac:dyDescent="0.25">
      <c r="O30" s="64"/>
      <c r="P30" s="32"/>
      <c r="AB30" s="65">
        <f>+AB28-O30</f>
        <v>495606796.70250005</v>
      </c>
    </row>
    <row r="31" spans="1:30" ht="14.25" x14ac:dyDescent="0.2">
      <c r="B31" s="20" t="s">
        <v>14</v>
      </c>
      <c r="C31" s="20"/>
      <c r="D31" s="20"/>
      <c r="E31" s="21"/>
      <c r="F31" s="21"/>
      <c r="G31" s="21"/>
      <c r="H31" s="21"/>
      <c r="I31" s="21"/>
      <c r="J31" s="21"/>
      <c r="K31" s="21"/>
      <c r="L31" s="21"/>
    </row>
    <row r="32" spans="1:30" ht="28.5" customHeight="1" x14ac:dyDescent="0.2">
      <c r="B32" s="128" t="s">
        <v>56</v>
      </c>
      <c r="C32" s="128"/>
      <c r="D32" s="128"/>
      <c r="E32" s="128"/>
      <c r="F32" s="128"/>
      <c r="G32" s="128"/>
      <c r="H32" s="128"/>
      <c r="I32" s="128"/>
      <c r="J32" s="128"/>
      <c r="K32" s="128"/>
      <c r="L32" s="128"/>
      <c r="O32" s="65"/>
      <c r="P32" s="32"/>
    </row>
    <row r="33" spans="2:12" ht="39.75" customHeight="1" x14ac:dyDescent="0.2">
      <c r="B33" s="128" t="s">
        <v>57</v>
      </c>
      <c r="C33" s="128"/>
      <c r="D33" s="128"/>
      <c r="E33" s="128"/>
      <c r="F33" s="128"/>
      <c r="G33" s="128"/>
      <c r="H33" s="128"/>
      <c r="I33" s="128"/>
      <c r="J33" s="128"/>
      <c r="K33" s="128"/>
      <c r="L33" s="128"/>
    </row>
    <row r="34" spans="2:12" ht="30.75" customHeight="1" x14ac:dyDescent="0.2">
      <c r="B34" s="128" t="s">
        <v>61</v>
      </c>
      <c r="C34" s="128"/>
      <c r="D34" s="128"/>
      <c r="E34" s="128"/>
      <c r="F34" s="128"/>
      <c r="G34" s="128"/>
      <c r="H34" s="128"/>
      <c r="I34" s="128"/>
      <c r="J34" s="128"/>
      <c r="K34" s="128"/>
      <c r="L34" s="128"/>
    </row>
    <row r="35" spans="2:12" ht="15" customHeight="1" x14ac:dyDescent="0.25">
      <c r="B35" s="129"/>
      <c r="C35" s="129"/>
      <c r="D35" s="129"/>
      <c r="E35" s="22"/>
      <c r="F35" s="22"/>
      <c r="G35" s="21"/>
      <c r="H35" s="21"/>
      <c r="I35" s="21"/>
      <c r="J35" s="21"/>
      <c r="K35" s="21"/>
      <c r="L35" s="21"/>
    </row>
    <row r="36" spans="2:12" x14ac:dyDescent="0.25">
      <c r="B36" s="16"/>
      <c r="C36" s="16"/>
      <c r="D36" s="16"/>
      <c r="E36" s="16"/>
      <c r="F36" s="16"/>
      <c r="G36" s="23"/>
      <c r="H36" s="23"/>
      <c r="I36" s="23"/>
      <c r="J36" s="23"/>
      <c r="K36" s="23"/>
      <c r="L36" s="23"/>
    </row>
    <row r="37" spans="2:12" x14ac:dyDescent="0.25">
      <c r="B37" s="16"/>
      <c r="C37" s="16"/>
      <c r="D37" s="16"/>
      <c r="E37" s="16"/>
      <c r="F37" s="16"/>
      <c r="G37" s="23"/>
      <c r="H37" s="23"/>
      <c r="I37" s="23"/>
      <c r="J37" s="23"/>
      <c r="K37" s="23"/>
      <c r="L37" s="23"/>
    </row>
    <row r="38" spans="2:12" x14ac:dyDescent="0.25">
      <c r="B38" s="16"/>
      <c r="C38" s="16"/>
      <c r="D38" s="16"/>
      <c r="E38" s="16"/>
      <c r="F38" s="16"/>
      <c r="G38" s="23"/>
      <c r="H38" s="23"/>
      <c r="I38" s="23"/>
      <c r="J38" s="23"/>
      <c r="K38" s="23"/>
      <c r="L38" s="23"/>
    </row>
    <row r="39" spans="2:12" x14ac:dyDescent="0.25">
      <c r="B39" s="16"/>
      <c r="C39" s="16"/>
      <c r="D39" s="16"/>
      <c r="E39" s="16"/>
      <c r="F39" s="16"/>
      <c r="G39" s="23"/>
      <c r="H39" s="23"/>
      <c r="I39" s="23"/>
      <c r="J39" s="23"/>
      <c r="K39" s="23"/>
      <c r="L39" s="23"/>
    </row>
    <row r="40" spans="2:12" x14ac:dyDescent="0.25">
      <c r="B40" s="16"/>
      <c r="C40" s="16"/>
      <c r="D40" s="16"/>
      <c r="E40" s="16"/>
      <c r="F40" s="16"/>
      <c r="G40" s="23"/>
      <c r="H40" s="23"/>
      <c r="I40" s="23"/>
      <c r="J40" s="23"/>
      <c r="K40" s="23"/>
      <c r="L40" s="23"/>
    </row>
    <row r="41" spans="2:12" x14ac:dyDescent="0.25">
      <c r="B41" s="24"/>
      <c r="C41" s="24"/>
      <c r="D41" s="24"/>
      <c r="E41" s="16"/>
      <c r="F41" s="16"/>
      <c r="G41" s="23"/>
      <c r="H41" s="23"/>
      <c r="I41" s="23"/>
      <c r="J41" s="23"/>
      <c r="K41" s="23"/>
      <c r="L41" s="23"/>
    </row>
    <row r="42" spans="2:12" x14ac:dyDescent="0.25">
      <c r="B42" s="24"/>
      <c r="C42" s="24"/>
      <c r="D42" s="24"/>
      <c r="E42" s="16"/>
      <c r="F42" s="16"/>
      <c r="G42" s="23"/>
      <c r="H42" s="23"/>
      <c r="I42" s="23"/>
      <c r="J42" s="23"/>
      <c r="K42" s="23"/>
      <c r="L42" s="23"/>
    </row>
    <row r="43" spans="2:12" x14ac:dyDescent="0.25">
      <c r="F43" s="13"/>
      <c r="G43" s="13"/>
      <c r="H43" s="14"/>
    </row>
  </sheetData>
  <sheetProtection algorithmName="SHA-512" hashValue="GrnweQ1kQYUA7BfOX3YckcGPFXejR0qOVbyD4vkZgXFF2iNCQ4g2twMlCEvrSaiQHP3sK1MkuA4LByBfNqzS9g==" saltValue="48TBcmgyTG1HAvKPlGWwMg==" spinCount="100000" sheet="1" objects="1" scenarios="1" selectLockedCells="1" selectUnlockedCells="1"/>
  <mergeCells count="19">
    <mergeCell ref="B2:D2"/>
    <mergeCell ref="B3:F4"/>
    <mergeCell ref="H3:H4"/>
    <mergeCell ref="J3:J4"/>
    <mergeCell ref="L3:P4"/>
    <mergeCell ref="E2:P2"/>
    <mergeCell ref="B1:P1"/>
    <mergeCell ref="B28:F28"/>
    <mergeCell ref="B33:L33"/>
    <mergeCell ref="B35:D35"/>
    <mergeCell ref="B32:L32"/>
    <mergeCell ref="B34:L34"/>
    <mergeCell ref="C27:D27"/>
    <mergeCell ref="C6:C12"/>
    <mergeCell ref="C13:C17"/>
    <mergeCell ref="C18:C21"/>
    <mergeCell ref="C22:D22"/>
    <mergeCell ref="C25:D25"/>
    <mergeCell ref="C26:D26"/>
  </mergeCells>
  <pageMargins left="0.7" right="0.7" top="0.75" bottom="0.75" header="0.3" footer="0.3"/>
  <pageSetup paperSize="5" scale="50" orientation="landscape" horizontalDpi="4294967293" verticalDpi="300"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1 - COTIZACIONES</vt:lpstr>
      <vt:lpstr>ANEXO 2 - HISTORICOS</vt:lpstr>
      <vt:lpstr>ANEXO 3 - PROY COSTOS</vt:lpstr>
      <vt:lpstr>'ANEXO 1 - COTIZACIONES'!Área_de_impresión</vt:lpstr>
      <vt:lpstr>'ANEXO 2 - HISTORICOS'!Área_de_impresión</vt:lpstr>
      <vt:lpstr>'ANEXO 3 - PROY COSTOS'!Área_de_impresión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Rosana Paola Llinas Pertuz</cp:lastModifiedBy>
  <cp:lastPrinted>2022-04-08T15:49:26Z</cp:lastPrinted>
  <dcterms:created xsi:type="dcterms:W3CDTF">2017-01-13T15:55:25Z</dcterms:created>
  <dcterms:modified xsi:type="dcterms:W3CDTF">2026-08-13T14:23:52Z</dcterms:modified>
</cp:coreProperties>
</file>