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SUS\Documents\FGN\PROCESOS\INSUMOS DE IMPRESIÓN\ADENDA\"/>
    </mc:Choice>
  </mc:AlternateContent>
  <xr:revisionPtr revIDLastSave="0" documentId="8_{BC85F9FA-83FE-4266-A949-855D7D1ECA43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ANEXO 1" sheetId="1" r:id="rId1"/>
    <sheet name="ANEXO 2" sheetId="12" r:id="rId2"/>
    <sheet name="ANEXO 3" sheetId="13" r:id="rId3"/>
    <sheet name="ANEXO 4" sheetId="1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6" i="12" l="1"/>
  <c r="K25" i="13"/>
  <c r="K26" i="13"/>
  <c r="K27" i="13"/>
  <c r="K28" i="13"/>
  <c r="K29" i="13"/>
  <c r="K30" i="13"/>
  <c r="K31" i="13"/>
  <c r="K32" i="13"/>
  <c r="K24" i="13"/>
  <c r="L25" i="12"/>
  <c r="L27" i="12"/>
  <c r="L28" i="12"/>
  <c r="L29" i="12"/>
  <c r="L31" i="12"/>
  <c r="L32" i="12"/>
  <c r="L24" i="12"/>
  <c r="M24" i="12" s="1"/>
  <c r="N25" i="12"/>
  <c r="N27" i="12"/>
  <c r="N28" i="12"/>
  <c r="N29" i="12"/>
  <c r="N31" i="12"/>
  <c r="N32" i="12"/>
  <c r="N24" i="12"/>
  <c r="I25" i="12"/>
  <c r="I26" i="12"/>
  <c r="I27" i="12"/>
  <c r="I28" i="12"/>
  <c r="I29" i="12"/>
  <c r="I30" i="12"/>
  <c r="N30" i="12" s="1"/>
  <c r="L30" i="12" s="1"/>
  <c r="I31" i="12"/>
  <c r="I32" i="12"/>
  <c r="I24" i="12"/>
  <c r="X30" i="1"/>
  <c r="X31" i="1"/>
  <c r="X32" i="1"/>
  <c r="X33" i="1"/>
  <c r="X34" i="1"/>
  <c r="X29" i="1"/>
  <c r="I9" i="13" l="1"/>
  <c r="I15" i="13"/>
  <c r="I16" i="13"/>
  <c r="I17" i="13"/>
  <c r="I18" i="13"/>
  <c r="M25" i="12"/>
  <c r="M28" i="12"/>
  <c r="M30" i="12"/>
  <c r="M31" i="12"/>
  <c r="M32" i="12"/>
  <c r="I16" i="12"/>
  <c r="L16" i="12" s="1"/>
  <c r="M16" i="12" s="1"/>
  <c r="I17" i="12"/>
  <c r="L17" i="12" s="1"/>
  <c r="I18" i="12"/>
  <c r="L18" i="12" s="1"/>
  <c r="I19" i="12"/>
  <c r="L19" i="12" s="1"/>
  <c r="I10" i="12"/>
  <c r="L10" i="12" s="1"/>
  <c r="M18" i="12" l="1"/>
  <c r="N18" i="12" s="1"/>
  <c r="M17" i="12"/>
  <c r="N17" i="12"/>
  <c r="M19" i="12"/>
  <c r="N19" i="12"/>
  <c r="M29" i="12"/>
  <c r="M27" i="12"/>
  <c r="N16" i="12"/>
  <c r="L34" i="1"/>
  <c r="L33" i="1"/>
  <c r="L32" i="1"/>
  <c r="L31" i="1"/>
  <c r="L30" i="1"/>
  <c r="L29" i="1"/>
  <c r="L28" i="1"/>
  <c r="L27" i="1"/>
  <c r="L26" i="1"/>
  <c r="U26" i="1" s="1"/>
  <c r="L23" i="1"/>
  <c r="L22" i="1"/>
  <c r="S22" i="1" s="1"/>
  <c r="L21" i="1"/>
  <c r="S21" i="1" s="1"/>
  <c r="L20" i="1"/>
  <c r="T20" i="1" s="1"/>
  <c r="L19" i="1"/>
  <c r="S19" i="1" s="1"/>
  <c r="L18" i="1"/>
  <c r="T18" i="1" s="1"/>
  <c r="L17" i="1"/>
  <c r="L16" i="1"/>
  <c r="L15" i="1"/>
  <c r="L14" i="1"/>
  <c r="L13" i="1"/>
  <c r="S13" i="1" s="1"/>
  <c r="L12" i="1"/>
  <c r="T12" i="1" s="1"/>
  <c r="L11" i="1"/>
  <c r="S23" i="1" l="1"/>
  <c r="U23" i="1"/>
  <c r="X23" i="1" s="1"/>
  <c r="T23" i="1"/>
  <c r="U17" i="1"/>
  <c r="X17" i="1" s="1"/>
  <c r="T17" i="1"/>
  <c r="S17" i="1"/>
  <c r="U22" i="1"/>
  <c r="S16" i="1"/>
  <c r="V16" i="1" s="1"/>
  <c r="U16" i="1"/>
  <c r="X16" i="1" s="1"/>
  <c r="T16" i="1"/>
  <c r="U12" i="1"/>
  <c r="T14" i="1"/>
  <c r="S14" i="1"/>
  <c r="U14" i="1"/>
  <c r="V22" i="1"/>
  <c r="X22" i="1" s="1"/>
  <c r="U18" i="1"/>
  <c r="X18" i="1" s="1"/>
  <c r="S12" i="1"/>
  <c r="S20" i="1"/>
  <c r="U15" i="1"/>
  <c r="T15" i="1"/>
  <c r="S15" i="1"/>
  <c r="U20" i="1"/>
  <c r="S18" i="1"/>
  <c r="V19" i="1"/>
  <c r="T22" i="1"/>
  <c r="S26" i="1"/>
  <c r="V26" i="1" s="1"/>
  <c r="V23" i="1"/>
  <c r="G20" i="13" s="1"/>
  <c r="K20" i="13" s="1"/>
  <c r="U21" i="1"/>
  <c r="U19" i="1"/>
  <c r="X19" i="1" s="1"/>
  <c r="V15" i="1"/>
  <c r="X15" i="1" s="1"/>
  <c r="G12" i="13" s="1"/>
  <c r="K12" i="13" s="1"/>
  <c r="U13" i="1"/>
  <c r="V13" i="1" s="1"/>
  <c r="X13" i="1" s="1"/>
  <c r="G10" i="13" s="1"/>
  <c r="K10" i="13" s="1"/>
  <c r="T26" i="1"/>
  <c r="T21" i="1"/>
  <c r="T19" i="1"/>
  <c r="T13" i="1"/>
  <c r="M10" i="12"/>
  <c r="N10" i="12" s="1"/>
  <c r="V17" i="1" l="1"/>
  <c r="G14" i="13" s="1"/>
  <c r="K14" i="13" s="1"/>
  <c r="V18" i="1"/>
  <c r="V14" i="1"/>
  <c r="X14" i="1" s="1"/>
  <c r="V21" i="1"/>
  <c r="G18" i="13" s="1"/>
  <c r="K18" i="13" s="1"/>
  <c r="G18" i="14" s="1"/>
  <c r="H18" i="14" s="1"/>
  <c r="I18" i="14" s="1"/>
  <c r="J18" i="14" s="1"/>
  <c r="X21" i="1"/>
  <c r="L20" i="13"/>
  <c r="M20" i="13" s="1"/>
  <c r="N20" i="13" s="1"/>
  <c r="G20" i="14"/>
  <c r="H20" i="14" s="1"/>
  <c r="I20" i="14" s="1"/>
  <c r="J20" i="14" s="1"/>
  <c r="Y18" i="1"/>
  <c r="Z18" i="1" s="1"/>
  <c r="AA18" i="1" s="1"/>
  <c r="G15" i="13"/>
  <c r="K15" i="13" s="1"/>
  <c r="Y22" i="1"/>
  <c r="G19" i="13"/>
  <c r="K19" i="13" s="1"/>
  <c r="L14" i="13"/>
  <c r="M14" i="13" s="1"/>
  <c r="N14" i="13" s="1"/>
  <c r="G14" i="14"/>
  <c r="H14" i="14" s="1"/>
  <c r="I14" i="14" s="1"/>
  <c r="J14" i="14" s="1"/>
  <c r="Y19" i="1"/>
  <c r="Z19" i="1" s="1"/>
  <c r="AA19" i="1" s="1"/>
  <c r="G16" i="13"/>
  <c r="K16" i="13" s="1"/>
  <c r="V20" i="1"/>
  <c r="X20" i="1" s="1"/>
  <c r="Z22" i="1"/>
  <c r="AA22" i="1" s="1"/>
  <c r="V12" i="1"/>
  <c r="X12" i="1" s="1"/>
  <c r="G10" i="14"/>
  <c r="L10" i="13"/>
  <c r="M10" i="13" s="1"/>
  <c r="N10" i="13" s="1"/>
  <c r="Y16" i="1"/>
  <c r="Z16" i="1" s="1"/>
  <c r="AA16" i="1" s="1"/>
  <c r="G13" i="13"/>
  <c r="K13" i="13" s="1"/>
  <c r="G12" i="14"/>
  <c r="L12" i="13"/>
  <c r="M12" i="13" s="1"/>
  <c r="N12" i="13" s="1"/>
  <c r="Y14" i="1"/>
  <c r="Z14" i="1" s="1"/>
  <c r="AA14" i="1" s="1"/>
  <c r="G11" i="13"/>
  <c r="K11" i="13" s="1"/>
  <c r="Y13" i="1"/>
  <c r="Z13" i="1" s="1"/>
  <c r="AA13" i="1" s="1"/>
  <c r="Y15" i="1"/>
  <c r="Z15" i="1" s="1"/>
  <c r="AA15" i="1" s="1"/>
  <c r="Y17" i="1"/>
  <c r="Z17" i="1" s="1"/>
  <c r="AA17" i="1" s="1"/>
  <c r="Y21" i="1"/>
  <c r="Z21" i="1" s="1"/>
  <c r="AA21" i="1" s="1"/>
  <c r="Y23" i="1"/>
  <c r="Z23" i="1" s="1"/>
  <c r="AA23" i="1" s="1"/>
  <c r="U34" i="1"/>
  <c r="T34" i="1"/>
  <c r="S34" i="1"/>
  <c r="U33" i="1"/>
  <c r="T33" i="1"/>
  <c r="S33" i="1"/>
  <c r="U32" i="1"/>
  <c r="T32" i="1"/>
  <c r="S32" i="1"/>
  <c r="U31" i="1"/>
  <c r="T31" i="1"/>
  <c r="S31" i="1"/>
  <c r="U30" i="1"/>
  <c r="T30" i="1"/>
  <c r="S30" i="1"/>
  <c r="U29" i="1"/>
  <c r="T29" i="1"/>
  <c r="S29" i="1"/>
  <c r="U28" i="1"/>
  <c r="T28" i="1"/>
  <c r="S28" i="1"/>
  <c r="U27" i="1"/>
  <c r="T27" i="1"/>
  <c r="S27" i="1"/>
  <c r="U11" i="1"/>
  <c r="X11" i="1" s="1"/>
  <c r="G8" i="13" s="1"/>
  <c r="K8" i="13" s="1"/>
  <c r="T11" i="1"/>
  <c r="S11" i="1"/>
  <c r="L18" i="13" l="1"/>
  <c r="M18" i="13" s="1"/>
  <c r="N18" i="13" s="1"/>
  <c r="L15" i="13"/>
  <c r="M15" i="13" s="1"/>
  <c r="N15" i="13" s="1"/>
  <c r="G15" i="14"/>
  <c r="L8" i="13"/>
  <c r="M8" i="13" s="1"/>
  <c r="N8" i="13" s="1"/>
  <c r="G8" i="14"/>
  <c r="Y20" i="1"/>
  <c r="Z20" i="1" s="1"/>
  <c r="AA20" i="1" s="1"/>
  <c r="G17" i="13"/>
  <c r="K17" i="13" s="1"/>
  <c r="I10" i="14"/>
  <c r="J10" i="14" s="1"/>
  <c r="H10" i="14"/>
  <c r="G16" i="14"/>
  <c r="L16" i="13"/>
  <c r="M16" i="13" s="1"/>
  <c r="N16" i="13" s="1"/>
  <c r="L19" i="13"/>
  <c r="M19" i="13" s="1"/>
  <c r="N19" i="13" s="1"/>
  <c r="G19" i="14"/>
  <c r="H19" i="14" s="1"/>
  <c r="I19" i="14" s="1"/>
  <c r="J19" i="14" s="1"/>
  <c r="Y12" i="1"/>
  <c r="G9" i="13"/>
  <c r="K9" i="13" s="1"/>
  <c r="Z12" i="1"/>
  <c r="AA12" i="1" s="1"/>
  <c r="L13" i="13"/>
  <c r="M13" i="13" s="1"/>
  <c r="N13" i="13" s="1"/>
  <c r="G13" i="14"/>
  <c r="H12" i="14"/>
  <c r="I12" i="14" s="1"/>
  <c r="J12" i="14" s="1"/>
  <c r="L11" i="13"/>
  <c r="M11" i="13" s="1"/>
  <c r="N11" i="13" s="1"/>
  <c r="G11" i="14"/>
  <c r="V28" i="1"/>
  <c r="X28" i="1" s="1"/>
  <c r="V27" i="1"/>
  <c r="V31" i="1"/>
  <c r="V29" i="1"/>
  <c r="V33" i="1"/>
  <c r="V34" i="1"/>
  <c r="V32" i="1"/>
  <c r="V30" i="1"/>
  <c r="Y28" i="1" l="1"/>
  <c r="Z28" i="1" s="1"/>
  <c r="AA28" i="1" s="1"/>
  <c r="G26" i="13"/>
  <c r="H16" i="14"/>
  <c r="I16" i="14" s="1"/>
  <c r="J16" i="14" s="1"/>
  <c r="L17" i="13"/>
  <c r="M17" i="13" s="1"/>
  <c r="N17" i="13" s="1"/>
  <c r="G17" i="14"/>
  <c r="H17" i="14" s="1"/>
  <c r="I17" i="14" s="1"/>
  <c r="J17" i="14" s="1"/>
  <c r="H15" i="14"/>
  <c r="I15" i="14" s="1"/>
  <c r="J15" i="14" s="1"/>
  <c r="H8" i="14"/>
  <c r="I8" i="14" s="1"/>
  <c r="J8" i="14" s="1"/>
  <c r="L9" i="13"/>
  <c r="M9" i="13" s="1"/>
  <c r="N9" i="13" s="1"/>
  <c r="N21" i="13" s="1"/>
  <c r="G9" i="14"/>
  <c r="H9" i="14" s="1"/>
  <c r="I9" i="14" s="1"/>
  <c r="J9" i="14" s="1"/>
  <c r="H13" i="14"/>
  <c r="I13" i="14" s="1"/>
  <c r="J13" i="14" s="1"/>
  <c r="H11" i="14"/>
  <c r="I11" i="14" s="1"/>
  <c r="J11" i="14" s="1"/>
  <c r="X26" i="1"/>
  <c r="X27" i="1"/>
  <c r="Y33" i="1" l="1"/>
  <c r="G31" i="13"/>
  <c r="Y31" i="1"/>
  <c r="Z31" i="1" s="1"/>
  <c r="AA31" i="1" s="1"/>
  <c r="G29" i="13"/>
  <c r="Y34" i="1"/>
  <c r="Z34" i="1" s="1"/>
  <c r="AA34" i="1" s="1"/>
  <c r="G32" i="13"/>
  <c r="Y26" i="1"/>
  <c r="Z26" i="1" s="1"/>
  <c r="AA26" i="1" s="1"/>
  <c r="G24" i="13"/>
  <c r="G26" i="14"/>
  <c r="M26" i="13"/>
  <c r="N26" i="13" s="1"/>
  <c r="Y32" i="1"/>
  <c r="Z32" i="1" s="1"/>
  <c r="AA32" i="1" s="1"/>
  <c r="G30" i="13"/>
  <c r="Y30" i="1"/>
  <c r="Z30" i="1" s="1"/>
  <c r="AA30" i="1" s="1"/>
  <c r="G28" i="13"/>
  <c r="Y27" i="1"/>
  <c r="Z27" i="1" s="1"/>
  <c r="AA27" i="1" s="1"/>
  <c r="G25" i="13"/>
  <c r="Y29" i="1"/>
  <c r="G27" i="13"/>
  <c r="J21" i="14"/>
  <c r="Z29" i="1"/>
  <c r="AA29" i="1" s="1"/>
  <c r="Z33" i="1"/>
  <c r="AA33" i="1" s="1"/>
  <c r="L30" i="13" l="1"/>
  <c r="M30" i="13" s="1"/>
  <c r="N30" i="13" s="1"/>
  <c r="G30" i="14"/>
  <c r="H30" i="14" s="1"/>
  <c r="I30" i="14" s="1"/>
  <c r="J30" i="14" s="1"/>
  <c r="G29" i="14"/>
  <c r="L29" i="13"/>
  <c r="M29" i="13" s="1"/>
  <c r="N29" i="13" s="1"/>
  <c r="L24" i="13"/>
  <c r="M24" i="13" s="1"/>
  <c r="N24" i="13" s="1"/>
  <c r="G24" i="14"/>
  <c r="H24" i="14" s="1"/>
  <c r="I24" i="14" s="1"/>
  <c r="J24" i="14" s="1"/>
  <c r="G27" i="14"/>
  <c r="H27" i="14" s="1"/>
  <c r="I27" i="14" s="1"/>
  <c r="J27" i="14" s="1"/>
  <c r="L27" i="13"/>
  <c r="M27" i="13" s="1"/>
  <c r="N27" i="13" s="1"/>
  <c r="L32" i="13"/>
  <c r="M32" i="13" s="1"/>
  <c r="N32" i="13" s="1"/>
  <c r="G32" i="14"/>
  <c r="H32" i="14" s="1"/>
  <c r="I32" i="14" s="1"/>
  <c r="J32" i="14" s="1"/>
  <c r="L31" i="13"/>
  <c r="M31" i="13" s="1"/>
  <c r="N31" i="13" s="1"/>
  <c r="G31" i="14"/>
  <c r="L25" i="13"/>
  <c r="M25" i="13" s="1"/>
  <c r="N25" i="13" s="1"/>
  <c r="G25" i="14"/>
  <c r="L28" i="13"/>
  <c r="M28" i="13" s="1"/>
  <c r="N28" i="13" s="1"/>
  <c r="G28" i="14"/>
  <c r="H28" i="14" s="1"/>
  <c r="I28" i="14" s="1"/>
  <c r="J28" i="14" s="1"/>
  <c r="I26" i="14"/>
  <c r="J26" i="14" s="1"/>
  <c r="V11" i="1"/>
  <c r="N33" i="13" l="1"/>
  <c r="N34" i="13" s="1"/>
  <c r="H25" i="14"/>
  <c r="I25" i="14" s="1"/>
  <c r="J25" i="14" s="1"/>
  <c r="H29" i="14"/>
  <c r="I29" i="14" s="1"/>
  <c r="J29" i="14" s="1"/>
  <c r="H31" i="14"/>
  <c r="I31" i="14" s="1"/>
  <c r="J31" i="14" s="1"/>
  <c r="Y11" i="1"/>
  <c r="Z11" i="1" s="1"/>
  <c r="AA11" i="1" s="1"/>
  <c r="J33" i="14" l="1"/>
  <c r="J34" i="14" s="1"/>
  <c r="L26" i="12" l="1"/>
</calcChain>
</file>

<file path=xl/sharedStrings.xml><?xml version="1.0" encoding="utf-8"?>
<sst xmlns="http://schemas.openxmlformats.org/spreadsheetml/2006/main" count="333" uniqueCount="72">
  <si>
    <t>ANEXO 1</t>
  </si>
  <si>
    <t xml:space="preserve">ANÁLISIS DE COTIZACIONES </t>
  </si>
  <si>
    <t>ANÁLISIS DE VARIABLES</t>
  </si>
  <si>
    <t>VALORES SIN IVA</t>
  </si>
  <si>
    <t>VALOR UNITARIO SIN IVA</t>
  </si>
  <si>
    <t>NECESIDAD</t>
  </si>
  <si>
    <t xml:space="preserve">VALOR SELECCIONADO </t>
  </si>
  <si>
    <t>ITEM</t>
  </si>
  <si>
    <t xml:space="preserve">DESCRIPCIÓN DEL BIEN </t>
  </si>
  <si>
    <t>UNIDAD DE MEDIDA</t>
  </si>
  <si>
    <t>CANTIDAD</t>
  </si>
  <si>
    <t>COTIZACIÓN MÁS BAJA</t>
  </si>
  <si>
    <t>COTIZACIÓN MÁS ALTA</t>
  </si>
  <si>
    <t>PROMEDIO</t>
  </si>
  <si>
    <t>MEDIA ARITMÉTICA BAJA</t>
  </si>
  <si>
    <t>IVA UNITARIO</t>
  </si>
  <si>
    <t>VALOR UNITARIO INCLUIDO IVA</t>
  </si>
  <si>
    <t>VALOR TOTAL INCLUIDO IVA</t>
  </si>
  <si>
    <t>TOTAL</t>
  </si>
  <si>
    <t>,</t>
  </si>
  <si>
    <t>ANEXO 2</t>
  </si>
  <si>
    <t>ANÁLISIS PROYECCIÓN GASTO HISTÓRICO
(IPC / Indices - Serie de empalme)</t>
  </si>
  <si>
    <t>IVA</t>
  </si>
  <si>
    <t>ANEXO 3</t>
  </si>
  <si>
    <t>ANÁLISIS PARA ESTABLECER EL VALOR FINAL</t>
  </si>
  <si>
    <t>ANÁLISIS DE COTIZACIONES</t>
  </si>
  <si>
    <t>ANÁLISIS GASTO HISTÓRICO</t>
  </si>
  <si>
    <t>VALOR SELECCIONADO</t>
  </si>
  <si>
    <t>ANEXO 4</t>
  </si>
  <si>
    <t xml:space="preserve">ESTUDIO DE MERCADO DEFINITIVO </t>
  </si>
  <si>
    <t>SUBTOTAL</t>
  </si>
  <si>
    <t>COTIZACION ALFA TRADING</t>
  </si>
  <si>
    <t>COTIZACION INMADICA</t>
  </si>
  <si>
    <t>COTIZACION CENTRAL DE DOTACIONES</t>
  </si>
  <si>
    <t>GRUPO 1 – MULTIMARCA – RICOH – KYOCERA – LEXMARK – HP  (REFERENCIAS IMPRESORAS NO COMODATO)</t>
  </si>
  <si>
    <t xml:space="preserve">TONER RICOH IM430 418126                </t>
  </si>
  <si>
    <t xml:space="preserve">TONER RICOH IM 550 418477               </t>
  </si>
  <si>
    <t>UNIDAD IMAGEN RICOH IM550 NUMERO PARTE M</t>
  </si>
  <si>
    <t xml:space="preserve">UNIDAD FUSORA PARA RICOH IM 550         </t>
  </si>
  <si>
    <t>FRICTION PAD PARA RICOH IM550 PARTE NO. D2555568</t>
  </si>
  <si>
    <t xml:space="preserve">CARTUCHO TONER TK 5232K KYOCERA NEGRO    </t>
  </si>
  <si>
    <t xml:space="preserve">TONER 58D4000 MX722 LEXMARK ADHE        </t>
  </si>
  <si>
    <t>CARTUCHO NEGRO HP 600 PAGINAS C2P05AL UN</t>
  </si>
  <si>
    <t xml:space="preserve">CARTUCHO TRICOLOR HP C2P07AL UND        </t>
  </si>
  <si>
    <t>CARTUCHO LASERJET 59X CF258X HP LASERJET</t>
  </si>
  <si>
    <t>TONER LASER JET  147A  W1470X HP LASER J</t>
  </si>
  <si>
    <t>UNIDAD</t>
  </si>
  <si>
    <t>GRUPO 2 – HP (REFERENCIAS IMPRESORAS COMODATO)</t>
  </si>
  <si>
    <t xml:space="preserve">TONER HP W9024MC NEGRO LASER E42540     </t>
  </si>
  <si>
    <t xml:space="preserve">TONER HP W9008MC NEGRO LASER E52645     </t>
  </si>
  <si>
    <t xml:space="preserve">TONER HP W9090MC NEGRO LASER E47528     </t>
  </si>
  <si>
    <t xml:space="preserve">TONER HP W9091MC CYAN LASER E47528      </t>
  </si>
  <si>
    <t xml:space="preserve">TONER HP W9092MC AMARILLO LASER E47528  </t>
  </si>
  <si>
    <t xml:space="preserve">TONER HP W9093MC MAGENTA LASER E47528   </t>
  </si>
  <si>
    <t>UNIDAD FUSORA HP RM2-2554-000CN</t>
  </si>
  <si>
    <t>UNIDAD FUSORA HP RM2-2585-000CN</t>
  </si>
  <si>
    <t>UNIDAD FUSORA HP RM2-6460-000CN</t>
  </si>
  <si>
    <t>KIT DE RODILLO PARA ESCANER DE MULTIFUNCIONAL RICOH IM550 PARTE NO. D0BV1723 </t>
  </si>
  <si>
    <t>FUSOR PARA IMPRESORA RICOH IM430 NUMERO  </t>
  </si>
  <si>
    <t>COTIZACION SUMIMAS</t>
  </si>
  <si>
    <t>COTIZACION ALHUM LIMITADA</t>
  </si>
  <si>
    <t>COTIZACION PC PRONTO SAS</t>
  </si>
  <si>
    <t>ACEPTACIÓN DE OFERTA FGN-NC-0165-2025 - RICOH 
FGN-NC-0166-2025 - HP
FGN-NC-0168-2025 - LEXMARK
FGN-NC-0170-2025 - KYOCERA
FGN-NC-0171-2025 - HP</t>
  </si>
  <si>
    <t>Agosto
2025</t>
  </si>
  <si>
    <t>junio
2026</t>
  </si>
  <si>
    <t>ADQUIRIR INSUMOS DE IMPRESIÒN CON DESTINO A LAS DEPENDENCIAS DE LA FISCALÍA GENERAL DE LA NACIÓN (GRUPO 1 y 2).</t>
  </si>
  <si>
    <t>Estudio del Sector 365</t>
  </si>
  <si>
    <t>Fecha de elaboración: 16/07/2026</t>
  </si>
  <si>
    <t>IPC 2025 5,10%</t>
  </si>
  <si>
    <t>TOPES MAXIMOS ESTABLECIDOS COMODATO + IPC
COMUNICACIÓN 13 DE MAYO 2025</t>
  </si>
  <si>
    <t>VALOR UNITARIO CON IVA</t>
  </si>
  <si>
    <t xml:space="preserve">Fecha de actualizacion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</si>
</sst>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&quot;$&quot;\ * #,##0.00_-;\-&quot;$&quot;\ * #,##0.00_-;_-&quot;$&quot;\ * &quot;-&quot;??_-;_-@_-"/>
    <numFmt numFmtId="165" formatCode="&quot;$&quot;\ #,##0.00"/>
    <numFmt numFmtId="166" formatCode="_(&quot;$&quot;\ * #,##0.00_);_(&quot;$&quot;\ * \(#,##0.00\);_(&quot;$&quot;\ * &quot;-&quot;??_);_(@_)"/>
    <numFmt numFmtId="167" formatCode="&quot;$&quot;#,##0.00"/>
    <numFmt numFmtId="168" formatCode="_-&quot;$&quot;* #,##0.00_-;\-&quot;$&quot;* #,##0.00_-;_-&quot;$&quot;* &quot;-&quot;??.00_-;_-@_-"/>
    <numFmt numFmtId="169" formatCode="_-[$$-409]* #,##0.00_ ;_-[$$-409]* \-#,##0.00\ ;_-[$$-409]* &quot;-&quot;??_ ;_-@_ "/>
    <numFmt numFmtId="170" formatCode="_-* #,##0.00\ _€_-;\-* #,##0.00\ _€_-;_-* &quot;-&quot;??\ _€_-;_-@_-"/>
    <numFmt numFmtId="171" formatCode="&quot;$&quot;#,##0"/>
  </numFmts>
  <fonts count="18">
    <font>
      <sz val="11"/>
      <color theme="1"/>
      <name val="Calibri"/>
      <charset val="134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0"/>
      <name val="Arial Narrow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sz val="12"/>
      <name val="Arial"/>
      <family val="2"/>
    </font>
    <font>
      <b/>
      <sz val="11"/>
      <color theme="0"/>
      <name val="Arial Narrow"/>
      <family val="2"/>
    </font>
    <font>
      <b/>
      <sz val="13"/>
      <color theme="1"/>
      <name val="Arial Narrow"/>
      <family val="2"/>
    </font>
    <font>
      <sz val="8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3" tint="0.7998901333658864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8596148564104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0" tint="-0.14984588152714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5" fillId="0" borderId="0"/>
    <xf numFmtId="0" fontId="4" fillId="0" borderId="0"/>
  </cellStyleXfs>
  <cellXfs count="122">
    <xf numFmtId="0" fontId="0" fillId="0" borderId="0" xfId="0"/>
    <xf numFmtId="0" fontId="1" fillId="0" borderId="0" xfId="0" applyFont="1"/>
    <xf numFmtId="164" fontId="3" fillId="5" borderId="1" xfId="0" applyNumberFormat="1" applyFont="1" applyFill="1" applyBorder="1" applyAlignment="1">
      <alignment horizontal="center" vertical="center" wrapText="1"/>
    </xf>
    <xf numFmtId="169" fontId="1" fillId="0" borderId="1" xfId="0" applyNumberFormat="1" applyFont="1" applyBorder="1" applyAlignment="1">
      <alignment vertical="center"/>
    </xf>
    <xf numFmtId="169" fontId="7" fillId="0" borderId="1" xfId="0" applyNumberFormat="1" applyFont="1" applyBorder="1" applyAlignment="1">
      <alignment vertical="center"/>
    </xf>
    <xf numFmtId="169" fontId="7" fillId="0" borderId="0" xfId="0" applyNumberFormat="1" applyFont="1" applyAlignment="1">
      <alignment vertical="center"/>
    </xf>
    <xf numFmtId="0" fontId="9" fillId="0" borderId="0" xfId="0" applyFont="1"/>
    <xf numFmtId="169" fontId="1" fillId="7" borderId="1" xfId="0" applyNumberFormat="1" applyFont="1" applyFill="1" applyBorder="1" applyAlignment="1">
      <alignment vertical="center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center" vertical="center" wrapText="1"/>
    </xf>
    <xf numFmtId="0" fontId="8" fillId="13" borderId="0" xfId="0" applyFont="1" applyFill="1"/>
    <xf numFmtId="170" fontId="10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13" borderId="1" xfId="0" applyFont="1" applyFill="1" applyBorder="1" applyAlignment="1">
      <alignment horizontal="center" vertical="center" wrapText="1"/>
    </xf>
    <xf numFmtId="0" fontId="10" fillId="13" borderId="0" xfId="0" applyFont="1" applyFill="1" applyAlignment="1">
      <alignment horizontal="center" vertical="center" wrapText="1"/>
    </xf>
    <xf numFmtId="0" fontId="7" fillId="14" borderId="1" xfId="0" applyFont="1" applyFill="1" applyBorder="1" applyAlignment="1">
      <alignment vertical="center" wrapText="1"/>
    </xf>
    <xf numFmtId="0" fontId="7" fillId="15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8" fontId="12" fillId="6" borderId="1" xfId="1" applyNumberFormat="1" applyFont="1" applyFill="1" applyBorder="1" applyAlignment="1" applyProtection="1">
      <alignment vertical="center"/>
      <protection locked="0"/>
    </xf>
    <xf numFmtId="169" fontId="8" fillId="0" borderId="1" xfId="0" applyNumberFormat="1" applyFont="1" applyBorder="1" applyAlignment="1">
      <alignment vertical="center"/>
    </xf>
    <xf numFmtId="169" fontId="8" fillId="0" borderId="0" xfId="0" applyNumberFormat="1" applyFont="1" applyAlignment="1">
      <alignment vertical="center"/>
    </xf>
    <xf numFmtId="169" fontId="8" fillId="13" borderId="1" xfId="0" applyNumberFormat="1" applyFont="1" applyFill="1" applyBorder="1" applyAlignment="1">
      <alignment vertical="center"/>
    </xf>
    <xf numFmtId="169" fontId="8" fillId="13" borderId="0" xfId="0" applyNumberFormat="1" applyFont="1" applyFill="1" applyAlignment="1">
      <alignment vertical="center"/>
    </xf>
    <xf numFmtId="166" fontId="12" fillId="6" borderId="1" xfId="1" applyNumberFormat="1" applyFont="1" applyFill="1" applyBorder="1" applyAlignment="1">
      <alignment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5" fontId="8" fillId="0" borderId="0" xfId="0" applyNumberFormat="1" applyFont="1"/>
    <xf numFmtId="3" fontId="7" fillId="15" borderId="1" xfId="0" applyNumberFormat="1" applyFont="1" applyFill="1" applyBorder="1" applyAlignment="1">
      <alignment horizontal="center" vertical="center" wrapText="1"/>
    </xf>
    <xf numFmtId="168" fontId="12" fillId="0" borderId="0" xfId="1" applyNumberFormat="1" applyFont="1" applyFill="1" applyBorder="1" applyAlignment="1" applyProtection="1">
      <alignment vertical="center"/>
      <protection locked="0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/>
    </xf>
    <xf numFmtId="164" fontId="8" fillId="0" borderId="0" xfId="0" applyNumberFormat="1" applyFont="1"/>
    <xf numFmtId="3" fontId="8" fillId="0" borderId="0" xfId="0" applyNumberFormat="1" applyFont="1"/>
    <xf numFmtId="0" fontId="10" fillId="0" borderId="0" xfId="0" applyFont="1" applyAlignment="1">
      <alignment horizontal="center"/>
    </xf>
    <xf numFmtId="164" fontId="8" fillId="0" borderId="0" xfId="0" applyNumberFormat="1" applyFont="1" applyAlignment="1">
      <alignment horizontal="left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164" fontId="10" fillId="5" borderId="4" xfId="0" applyNumberFormat="1" applyFont="1" applyFill="1" applyBorder="1" applyAlignment="1">
      <alignment horizontal="center" vertical="center" wrapText="1"/>
    </xf>
    <xf numFmtId="164" fontId="10" fillId="5" borderId="1" xfId="0" applyNumberFormat="1" applyFont="1" applyFill="1" applyBorder="1" applyAlignment="1">
      <alignment horizontal="center" vertical="center" wrapText="1"/>
    </xf>
    <xf numFmtId="164" fontId="10" fillId="5" borderId="0" xfId="0" applyNumberFormat="1" applyFont="1" applyFill="1" applyAlignment="1">
      <alignment horizontal="center" vertical="center" wrapText="1"/>
    </xf>
    <xf numFmtId="164" fontId="10" fillId="13" borderId="1" xfId="0" applyNumberFormat="1" applyFont="1" applyFill="1" applyBorder="1" applyAlignment="1">
      <alignment horizontal="center" vertical="center" wrapText="1"/>
    </xf>
    <xf numFmtId="164" fontId="10" fillId="13" borderId="0" xfId="0" applyNumberFormat="1" applyFont="1" applyFill="1" applyAlignment="1">
      <alignment horizontal="center" vertical="center" wrapText="1"/>
    </xf>
    <xf numFmtId="0" fontId="12" fillId="10" borderId="1" xfId="2" applyFont="1" applyFill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13" borderId="1" xfId="0" applyFont="1" applyFill="1" applyBorder="1" applyAlignment="1">
      <alignment horizontal="center" vertical="center" wrapText="1"/>
    </xf>
    <xf numFmtId="0" fontId="11" fillId="13" borderId="0" xfId="0" applyFont="1" applyFill="1" applyAlignment="1">
      <alignment horizontal="center" vertical="center" wrapText="1"/>
    </xf>
    <xf numFmtId="168" fontId="14" fillId="6" borderId="1" xfId="1" applyNumberFormat="1" applyFont="1" applyFill="1" applyBorder="1" applyAlignment="1" applyProtection="1">
      <alignment vertical="center"/>
      <protection locked="0"/>
    </xf>
    <xf numFmtId="171" fontId="12" fillId="6" borderId="12" xfId="2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vertical="center" wrapText="1"/>
    </xf>
    <xf numFmtId="164" fontId="8" fillId="0" borderId="1" xfId="1" applyFont="1" applyBorder="1" applyAlignment="1">
      <alignment horizontal="center" vertical="center" wrapText="1"/>
    </xf>
    <xf numFmtId="169" fontId="8" fillId="0" borderId="0" xfId="0" applyNumberFormat="1" applyFont="1"/>
    <xf numFmtId="0" fontId="10" fillId="8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17" fontId="11" fillId="9" borderId="1" xfId="0" applyNumberFormat="1" applyFont="1" applyFill="1" applyBorder="1" applyAlignment="1">
      <alignment horizontal="center" vertical="center" wrapText="1"/>
    </xf>
    <xf numFmtId="10" fontId="13" fillId="0" borderId="1" xfId="0" applyNumberFormat="1" applyFont="1" applyBorder="1" applyAlignment="1">
      <alignment horizontal="center" vertical="center" wrapText="1"/>
    </xf>
    <xf numFmtId="167" fontId="8" fillId="0" borderId="1" xfId="0" applyNumberFormat="1" applyFont="1" applyBorder="1" applyAlignment="1">
      <alignment horizontal="center" vertical="center"/>
    </xf>
    <xf numFmtId="167" fontId="8" fillId="0" borderId="0" xfId="0" applyNumberFormat="1" applyFont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5" fontId="2" fillId="5" borderId="1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 wrapText="1"/>
    </xf>
    <xf numFmtId="0" fontId="8" fillId="0" borderId="3" xfId="3" applyFont="1" applyBorder="1" applyAlignment="1">
      <alignment horizontal="center" vertical="center" wrapText="1"/>
    </xf>
    <xf numFmtId="0" fontId="7" fillId="14" borderId="3" xfId="0" applyFont="1" applyFill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7" fillId="15" borderId="3" xfId="0" applyFont="1" applyFill="1" applyBorder="1" applyAlignment="1">
      <alignment horizontal="center" vertical="center" wrapText="1"/>
    </xf>
    <xf numFmtId="169" fontId="1" fillId="0" borderId="0" xfId="0" applyNumberFormat="1" applyFont="1" applyAlignment="1">
      <alignment vertical="center"/>
    </xf>
    <xf numFmtId="169" fontId="16" fillId="7" borderId="1" xfId="0" applyNumberFormat="1" applyFont="1" applyFill="1" applyBorder="1" applyAlignment="1">
      <alignment vertical="center"/>
    </xf>
    <xf numFmtId="169" fontId="6" fillId="11" borderId="1" xfId="0" applyNumberFormat="1" applyFont="1" applyFill="1" applyBorder="1" applyAlignment="1">
      <alignment vertical="center" wrapText="1"/>
    </xf>
    <xf numFmtId="169" fontId="10" fillId="11" borderId="1" xfId="0" applyNumberFormat="1" applyFont="1" applyFill="1" applyBorder="1" applyAlignment="1">
      <alignment vertical="center"/>
    </xf>
    <xf numFmtId="166" fontId="12" fillId="16" borderId="1" xfId="1" applyNumberFormat="1" applyFont="1" applyFill="1" applyBorder="1" applyAlignment="1">
      <alignment vertical="center" wrapText="1"/>
    </xf>
    <xf numFmtId="168" fontId="14" fillId="16" borderId="1" xfId="1" applyNumberFormat="1" applyFont="1" applyFill="1" applyBorder="1" applyAlignment="1" applyProtection="1">
      <alignment vertical="center"/>
      <protection locked="0"/>
    </xf>
    <xf numFmtId="168" fontId="12" fillId="16" borderId="1" xfId="1" applyNumberFormat="1" applyFont="1" applyFill="1" applyBorder="1" applyAlignment="1" applyProtection="1">
      <alignment vertical="center"/>
      <protection locked="0"/>
    </xf>
    <xf numFmtId="164" fontId="8" fillId="6" borderId="1" xfId="0" applyNumberFormat="1" applyFont="1" applyFill="1" applyBorder="1" applyAlignment="1">
      <alignment horizontal="center" vertical="center" wrapText="1"/>
    </xf>
    <xf numFmtId="164" fontId="8" fillId="0" borderId="0" xfId="1" applyFont="1"/>
    <xf numFmtId="0" fontId="17" fillId="0" borderId="0" xfId="0" applyFont="1"/>
    <xf numFmtId="0" fontId="17" fillId="0" borderId="0" xfId="0" applyFont="1" applyFill="1"/>
    <xf numFmtId="169" fontId="8" fillId="0" borderId="0" xfId="0" applyNumberFormat="1" applyFont="1" applyFill="1"/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0" borderId="1" xfId="0" applyFont="1" applyBorder="1"/>
    <xf numFmtId="0" fontId="10" fillId="3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1" fillId="10" borderId="1" xfId="2" applyFont="1" applyFill="1" applyBorder="1" applyAlignment="1">
      <alignment horizontal="center" vertical="center" wrapText="1"/>
    </xf>
    <xf numFmtId="0" fontId="11" fillId="12" borderId="8" xfId="0" applyFont="1" applyFill="1" applyBorder="1" applyAlignment="1">
      <alignment horizontal="center" vertical="center" wrapText="1"/>
    </xf>
    <xf numFmtId="0" fontId="11" fillId="12" borderId="0" xfId="0" applyFont="1" applyFill="1" applyAlignment="1">
      <alignment horizontal="center" vertical="center" wrapText="1"/>
    </xf>
    <xf numFmtId="0" fontId="11" fillId="12" borderId="9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5" fontId="8" fillId="0" borderId="2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0" fontId="11" fillId="12" borderId="10" xfId="0" applyFont="1" applyFill="1" applyBorder="1" applyAlignment="1">
      <alignment horizontal="center" vertical="center" wrapText="1"/>
    </xf>
    <xf numFmtId="0" fontId="11" fillId="12" borderId="11" xfId="0" applyFont="1" applyFill="1" applyBorder="1" applyAlignment="1">
      <alignment horizontal="center" vertical="center" wrapText="1"/>
    </xf>
    <xf numFmtId="0" fontId="11" fillId="12" borderId="13" xfId="0" applyFont="1" applyFill="1" applyBorder="1" applyAlignment="1">
      <alignment horizontal="center" vertical="center" wrapText="1"/>
    </xf>
    <xf numFmtId="0" fontId="11" fillId="12" borderId="3" xfId="0" applyFont="1" applyFill="1" applyBorder="1" applyAlignment="1">
      <alignment horizontal="center" vertical="center" wrapText="1"/>
    </xf>
    <xf numFmtId="10" fontId="13" fillId="0" borderId="2" xfId="0" applyNumberFormat="1" applyFont="1" applyBorder="1" applyAlignment="1">
      <alignment horizontal="center" vertical="center" wrapText="1"/>
    </xf>
    <xf numFmtId="10" fontId="13" fillId="0" borderId="5" xfId="0" applyNumberFormat="1" applyFont="1" applyBorder="1" applyAlignment="1">
      <alignment horizontal="center" vertical="center" wrapText="1"/>
    </xf>
    <xf numFmtId="0" fontId="6" fillId="11" borderId="2" xfId="0" applyFont="1" applyFill="1" applyBorder="1" applyAlignment="1">
      <alignment horizontal="center" vertical="center" wrapText="1"/>
    </xf>
    <xf numFmtId="0" fontId="6" fillId="11" borderId="3" xfId="0" applyFont="1" applyFill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9" fontId="2" fillId="7" borderId="2" xfId="0" applyNumberFormat="1" applyFont="1" applyFill="1" applyBorder="1" applyAlignment="1">
      <alignment horizontal="center" vertical="center"/>
    </xf>
    <xf numFmtId="169" fontId="2" fillId="7" borderId="3" xfId="0" applyNumberFormat="1" applyFont="1" applyFill="1" applyBorder="1" applyAlignment="1">
      <alignment horizontal="center" vertical="center"/>
    </xf>
    <xf numFmtId="169" fontId="2" fillId="7" borderId="5" xfId="0" applyNumberFormat="1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4" xfId="3" xr:uid="{DB54F68C-BE21-7840-A819-D22A8F76C300}"/>
    <cellStyle name="Normal_HERRAMIENTAS PARA TRANSPORTE" xfId="2" xr:uid="{00000000-0005-0000-0000-000031000000}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976312</xdr:colOff>
      <xdr:row>1</xdr:row>
      <xdr:rowOff>254793</xdr:rowOff>
    </xdr:from>
    <xdr:to>
      <xdr:col>2</xdr:col>
      <xdr:colOff>3067421</xdr:colOff>
      <xdr:row>2</xdr:row>
      <xdr:rowOff>377797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43405" y="654685"/>
          <a:ext cx="2091055" cy="41783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</xdr:row>
      <xdr:rowOff>57729</xdr:rowOff>
    </xdr:from>
    <xdr:to>
      <xdr:col>4</xdr:col>
      <xdr:colOff>555626</xdr:colOff>
      <xdr:row>50</xdr:row>
      <xdr:rowOff>139817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5320820"/>
          <a:ext cx="6282171" cy="1467542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222577</xdr:colOff>
      <xdr:row>1</xdr:row>
      <xdr:rowOff>203993</xdr:rowOff>
    </xdr:from>
    <xdr:to>
      <xdr:col>2</xdr:col>
      <xdr:colOff>3425575</xdr:colOff>
      <xdr:row>2</xdr:row>
      <xdr:rowOff>682396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6F3C3B3-D0E7-8D42-919A-13E1213DE2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0103" y="596777"/>
          <a:ext cx="4062474" cy="845000"/>
        </a:xfrm>
        <a:prstGeom prst="rect">
          <a:avLst/>
        </a:prstGeom>
      </xdr:spPr>
    </xdr:pic>
    <xdr:clientData/>
  </xdr:twoCellAnchor>
  <xdr:twoCellAnchor editAs="oneCell">
    <xdr:from>
      <xdr:col>0</xdr:col>
      <xdr:colOff>71518</xdr:colOff>
      <xdr:row>42</xdr:row>
      <xdr:rowOff>104742</xdr:rowOff>
    </xdr:from>
    <xdr:to>
      <xdr:col>4</xdr:col>
      <xdr:colOff>764056</xdr:colOff>
      <xdr:row>46</xdr:row>
      <xdr:rowOff>288041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6D0D508-217B-6F4B-8E8A-D1F38A51A1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518" y="17819278"/>
          <a:ext cx="6531919" cy="1492577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353505</xdr:colOff>
      <xdr:row>6</xdr:row>
      <xdr:rowOff>667731</xdr:rowOff>
    </xdr:from>
    <xdr:to>
      <xdr:col>35</xdr:col>
      <xdr:colOff>432447</xdr:colOff>
      <xdr:row>13</xdr:row>
      <xdr:rowOff>196784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AF94D7D-06A3-D34E-A986-E65E85A28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117216" y="5040721"/>
          <a:ext cx="17963685" cy="32997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222577</xdr:colOff>
      <xdr:row>1</xdr:row>
      <xdr:rowOff>203993</xdr:rowOff>
    </xdr:from>
    <xdr:to>
      <xdr:col>2</xdr:col>
      <xdr:colOff>3425575</xdr:colOff>
      <xdr:row>2</xdr:row>
      <xdr:rowOff>682396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52734E7-C4D1-3942-A898-AAA949816B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7877" y="597693"/>
          <a:ext cx="4060248" cy="846703"/>
        </a:xfrm>
        <a:prstGeom prst="rect">
          <a:avLst/>
        </a:prstGeom>
      </xdr:spPr>
    </xdr:pic>
    <xdr:clientData/>
  </xdr:twoCellAnchor>
  <xdr:twoCellAnchor editAs="oneCell">
    <xdr:from>
      <xdr:col>0</xdr:col>
      <xdr:colOff>71519</xdr:colOff>
      <xdr:row>38</xdr:row>
      <xdr:rowOff>104743</xdr:rowOff>
    </xdr:from>
    <xdr:to>
      <xdr:col>4</xdr:col>
      <xdr:colOff>649464</xdr:colOff>
      <xdr:row>42</xdr:row>
      <xdr:rowOff>261857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DBBD497-0C5D-DC4F-A6C5-24A8428FF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519" y="16496908"/>
          <a:ext cx="6417326" cy="1466392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222577</xdr:colOff>
      <xdr:row>1</xdr:row>
      <xdr:rowOff>203993</xdr:rowOff>
    </xdr:from>
    <xdr:to>
      <xdr:col>2</xdr:col>
      <xdr:colOff>3425575</xdr:colOff>
      <xdr:row>2</xdr:row>
      <xdr:rowOff>682396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252BEE6-B694-A247-B5D7-E490E7C38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7877" y="597693"/>
          <a:ext cx="4060248" cy="8467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2"/>
  <sheetViews>
    <sheetView showGridLines="0" topLeftCell="C23" zoomScale="110" zoomScaleNormal="110" workbookViewId="0">
      <selection activeCell="E32" sqref="E32"/>
    </sheetView>
  </sheetViews>
  <sheetFormatPr baseColWidth="10" defaultColWidth="11.44140625" defaultRowHeight="13.8"/>
  <cols>
    <col min="1" max="1" width="6.44140625" style="9" customWidth="1"/>
    <col min="2" max="2" width="6.44140625" style="10" customWidth="1"/>
    <col min="3" max="3" width="51.44140625" style="11" customWidth="1"/>
    <col min="4" max="4" width="10.6640625" style="17" customWidth="1"/>
    <col min="5" max="5" width="10.6640625" style="9" customWidth="1"/>
    <col min="6" max="6" width="2.109375" style="9" customWidth="1"/>
    <col min="7" max="7" width="2" style="9" customWidth="1"/>
    <col min="8" max="8" width="17.88671875" style="39" customWidth="1"/>
    <col min="9" max="9" width="2" style="9" customWidth="1"/>
    <col min="10" max="10" width="17.88671875" style="39" customWidth="1"/>
    <col min="11" max="11" width="1.33203125" style="9" customWidth="1"/>
    <col min="12" max="12" width="17.88671875" style="9" customWidth="1"/>
    <col min="13" max="13" width="2.88671875" style="9" customWidth="1"/>
    <col min="14" max="14" width="17.88671875" style="13" hidden="1" customWidth="1"/>
    <col min="15" max="15" width="2.88671875" style="13" hidden="1" customWidth="1"/>
    <col min="16" max="16" width="17.88671875" style="13" hidden="1" customWidth="1"/>
    <col min="17" max="17" width="1.88671875" style="13" hidden="1" customWidth="1"/>
    <col min="18" max="18" width="17.88671875" style="13" hidden="1" customWidth="1"/>
    <col min="19" max="22" width="16" style="9" customWidth="1"/>
    <col min="23" max="23" width="4.44140625" style="9" customWidth="1"/>
    <col min="24" max="24" width="19.33203125" style="9" bestFit="1" customWidth="1"/>
    <col min="25" max="25" width="14.44140625" style="9" customWidth="1"/>
    <col min="26" max="26" width="16.109375" style="9" customWidth="1"/>
    <col min="27" max="27" width="20.33203125" style="9" customWidth="1"/>
    <col min="28" max="29" width="11.44140625" style="9"/>
    <col min="30" max="30" width="12.6640625" style="9" customWidth="1"/>
    <col min="31" max="16384" width="11.44140625" style="9"/>
  </cols>
  <sheetData>
    <row r="1" spans="2:30" ht="31.5" customHeight="1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</row>
    <row r="2" spans="2:30" ht="23.25" customHeight="1">
      <c r="B2" s="95"/>
      <c r="C2" s="95"/>
      <c r="D2" s="91" t="s">
        <v>1</v>
      </c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</row>
    <row r="3" spans="2:30" ht="30.9" customHeight="1">
      <c r="B3" s="95"/>
      <c r="C3" s="95"/>
      <c r="D3" s="92" t="s">
        <v>65</v>
      </c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</row>
    <row r="4" spans="2:30" ht="32.25" customHeight="1">
      <c r="D4" s="12"/>
      <c r="E4" s="12"/>
      <c r="F4" s="12"/>
      <c r="H4" s="12"/>
      <c r="J4" s="12"/>
    </row>
    <row r="5" spans="2:30" ht="26.25" customHeight="1">
      <c r="D5" s="12"/>
      <c r="E5" s="12"/>
      <c r="F5" s="12"/>
      <c r="H5" s="12"/>
      <c r="J5" s="12"/>
      <c r="S5" s="93" t="s">
        <v>2</v>
      </c>
      <c r="T5" s="93"/>
      <c r="U5" s="93"/>
      <c r="V5" s="93"/>
    </row>
    <row r="6" spans="2:30" ht="24" customHeight="1">
      <c r="D6" s="12"/>
      <c r="E6" s="12"/>
      <c r="F6" s="12"/>
      <c r="H6" s="12"/>
      <c r="J6" s="14"/>
      <c r="S6" s="93" t="s">
        <v>3</v>
      </c>
      <c r="T6" s="93"/>
      <c r="U6" s="93"/>
      <c r="V6" s="93"/>
    </row>
    <row r="7" spans="2:30" ht="28.5" customHeight="1">
      <c r="B7" s="15"/>
      <c r="C7" s="16"/>
      <c r="E7" s="17"/>
      <c r="F7" s="17"/>
      <c r="H7" s="42"/>
      <c r="J7" s="42"/>
      <c r="S7" s="98" t="s">
        <v>4</v>
      </c>
      <c r="T7" s="98" t="s">
        <v>4</v>
      </c>
      <c r="U7" s="98" t="s">
        <v>4</v>
      </c>
      <c r="V7" s="98" t="s">
        <v>4</v>
      </c>
    </row>
    <row r="8" spans="2:30" s="19" customFormat="1" ht="74.099999999999994" customHeight="1">
      <c r="B8" s="96" t="s">
        <v>5</v>
      </c>
      <c r="C8" s="96"/>
      <c r="D8" s="96"/>
      <c r="E8" s="96"/>
      <c r="F8" s="18"/>
      <c r="H8" s="20" t="s">
        <v>59</v>
      </c>
      <c r="J8" s="20" t="s">
        <v>60</v>
      </c>
      <c r="L8" s="20" t="s">
        <v>61</v>
      </c>
      <c r="M8" s="12"/>
      <c r="N8" s="21" t="s">
        <v>31</v>
      </c>
      <c r="O8" s="22"/>
      <c r="P8" s="21" t="s">
        <v>33</v>
      </c>
      <c r="Q8" s="22"/>
      <c r="R8" s="21" t="s">
        <v>32</v>
      </c>
      <c r="S8" s="98"/>
      <c r="T8" s="98"/>
      <c r="U8" s="98"/>
      <c r="V8" s="98"/>
      <c r="X8" s="97" t="s">
        <v>6</v>
      </c>
      <c r="Y8" s="97"/>
      <c r="Z8" s="97"/>
      <c r="AA8" s="97"/>
    </row>
    <row r="9" spans="2:30" s="19" customFormat="1" ht="24.9" customHeight="1">
      <c r="B9" s="99" t="s">
        <v>34</v>
      </c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  <c r="Y9" s="100"/>
      <c r="Z9" s="100"/>
      <c r="AA9" s="101"/>
    </row>
    <row r="10" spans="2:30" ht="41.4">
      <c r="B10" s="43" t="s">
        <v>7</v>
      </c>
      <c r="C10" s="43" t="s">
        <v>8</v>
      </c>
      <c r="D10" s="44" t="s">
        <v>9</v>
      </c>
      <c r="E10" s="44" t="s">
        <v>10</v>
      </c>
      <c r="F10" s="12"/>
      <c r="H10" s="45" t="s">
        <v>4</v>
      </c>
      <c r="J10" s="45" t="s">
        <v>4</v>
      </c>
      <c r="L10" s="46" t="s">
        <v>4</v>
      </c>
      <c r="M10" s="47"/>
      <c r="N10" s="48" t="s">
        <v>4</v>
      </c>
      <c r="O10" s="49"/>
      <c r="P10" s="48" t="s">
        <v>4</v>
      </c>
      <c r="Q10" s="49"/>
      <c r="R10" s="48" t="s">
        <v>4</v>
      </c>
      <c r="S10" s="50" t="s">
        <v>11</v>
      </c>
      <c r="T10" s="50" t="s">
        <v>12</v>
      </c>
      <c r="U10" s="50" t="s">
        <v>13</v>
      </c>
      <c r="V10" s="50" t="s">
        <v>14</v>
      </c>
      <c r="X10" s="46" t="s">
        <v>4</v>
      </c>
      <c r="Y10" s="46" t="s">
        <v>15</v>
      </c>
      <c r="Z10" s="46" t="s">
        <v>16</v>
      </c>
      <c r="AA10" s="46" t="s">
        <v>17</v>
      </c>
    </row>
    <row r="11" spans="2:30" ht="30.9" customHeight="1">
      <c r="B11" s="51">
        <v>1</v>
      </c>
      <c r="C11" s="23" t="s">
        <v>35</v>
      </c>
      <c r="D11" s="8" t="s">
        <v>46</v>
      </c>
      <c r="E11" s="24">
        <v>193</v>
      </c>
      <c r="F11" s="25"/>
      <c r="H11" s="26">
        <v>296240</v>
      </c>
      <c r="J11" s="56">
        <v>504202</v>
      </c>
      <c r="L11" s="56">
        <f>564000/1.19</f>
        <v>473949.57983193279</v>
      </c>
      <c r="M11" s="28"/>
      <c r="N11" s="29">
        <v>20000</v>
      </c>
      <c r="O11" s="30"/>
      <c r="P11" s="29">
        <v>24600</v>
      </c>
      <c r="Q11" s="30"/>
      <c r="R11" s="29">
        <v>38660</v>
      </c>
      <c r="S11" s="31">
        <f>ROUND(MIN(H11,J11,L11),2)</f>
        <v>296240</v>
      </c>
      <c r="T11" s="31">
        <f>ROUND(MAX(H11,J11,L11),2)</f>
        <v>504202</v>
      </c>
      <c r="U11" s="83">
        <f>ROUND(AVERAGE(H11,J11,L11),2)</f>
        <v>424797.19</v>
      </c>
      <c r="V11" s="31">
        <f>ROUND(AVERAGE(S11,U11),2)</f>
        <v>360518.6</v>
      </c>
      <c r="X11" s="32">
        <f>+U11</f>
        <v>424797.19</v>
      </c>
      <c r="Y11" s="32">
        <f>ROUND(X11*19%,2)</f>
        <v>80711.47</v>
      </c>
      <c r="Z11" s="32">
        <f>ROUND(X11+Y11,2)</f>
        <v>505508.66</v>
      </c>
      <c r="AA11" s="32">
        <f>ROUND(Z11*$E11,2)</f>
        <v>97563171.379999995</v>
      </c>
      <c r="AC11" s="33"/>
      <c r="AD11" s="33"/>
    </row>
    <row r="12" spans="2:30" ht="30.9" customHeight="1">
      <c r="B12" s="51">
        <v>2</v>
      </c>
      <c r="C12" s="23" t="s">
        <v>36</v>
      </c>
      <c r="D12" s="8" t="s">
        <v>46</v>
      </c>
      <c r="E12" s="24">
        <v>400</v>
      </c>
      <c r="F12" s="25"/>
      <c r="H12" s="26">
        <v>683550</v>
      </c>
      <c r="J12" s="56">
        <v>504202</v>
      </c>
      <c r="L12" s="56">
        <f>726852/1.19</f>
        <v>610800</v>
      </c>
      <c r="M12" s="28"/>
      <c r="N12" s="29"/>
      <c r="O12" s="30"/>
      <c r="P12" s="29"/>
      <c r="Q12" s="30"/>
      <c r="R12" s="29"/>
      <c r="S12" s="31">
        <f t="shared" ref="S12:S22" si="0">ROUND(MIN(H12,J12,L12),2)</f>
        <v>504202</v>
      </c>
      <c r="T12" s="31">
        <f t="shared" ref="T12:T22" si="1">ROUND(MAX(H12,J12,L12),2)</f>
        <v>683550</v>
      </c>
      <c r="U12" s="31">
        <f t="shared" ref="U12:U22" si="2">ROUND(AVERAGE(H12,J12,L12),2)</f>
        <v>599517.32999999996</v>
      </c>
      <c r="V12" s="83">
        <f t="shared" ref="V12:V23" si="3">ROUND(AVERAGE(S12,U12),2)</f>
        <v>551859.67000000004</v>
      </c>
      <c r="X12" s="32">
        <f t="shared" ref="X12:X20" si="4">V12</f>
        <v>551859.67000000004</v>
      </c>
      <c r="Y12" s="32">
        <f t="shared" ref="Y12:Y23" si="5">ROUND(X12*19%,2)</f>
        <v>104853.34</v>
      </c>
      <c r="Z12" s="32">
        <f t="shared" ref="Z12:Z23" si="6">ROUND(X12+Y12,2)</f>
        <v>656713.01</v>
      </c>
      <c r="AA12" s="32">
        <f t="shared" ref="AA12:AA23" si="7">ROUND(Z12*$E12,2)</f>
        <v>262685204</v>
      </c>
      <c r="AC12" s="33"/>
      <c r="AD12" s="33"/>
    </row>
    <row r="13" spans="2:30" ht="30.9" customHeight="1">
      <c r="B13" s="51">
        <v>3</v>
      </c>
      <c r="C13" s="23" t="s">
        <v>37</v>
      </c>
      <c r="D13" s="8" t="s">
        <v>46</v>
      </c>
      <c r="E13" s="24">
        <v>5</v>
      </c>
      <c r="F13" s="25"/>
      <c r="H13" s="26">
        <v>2103850</v>
      </c>
      <c r="J13" s="56">
        <v>2100841</v>
      </c>
      <c r="L13" s="27">
        <f>2671331/1.19</f>
        <v>2244815.9663865548</v>
      </c>
      <c r="M13" s="28"/>
      <c r="N13" s="29"/>
      <c r="O13" s="30"/>
      <c r="P13" s="29"/>
      <c r="Q13" s="30"/>
      <c r="R13" s="29"/>
      <c r="S13" s="31">
        <f t="shared" si="0"/>
        <v>2100841</v>
      </c>
      <c r="T13" s="31">
        <f t="shared" si="1"/>
        <v>2244815.9700000002</v>
      </c>
      <c r="U13" s="31">
        <f t="shared" si="2"/>
        <v>2149835.66</v>
      </c>
      <c r="V13" s="83">
        <f t="shared" si="3"/>
        <v>2125338.33</v>
      </c>
      <c r="X13" s="32">
        <f t="shared" si="4"/>
        <v>2125338.33</v>
      </c>
      <c r="Y13" s="32">
        <f t="shared" si="5"/>
        <v>403814.28</v>
      </c>
      <c r="Z13" s="32">
        <f t="shared" si="6"/>
        <v>2529152.61</v>
      </c>
      <c r="AA13" s="32">
        <f t="shared" si="7"/>
        <v>12645763.050000001</v>
      </c>
      <c r="AC13" s="33"/>
      <c r="AD13" s="33"/>
    </row>
    <row r="14" spans="2:30" ht="30.9" customHeight="1">
      <c r="B14" s="51">
        <v>4</v>
      </c>
      <c r="C14" s="23" t="s">
        <v>38</v>
      </c>
      <c r="D14" s="8" t="s">
        <v>46</v>
      </c>
      <c r="E14" s="24">
        <v>57</v>
      </c>
      <c r="F14" s="25"/>
      <c r="H14" s="26">
        <v>1374730</v>
      </c>
      <c r="J14" s="84">
        <v>210085</v>
      </c>
      <c r="L14" s="27">
        <f>2182210/1.19</f>
        <v>1833789.9159663867</v>
      </c>
      <c r="M14" s="28"/>
      <c r="N14" s="29"/>
      <c r="O14" s="30"/>
      <c r="P14" s="29"/>
      <c r="Q14" s="30"/>
      <c r="R14" s="29"/>
      <c r="S14" s="31">
        <f>ROUND(MIN(H14,L14),2)</f>
        <v>1374730</v>
      </c>
      <c r="T14" s="31">
        <f>ROUND(MAX(H14,L14),2)</f>
        <v>1833789.92</v>
      </c>
      <c r="U14" s="31">
        <f>ROUND(AVERAGE(H14,L14),2)</f>
        <v>1604259.96</v>
      </c>
      <c r="V14" s="83">
        <f t="shared" si="3"/>
        <v>1489494.98</v>
      </c>
      <c r="X14" s="86">
        <f t="shared" si="4"/>
        <v>1489494.98</v>
      </c>
      <c r="Y14" s="32">
        <f t="shared" si="5"/>
        <v>283004.05</v>
      </c>
      <c r="Z14" s="32">
        <f t="shared" si="6"/>
        <v>1772499.03</v>
      </c>
      <c r="AA14" s="32">
        <f t="shared" si="7"/>
        <v>101032444.70999999</v>
      </c>
      <c r="AC14" s="33"/>
      <c r="AD14" s="33"/>
    </row>
    <row r="15" spans="2:30" ht="30.9" customHeight="1">
      <c r="B15" s="51">
        <v>5</v>
      </c>
      <c r="C15" s="23" t="s">
        <v>57</v>
      </c>
      <c r="D15" s="8" t="s">
        <v>46</v>
      </c>
      <c r="E15" s="24">
        <v>60</v>
      </c>
      <c r="F15" s="25"/>
      <c r="H15" s="26">
        <v>698740</v>
      </c>
      <c r="J15" s="84">
        <v>250000</v>
      </c>
      <c r="L15" s="27">
        <f>1094800/1.19</f>
        <v>920000</v>
      </c>
      <c r="M15" s="28"/>
      <c r="N15" s="29"/>
      <c r="O15" s="30"/>
      <c r="P15" s="29"/>
      <c r="Q15" s="30"/>
      <c r="R15" s="29"/>
      <c r="S15" s="31">
        <f>ROUND(MIN(H15,L15),2)</f>
        <v>698740</v>
      </c>
      <c r="T15" s="31">
        <f>ROUND(MAX(H15,L15),2)</f>
        <v>920000</v>
      </c>
      <c r="U15" s="31">
        <f>ROUND(AVERAGE(H15,L15),2)</f>
        <v>809370</v>
      </c>
      <c r="V15" s="83">
        <f t="shared" si="3"/>
        <v>754055</v>
      </c>
      <c r="X15" s="86">
        <f>V15</f>
        <v>754055</v>
      </c>
      <c r="Y15" s="32">
        <f>ROUND(X15*19%,2)</f>
        <v>143270.45000000001</v>
      </c>
      <c r="Z15" s="32">
        <f>ROUND(X15+Y15,2)</f>
        <v>897325.45</v>
      </c>
      <c r="AA15" s="32">
        <f t="shared" si="7"/>
        <v>53839527</v>
      </c>
      <c r="AC15" s="33"/>
      <c r="AD15" s="33"/>
    </row>
    <row r="16" spans="2:30" ht="30.9" customHeight="1">
      <c r="B16" s="51">
        <v>6</v>
      </c>
      <c r="C16" s="23" t="s">
        <v>39</v>
      </c>
      <c r="D16" s="8" t="s">
        <v>46</v>
      </c>
      <c r="E16" s="24">
        <v>60</v>
      </c>
      <c r="F16" s="25"/>
      <c r="H16" s="85">
        <v>144340</v>
      </c>
      <c r="J16" s="56">
        <v>400000</v>
      </c>
      <c r="L16" s="27">
        <f>357000/1.19</f>
        <v>300000</v>
      </c>
      <c r="M16" s="28"/>
      <c r="N16" s="29"/>
      <c r="O16" s="30"/>
      <c r="P16" s="29"/>
      <c r="Q16" s="30"/>
      <c r="R16" s="29"/>
      <c r="S16" s="31">
        <f>ROUND(MIN(J16,L16),2)</f>
        <v>300000</v>
      </c>
      <c r="T16" s="31">
        <f>ROUND(MAX(J16,L16),2)</f>
        <v>400000</v>
      </c>
      <c r="U16" s="83">
        <f>ROUND(AVERAGE(J16,L16),2)</f>
        <v>350000</v>
      </c>
      <c r="V16" s="31">
        <f t="shared" si="3"/>
        <v>325000</v>
      </c>
      <c r="X16" s="32">
        <f>+U16</f>
        <v>350000</v>
      </c>
      <c r="Y16" s="32">
        <f>ROUND(X16*19%,2)</f>
        <v>66500</v>
      </c>
      <c r="Z16" s="32">
        <f>ROUND(X16+Y16,2)</f>
        <v>416500</v>
      </c>
      <c r="AA16" s="32">
        <f t="shared" si="7"/>
        <v>24990000</v>
      </c>
      <c r="AC16" s="33"/>
      <c r="AD16" s="33"/>
    </row>
    <row r="17" spans="2:30" ht="30.9" customHeight="1">
      <c r="B17" s="51">
        <v>7</v>
      </c>
      <c r="C17" s="23" t="s">
        <v>58</v>
      </c>
      <c r="D17" s="8" t="s">
        <v>46</v>
      </c>
      <c r="E17" s="24">
        <v>53</v>
      </c>
      <c r="F17" s="25"/>
      <c r="H17" s="26">
        <v>1291150</v>
      </c>
      <c r="J17" s="84">
        <v>2300000</v>
      </c>
      <c r="L17" s="27">
        <f>1430082/1.19</f>
        <v>1201749.5798319329</v>
      </c>
      <c r="M17" s="28"/>
      <c r="N17" s="29"/>
      <c r="O17" s="30"/>
      <c r="P17" s="29"/>
      <c r="Q17" s="30"/>
      <c r="R17" s="29"/>
      <c r="S17" s="31">
        <f>ROUND(MIN(H17,L17),2)</f>
        <v>1201749.58</v>
      </c>
      <c r="T17" s="31">
        <f>ROUND(MAX(H17,L17),2)</f>
        <v>1291150</v>
      </c>
      <c r="U17" s="83">
        <f>ROUND(AVERAGE(H17,L17),2)</f>
        <v>1246449.79</v>
      </c>
      <c r="V17" s="31">
        <f t="shared" si="3"/>
        <v>1224099.69</v>
      </c>
      <c r="X17" s="32">
        <f>+U17</f>
        <v>1246449.79</v>
      </c>
      <c r="Y17" s="32">
        <f t="shared" si="5"/>
        <v>236825.46</v>
      </c>
      <c r="Z17" s="32">
        <f t="shared" si="6"/>
        <v>1483275.25</v>
      </c>
      <c r="AA17" s="32">
        <f t="shared" si="7"/>
        <v>78613588.25</v>
      </c>
      <c r="AC17" s="33"/>
      <c r="AD17" s="33"/>
    </row>
    <row r="18" spans="2:30" ht="30.9" customHeight="1">
      <c r="B18" s="51">
        <v>8</v>
      </c>
      <c r="C18" s="23" t="s">
        <v>40</v>
      </c>
      <c r="D18" s="8" t="s">
        <v>46</v>
      </c>
      <c r="E18" s="24">
        <v>3</v>
      </c>
      <c r="F18" s="25"/>
      <c r="H18" s="26">
        <v>666666.66666666674</v>
      </c>
      <c r="J18" s="56">
        <v>1000000</v>
      </c>
      <c r="L18" s="27">
        <f>535500/1.19</f>
        <v>450000</v>
      </c>
      <c r="M18" s="28"/>
      <c r="N18" s="29"/>
      <c r="O18" s="30"/>
      <c r="P18" s="29"/>
      <c r="Q18" s="30"/>
      <c r="R18" s="29"/>
      <c r="S18" s="31">
        <f t="shared" si="0"/>
        <v>450000</v>
      </c>
      <c r="T18" s="31">
        <f t="shared" si="1"/>
        <v>1000000</v>
      </c>
      <c r="U18" s="83">
        <f t="shared" si="2"/>
        <v>705555.56</v>
      </c>
      <c r="V18" s="31">
        <f t="shared" si="3"/>
        <v>577777.78</v>
      </c>
      <c r="X18" s="32">
        <f>+U18</f>
        <v>705555.56</v>
      </c>
      <c r="Y18" s="32">
        <f t="shared" si="5"/>
        <v>134055.56</v>
      </c>
      <c r="Z18" s="32">
        <f t="shared" si="6"/>
        <v>839611.12</v>
      </c>
      <c r="AA18" s="32">
        <f t="shared" si="7"/>
        <v>2518833.36</v>
      </c>
      <c r="AC18" s="33"/>
      <c r="AD18" s="33"/>
    </row>
    <row r="19" spans="2:30" ht="30.9" customHeight="1">
      <c r="B19" s="51">
        <v>9</v>
      </c>
      <c r="C19" s="23" t="s">
        <v>41</v>
      </c>
      <c r="D19" s="8" t="s">
        <v>46</v>
      </c>
      <c r="E19" s="24">
        <v>30</v>
      </c>
      <c r="F19" s="25"/>
      <c r="H19" s="26">
        <v>980000</v>
      </c>
      <c r="J19" s="56">
        <v>1900000</v>
      </c>
      <c r="L19" s="27">
        <f>1751680/1.19</f>
        <v>1472000</v>
      </c>
      <c r="M19" s="28"/>
      <c r="N19" s="29"/>
      <c r="O19" s="30"/>
      <c r="P19" s="29"/>
      <c r="Q19" s="30"/>
      <c r="R19" s="29"/>
      <c r="S19" s="31">
        <f t="shared" si="0"/>
        <v>980000</v>
      </c>
      <c r="T19" s="31">
        <f t="shared" si="1"/>
        <v>1900000</v>
      </c>
      <c r="U19" s="83">
        <f t="shared" si="2"/>
        <v>1450666.67</v>
      </c>
      <c r="V19" s="31">
        <f t="shared" si="3"/>
        <v>1215333.3400000001</v>
      </c>
      <c r="X19" s="32">
        <f>+U19</f>
        <v>1450666.67</v>
      </c>
      <c r="Y19" s="32">
        <f t="shared" si="5"/>
        <v>275626.67</v>
      </c>
      <c r="Z19" s="32">
        <f t="shared" si="6"/>
        <v>1726293.34</v>
      </c>
      <c r="AA19" s="32">
        <f t="shared" si="7"/>
        <v>51788800.200000003</v>
      </c>
      <c r="AC19" s="33"/>
      <c r="AD19" s="33"/>
    </row>
    <row r="20" spans="2:30" ht="30.9" customHeight="1">
      <c r="B20" s="51">
        <v>10</v>
      </c>
      <c r="C20" s="23" t="s">
        <v>42</v>
      </c>
      <c r="D20" s="8" t="s">
        <v>46</v>
      </c>
      <c r="E20" s="24">
        <v>174</v>
      </c>
      <c r="F20" s="25"/>
      <c r="H20" s="26">
        <v>425600</v>
      </c>
      <c r="J20" s="56">
        <v>950000</v>
      </c>
      <c r="L20" s="27">
        <f>404939/1.19</f>
        <v>340284.87394957984</v>
      </c>
      <c r="M20" s="28"/>
      <c r="N20" s="29"/>
      <c r="O20" s="30"/>
      <c r="P20" s="29"/>
      <c r="Q20" s="30"/>
      <c r="R20" s="29"/>
      <c r="S20" s="31">
        <f t="shared" si="0"/>
        <v>340284.87</v>
      </c>
      <c r="T20" s="31">
        <f t="shared" si="1"/>
        <v>950000</v>
      </c>
      <c r="U20" s="31">
        <f t="shared" si="2"/>
        <v>571961.62</v>
      </c>
      <c r="V20" s="83">
        <f t="shared" si="3"/>
        <v>456123.25</v>
      </c>
      <c r="X20" s="32">
        <f t="shared" si="4"/>
        <v>456123.25</v>
      </c>
      <c r="Y20" s="32">
        <f t="shared" si="5"/>
        <v>86663.42</v>
      </c>
      <c r="Z20" s="32">
        <f t="shared" si="6"/>
        <v>542786.67000000004</v>
      </c>
      <c r="AA20" s="32">
        <f t="shared" si="7"/>
        <v>94444880.579999998</v>
      </c>
      <c r="AC20" s="33"/>
      <c r="AD20" s="33"/>
    </row>
    <row r="21" spans="2:30" ht="30.9" customHeight="1">
      <c r="B21" s="51">
        <v>11</v>
      </c>
      <c r="C21" s="23" t="s">
        <v>43</v>
      </c>
      <c r="D21" s="8" t="s">
        <v>46</v>
      </c>
      <c r="E21" s="24">
        <v>106</v>
      </c>
      <c r="F21" s="25"/>
      <c r="H21" s="26">
        <v>425600</v>
      </c>
      <c r="J21" s="56">
        <v>500000</v>
      </c>
      <c r="L21" s="27">
        <f>410550/1.19</f>
        <v>345000</v>
      </c>
      <c r="M21" s="28"/>
      <c r="N21" s="29"/>
      <c r="O21" s="30"/>
      <c r="P21" s="29"/>
      <c r="Q21" s="30"/>
      <c r="R21" s="29"/>
      <c r="S21" s="31">
        <f t="shared" si="0"/>
        <v>345000</v>
      </c>
      <c r="T21" s="31">
        <f t="shared" si="1"/>
        <v>500000</v>
      </c>
      <c r="U21" s="83">
        <f t="shared" si="2"/>
        <v>423533.33</v>
      </c>
      <c r="V21" s="31">
        <f t="shared" si="3"/>
        <v>384266.67</v>
      </c>
      <c r="X21" s="32">
        <f>+U21</f>
        <v>423533.33</v>
      </c>
      <c r="Y21" s="32">
        <f t="shared" si="5"/>
        <v>80471.33</v>
      </c>
      <c r="Z21" s="32">
        <f t="shared" si="6"/>
        <v>504004.66</v>
      </c>
      <c r="AA21" s="32">
        <f t="shared" si="7"/>
        <v>53424493.960000001</v>
      </c>
      <c r="AC21" s="33"/>
      <c r="AD21" s="33"/>
    </row>
    <row r="22" spans="2:30" ht="30.9" customHeight="1">
      <c r="B22" s="51">
        <v>12</v>
      </c>
      <c r="C22" s="23" t="s">
        <v>44</v>
      </c>
      <c r="D22" s="8" t="s">
        <v>46</v>
      </c>
      <c r="E22" s="24">
        <v>6</v>
      </c>
      <c r="F22" s="25"/>
      <c r="H22" s="26">
        <v>1825600</v>
      </c>
      <c r="J22" s="56">
        <v>2400000</v>
      </c>
      <c r="L22" s="4">
        <f>2052750/1.19</f>
        <v>1725000</v>
      </c>
      <c r="M22" s="5"/>
      <c r="N22" s="29"/>
      <c r="O22" s="30"/>
      <c r="P22" s="29"/>
      <c r="Q22" s="30"/>
      <c r="R22" s="29">
        <v>82680</v>
      </c>
      <c r="S22" s="31">
        <f t="shared" si="0"/>
        <v>1725000</v>
      </c>
      <c r="T22" s="31">
        <f t="shared" si="1"/>
        <v>2400000</v>
      </c>
      <c r="U22" s="31">
        <f t="shared" si="2"/>
        <v>1983533.33</v>
      </c>
      <c r="V22" s="83">
        <f t="shared" si="3"/>
        <v>1854266.67</v>
      </c>
      <c r="X22" s="32">
        <f>V22</f>
        <v>1854266.67</v>
      </c>
      <c r="Y22" s="32">
        <f>ROUND(X22*19%,2)</f>
        <v>352310.67</v>
      </c>
      <c r="Z22" s="32">
        <f>ROUND(X22+Y22,2)</f>
        <v>2206577.34</v>
      </c>
      <c r="AA22" s="32">
        <f t="shared" si="7"/>
        <v>13239464.039999999</v>
      </c>
      <c r="AC22" s="33"/>
      <c r="AD22" s="33"/>
    </row>
    <row r="23" spans="2:30" ht="30.9" customHeight="1">
      <c r="B23" s="51">
        <v>13</v>
      </c>
      <c r="C23" s="23" t="s">
        <v>45</v>
      </c>
      <c r="D23" s="8" t="s">
        <v>46</v>
      </c>
      <c r="E23" s="24">
        <v>6</v>
      </c>
      <c r="F23" s="25"/>
      <c r="H23" s="26">
        <v>2384900</v>
      </c>
      <c r="J23" s="84">
        <v>3400000</v>
      </c>
      <c r="L23" s="4">
        <f>3010973/1.19</f>
        <v>2530229.411764706</v>
      </c>
      <c r="M23" s="5"/>
      <c r="N23" s="29"/>
      <c r="O23" s="30"/>
      <c r="P23" s="29"/>
      <c r="Q23" s="30"/>
      <c r="R23" s="29">
        <v>41620</v>
      </c>
      <c r="S23" s="31">
        <f>ROUND(MIN(H23,L23),2)</f>
        <v>2384900</v>
      </c>
      <c r="T23" s="31">
        <f>ROUND(MAX(H23,L23),2)</f>
        <v>2530229.41</v>
      </c>
      <c r="U23" s="83">
        <f>ROUND(AVERAGE(H23,L23),2)</f>
        <v>2457564.71</v>
      </c>
      <c r="V23" s="31">
        <f t="shared" si="3"/>
        <v>2421232.36</v>
      </c>
      <c r="X23" s="32">
        <f>+U23</f>
        <v>2457564.71</v>
      </c>
      <c r="Y23" s="32">
        <f t="shared" si="5"/>
        <v>466937.29</v>
      </c>
      <c r="Z23" s="32">
        <f t="shared" si="6"/>
        <v>2924502</v>
      </c>
      <c r="AA23" s="32">
        <f t="shared" si="7"/>
        <v>17547012</v>
      </c>
      <c r="AC23" s="33"/>
      <c r="AD23" s="33"/>
    </row>
    <row r="24" spans="2:30" ht="30.9" customHeight="1">
      <c r="B24" s="99" t="s">
        <v>47</v>
      </c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1"/>
      <c r="AC24" s="33"/>
      <c r="AD24" s="33"/>
    </row>
    <row r="25" spans="2:30" ht="42.9" customHeight="1">
      <c r="B25" s="52" t="s">
        <v>7</v>
      </c>
      <c r="C25" s="52" t="s">
        <v>8</v>
      </c>
      <c r="D25" s="52" t="s">
        <v>9</v>
      </c>
      <c r="E25" s="52" t="s">
        <v>10</v>
      </c>
      <c r="F25" s="53"/>
      <c r="G25" s="53"/>
      <c r="H25" s="46" t="s">
        <v>4</v>
      </c>
      <c r="J25" s="46" t="s">
        <v>4</v>
      </c>
      <c r="K25" s="53"/>
      <c r="L25" s="46" t="s">
        <v>4</v>
      </c>
      <c r="M25" s="47"/>
      <c r="N25" s="48" t="s">
        <v>4</v>
      </c>
      <c r="O25" s="49"/>
      <c r="P25" s="48" t="s">
        <v>4</v>
      </c>
      <c r="Q25" s="49"/>
      <c r="R25" s="48" t="s">
        <v>4</v>
      </c>
      <c r="S25" s="50" t="s">
        <v>11</v>
      </c>
      <c r="T25" s="50" t="s">
        <v>12</v>
      </c>
      <c r="U25" s="50" t="s">
        <v>13</v>
      </c>
      <c r="V25" s="50" t="s">
        <v>14</v>
      </c>
      <c r="W25" s="53"/>
      <c r="X25" s="46" t="s">
        <v>4</v>
      </c>
      <c r="Y25" s="46" t="s">
        <v>15</v>
      </c>
      <c r="Z25" s="46" t="s">
        <v>16</v>
      </c>
      <c r="AA25" s="46" t="s">
        <v>17</v>
      </c>
      <c r="AC25" s="33"/>
      <c r="AD25" s="33"/>
    </row>
    <row r="26" spans="2:30" ht="30.9" customHeight="1">
      <c r="B26" s="51">
        <v>1</v>
      </c>
      <c r="C26" s="23" t="s">
        <v>48</v>
      </c>
      <c r="D26" s="8" t="s">
        <v>46</v>
      </c>
      <c r="E26" s="24">
        <v>959</v>
      </c>
      <c r="F26" s="53"/>
      <c r="G26" s="53"/>
      <c r="H26" s="57">
        <v>908256</v>
      </c>
      <c r="I26" s="53"/>
      <c r="J26" s="56">
        <v>1000000</v>
      </c>
      <c r="K26" s="53"/>
      <c r="L26" s="4">
        <f>2356200/1.19</f>
        <v>1980000</v>
      </c>
      <c r="M26" s="5"/>
      <c r="N26" s="29">
        <v>6250</v>
      </c>
      <c r="O26" s="30"/>
      <c r="P26" s="29">
        <v>6733</v>
      </c>
      <c r="Q26" s="30"/>
      <c r="R26" s="29"/>
      <c r="S26" s="31">
        <f t="shared" ref="S26" si="8">ROUND(MIN(H26,J26,L26),2)</f>
        <v>908256</v>
      </c>
      <c r="T26" s="31">
        <f t="shared" ref="T26" si="9">ROUND(MAX(H26,J26,L26),2)</f>
        <v>1980000</v>
      </c>
      <c r="U26" s="31">
        <f t="shared" ref="U26" si="10">ROUND(AVERAGE(H26,J26,L26),2)</f>
        <v>1296085.33</v>
      </c>
      <c r="V26" s="83">
        <f t="shared" ref="V26" si="11">ROUND(AVERAGE(S26,U26),2)</f>
        <v>1102170.67</v>
      </c>
      <c r="W26" s="53"/>
      <c r="X26" s="32">
        <f>V26</f>
        <v>1102170.67</v>
      </c>
      <c r="Y26" s="32">
        <f>ROUND(X26*19%,2)</f>
        <v>209412.43</v>
      </c>
      <c r="Z26" s="32">
        <f>ROUND(X26+Y26,2)</f>
        <v>1311583.1000000001</v>
      </c>
      <c r="AA26" s="32">
        <f>ROUND(Z26*$E26,2)</f>
        <v>1257808192.9000001</v>
      </c>
      <c r="AC26" s="33"/>
      <c r="AD26" s="33"/>
    </row>
    <row r="27" spans="2:30" ht="30.9" customHeight="1">
      <c r="B27" s="51">
        <v>2</v>
      </c>
      <c r="C27" s="23" t="s">
        <v>49</v>
      </c>
      <c r="D27" s="8" t="s">
        <v>46</v>
      </c>
      <c r="E27" s="34">
        <v>1373</v>
      </c>
      <c r="F27" s="53"/>
      <c r="G27" s="53"/>
      <c r="H27" s="57">
        <v>822721</v>
      </c>
      <c r="I27" s="35"/>
      <c r="J27" s="56">
        <v>900000</v>
      </c>
      <c r="K27" s="53"/>
      <c r="L27" s="4">
        <f>2356200/1.19</f>
        <v>1980000</v>
      </c>
      <c r="M27" s="5"/>
      <c r="N27" s="29"/>
      <c r="O27" s="30"/>
      <c r="P27" s="29"/>
      <c r="Q27" s="30"/>
      <c r="R27" s="29"/>
      <c r="S27" s="31">
        <f t="shared" ref="S27:S34" si="12">ROUND(MIN(H27,J27,L27),2)</f>
        <v>822721</v>
      </c>
      <c r="T27" s="31">
        <f t="shared" ref="T27:T34" si="13">ROUND(MAX(H27,J27,L27),2)</f>
        <v>1980000</v>
      </c>
      <c r="U27" s="31">
        <f t="shared" ref="U27:U34" si="14">ROUND(AVERAGE(H27,J27,L27),2)</f>
        <v>1234240.33</v>
      </c>
      <c r="V27" s="83">
        <f t="shared" ref="V27:V28" si="15">ROUND(AVERAGE(S27,U27),2)</f>
        <v>1028480.67</v>
      </c>
      <c r="W27" s="53"/>
      <c r="X27" s="32">
        <f>V27</f>
        <v>1028480.67</v>
      </c>
      <c r="Y27" s="32">
        <f>ROUND(X27*19%,2)</f>
        <v>195411.33</v>
      </c>
      <c r="Z27" s="32">
        <f>ROUND(X27+Y27,2)</f>
        <v>1223892</v>
      </c>
      <c r="AA27" s="32">
        <f>ROUND(Z27*$E27,2)</f>
        <v>1680403716</v>
      </c>
      <c r="AC27" s="33"/>
      <c r="AD27" s="33"/>
    </row>
    <row r="28" spans="2:30" ht="30.9" customHeight="1">
      <c r="B28" s="51">
        <v>3</v>
      </c>
      <c r="C28" s="23" t="s">
        <v>50</v>
      </c>
      <c r="D28" s="8" t="s">
        <v>46</v>
      </c>
      <c r="E28" s="24">
        <v>50</v>
      </c>
      <c r="F28" s="53"/>
      <c r="G28" s="53"/>
      <c r="H28" s="57">
        <v>759900</v>
      </c>
      <c r="I28" s="35"/>
      <c r="J28" s="56">
        <v>450000</v>
      </c>
      <c r="K28" s="53"/>
      <c r="L28" s="4">
        <f>2380000/1.19</f>
        <v>2000000</v>
      </c>
      <c r="M28" s="5"/>
      <c r="N28" s="29"/>
      <c r="O28" s="30"/>
      <c r="P28" s="29"/>
      <c r="Q28" s="30"/>
      <c r="R28" s="29"/>
      <c r="S28" s="31">
        <f t="shared" si="12"/>
        <v>450000</v>
      </c>
      <c r="T28" s="31">
        <f t="shared" si="13"/>
        <v>2000000</v>
      </c>
      <c r="U28" s="31">
        <f t="shared" si="14"/>
        <v>1069966.67</v>
      </c>
      <c r="V28" s="83">
        <f t="shared" si="15"/>
        <v>759983.34</v>
      </c>
      <c r="W28" s="53"/>
      <c r="X28" s="32">
        <f t="shared" ref="X28" si="16">V28</f>
        <v>759983.34</v>
      </c>
      <c r="Y28" s="32">
        <f t="shared" ref="Y28" si="17">ROUND(X28*19%,2)</f>
        <v>144396.82999999999</v>
      </c>
      <c r="Z28" s="32">
        <f t="shared" ref="Z28" si="18">ROUND(X28+Y28,2)</f>
        <v>904380.17</v>
      </c>
      <c r="AA28" s="32">
        <f t="shared" ref="AA28" si="19">ROUND(Z28*$E28,2)</f>
        <v>45219008.5</v>
      </c>
      <c r="AC28" s="33"/>
      <c r="AD28" s="33"/>
    </row>
    <row r="29" spans="2:30" ht="30.9" customHeight="1">
      <c r="B29" s="51">
        <v>4</v>
      </c>
      <c r="C29" s="23" t="s">
        <v>51</v>
      </c>
      <c r="D29" s="8" t="s">
        <v>46</v>
      </c>
      <c r="E29" s="24">
        <v>10</v>
      </c>
      <c r="F29" s="53"/>
      <c r="G29" s="53"/>
      <c r="H29" s="57">
        <v>1037210</v>
      </c>
      <c r="I29" s="35"/>
      <c r="J29" s="56">
        <v>450000</v>
      </c>
      <c r="K29" s="53"/>
      <c r="L29" s="4">
        <f>2737000/1.19</f>
        <v>2300000</v>
      </c>
      <c r="M29" s="5"/>
      <c r="N29" s="54"/>
      <c r="O29" s="55"/>
      <c r="P29" s="54"/>
      <c r="Q29" s="55"/>
      <c r="R29" s="29">
        <v>1900</v>
      </c>
      <c r="S29" s="31">
        <f t="shared" si="12"/>
        <v>450000</v>
      </c>
      <c r="T29" s="31">
        <f t="shared" si="13"/>
        <v>2300000</v>
      </c>
      <c r="U29" s="83">
        <f t="shared" si="14"/>
        <v>1262403.33</v>
      </c>
      <c r="V29" s="31">
        <f t="shared" ref="V29:V30" si="20">ROUND(AVERAGE(S29,U29),2)</f>
        <v>856201.67</v>
      </c>
      <c r="W29" s="53"/>
      <c r="X29" s="32">
        <f>+U29</f>
        <v>1262403.33</v>
      </c>
      <c r="Y29" s="32">
        <f>ROUND(X29*19%,2)</f>
        <v>239856.63</v>
      </c>
      <c r="Z29" s="32">
        <f>ROUND(X29+Y29,2)</f>
        <v>1502259.96</v>
      </c>
      <c r="AA29" s="32">
        <f t="shared" ref="AA29:AA34" si="21">ROUND(Z29*$E29,2)</f>
        <v>15022599.6</v>
      </c>
      <c r="AC29" s="33"/>
      <c r="AD29" s="33"/>
    </row>
    <row r="30" spans="2:30" ht="30.9" customHeight="1">
      <c r="B30" s="51">
        <v>5</v>
      </c>
      <c r="C30" s="23" t="s">
        <v>52</v>
      </c>
      <c r="D30" s="8" t="s">
        <v>46</v>
      </c>
      <c r="E30" s="24">
        <v>10</v>
      </c>
      <c r="F30" s="53"/>
      <c r="G30" s="53"/>
      <c r="H30" s="57">
        <v>1037210</v>
      </c>
      <c r="I30" s="35"/>
      <c r="J30" s="56">
        <v>2300000</v>
      </c>
      <c r="K30" s="53"/>
      <c r="L30" s="4">
        <f>2737000/1.19</f>
        <v>2300000</v>
      </c>
      <c r="M30" s="5"/>
      <c r="N30" s="54"/>
      <c r="O30" s="55"/>
      <c r="P30" s="54"/>
      <c r="Q30" s="55"/>
      <c r="R30" s="29">
        <v>15506</v>
      </c>
      <c r="S30" s="31">
        <f t="shared" si="12"/>
        <v>1037210</v>
      </c>
      <c r="T30" s="31">
        <f t="shared" si="13"/>
        <v>2300000</v>
      </c>
      <c r="U30" s="83">
        <f t="shared" si="14"/>
        <v>1879070</v>
      </c>
      <c r="V30" s="31">
        <f t="shared" si="20"/>
        <v>1458140</v>
      </c>
      <c r="W30" s="53"/>
      <c r="X30" s="32">
        <f t="shared" ref="X30:X34" si="22">+U30</f>
        <v>1879070</v>
      </c>
      <c r="Y30" s="32">
        <f t="shared" ref="Y30:Y34" si="23">ROUND(X30*19%,2)</f>
        <v>357023.3</v>
      </c>
      <c r="Z30" s="32">
        <f t="shared" ref="Z30" si="24">ROUND(X30+Y30,2)</f>
        <v>2236093.2999999998</v>
      </c>
      <c r="AA30" s="32">
        <f t="shared" si="21"/>
        <v>22360933</v>
      </c>
      <c r="AC30" s="33"/>
      <c r="AD30" s="33"/>
    </row>
    <row r="31" spans="2:30" ht="30.9" customHeight="1">
      <c r="B31" s="51">
        <v>6</v>
      </c>
      <c r="C31" s="23" t="s">
        <v>53</v>
      </c>
      <c r="D31" s="8" t="s">
        <v>46</v>
      </c>
      <c r="E31" s="24">
        <v>10</v>
      </c>
      <c r="F31" s="53"/>
      <c r="G31" s="53"/>
      <c r="H31" s="57">
        <v>1037210</v>
      </c>
      <c r="I31" s="35"/>
      <c r="J31" s="56">
        <v>2300000</v>
      </c>
      <c r="K31" s="53"/>
      <c r="L31" s="4">
        <f>2737000/1.19</f>
        <v>2300000</v>
      </c>
      <c r="M31" s="5"/>
      <c r="N31" s="54"/>
      <c r="O31" s="55"/>
      <c r="P31" s="54"/>
      <c r="Q31" s="55"/>
      <c r="R31" s="29">
        <v>49900</v>
      </c>
      <c r="S31" s="31">
        <f t="shared" si="12"/>
        <v>1037210</v>
      </c>
      <c r="T31" s="31">
        <f t="shared" si="13"/>
        <v>2300000</v>
      </c>
      <c r="U31" s="83">
        <f t="shared" si="14"/>
        <v>1879070</v>
      </c>
      <c r="V31" s="31">
        <f t="shared" ref="V31:V34" si="25">ROUND(AVERAGE(S31,U31),2)</f>
        <v>1458140</v>
      </c>
      <c r="W31" s="53"/>
      <c r="X31" s="32">
        <f t="shared" si="22"/>
        <v>1879070</v>
      </c>
      <c r="Y31" s="32">
        <f t="shared" si="23"/>
        <v>357023.3</v>
      </c>
      <c r="Z31" s="32">
        <f t="shared" ref="Z31:Z34" si="26">ROUND(X31+Y31,2)</f>
        <v>2236093.2999999998</v>
      </c>
      <c r="AA31" s="32">
        <f t="shared" si="21"/>
        <v>22360933</v>
      </c>
      <c r="AC31" s="33"/>
      <c r="AD31" s="33"/>
    </row>
    <row r="32" spans="2:30" ht="30.9" customHeight="1">
      <c r="B32" s="51">
        <v>7</v>
      </c>
      <c r="C32" s="23" t="s">
        <v>54</v>
      </c>
      <c r="D32" s="8" t="s">
        <v>46</v>
      </c>
      <c r="E32" s="24">
        <v>150</v>
      </c>
      <c r="F32" s="53"/>
      <c r="G32" s="53"/>
      <c r="H32" s="57">
        <v>477304</v>
      </c>
      <c r="I32" s="35"/>
      <c r="J32" s="56">
        <v>2000000</v>
      </c>
      <c r="K32" s="53"/>
      <c r="L32" s="4">
        <f>2558500/1.19</f>
        <v>2150000</v>
      </c>
      <c r="M32" s="5"/>
      <c r="N32" s="54"/>
      <c r="O32" s="55"/>
      <c r="P32" s="54"/>
      <c r="Q32" s="55"/>
      <c r="R32" s="29">
        <v>26940</v>
      </c>
      <c r="S32" s="31">
        <f t="shared" si="12"/>
        <v>477304</v>
      </c>
      <c r="T32" s="31">
        <f t="shared" si="13"/>
        <v>2150000</v>
      </c>
      <c r="U32" s="83">
        <f t="shared" si="14"/>
        <v>1542434.67</v>
      </c>
      <c r="V32" s="31">
        <f t="shared" si="25"/>
        <v>1009869.34</v>
      </c>
      <c r="W32" s="53"/>
      <c r="X32" s="32">
        <f t="shared" si="22"/>
        <v>1542434.67</v>
      </c>
      <c r="Y32" s="32">
        <f t="shared" si="23"/>
        <v>293062.59000000003</v>
      </c>
      <c r="Z32" s="32">
        <f t="shared" si="26"/>
        <v>1835497.26</v>
      </c>
      <c r="AA32" s="32">
        <f t="shared" si="21"/>
        <v>275324589</v>
      </c>
      <c r="AC32" s="33"/>
      <c r="AD32" s="33"/>
    </row>
    <row r="33" spans="1:30" ht="30.9" customHeight="1">
      <c r="B33" s="51">
        <v>8</v>
      </c>
      <c r="C33" s="23" t="s">
        <v>55</v>
      </c>
      <c r="D33" s="8" t="s">
        <v>46</v>
      </c>
      <c r="E33" s="24">
        <v>100</v>
      </c>
      <c r="F33" s="53"/>
      <c r="G33" s="53"/>
      <c r="H33" s="57">
        <v>674666</v>
      </c>
      <c r="I33" s="35"/>
      <c r="J33" s="56">
        <v>2000000</v>
      </c>
      <c r="K33" s="53"/>
      <c r="L33" s="4">
        <f t="shared" ref="L33:L34" si="27">2558500/1.19</f>
        <v>2150000</v>
      </c>
      <c r="M33" s="5"/>
      <c r="N33" s="54"/>
      <c r="O33" s="55"/>
      <c r="P33" s="54"/>
      <c r="Q33" s="55"/>
      <c r="R33" s="29">
        <v>7829</v>
      </c>
      <c r="S33" s="31">
        <f t="shared" si="12"/>
        <v>674666</v>
      </c>
      <c r="T33" s="31">
        <f t="shared" si="13"/>
        <v>2150000</v>
      </c>
      <c r="U33" s="83">
        <f t="shared" si="14"/>
        <v>1608222</v>
      </c>
      <c r="V33" s="31">
        <f t="shared" si="25"/>
        <v>1141444</v>
      </c>
      <c r="W33" s="53"/>
      <c r="X33" s="32">
        <f t="shared" si="22"/>
        <v>1608222</v>
      </c>
      <c r="Y33" s="32">
        <f t="shared" si="23"/>
        <v>305562.18</v>
      </c>
      <c r="Z33" s="32">
        <f t="shared" si="26"/>
        <v>1913784.18</v>
      </c>
      <c r="AA33" s="32">
        <f t="shared" si="21"/>
        <v>191378418</v>
      </c>
      <c r="AC33" s="33"/>
      <c r="AD33" s="33"/>
    </row>
    <row r="34" spans="1:30" ht="30.9" customHeight="1">
      <c r="B34" s="51">
        <v>9</v>
      </c>
      <c r="C34" s="23" t="s">
        <v>56</v>
      </c>
      <c r="D34" s="8" t="s">
        <v>46</v>
      </c>
      <c r="E34" s="24">
        <v>10</v>
      </c>
      <c r="F34" s="53"/>
      <c r="G34" s="53"/>
      <c r="H34" s="57">
        <v>1502997</v>
      </c>
      <c r="I34" s="35"/>
      <c r="J34" s="56">
        <v>1800000</v>
      </c>
      <c r="K34" s="53"/>
      <c r="L34" s="4">
        <f t="shared" si="27"/>
        <v>2150000</v>
      </c>
      <c r="M34" s="5"/>
      <c r="N34" s="54"/>
      <c r="O34" s="55"/>
      <c r="P34" s="54"/>
      <c r="Q34" s="55"/>
      <c r="R34" s="29">
        <v>7173</v>
      </c>
      <c r="S34" s="31">
        <f t="shared" si="12"/>
        <v>1502997</v>
      </c>
      <c r="T34" s="31">
        <f t="shared" si="13"/>
        <v>2150000</v>
      </c>
      <c r="U34" s="83">
        <f t="shared" si="14"/>
        <v>1817665.67</v>
      </c>
      <c r="V34" s="31">
        <f t="shared" si="25"/>
        <v>1660331.34</v>
      </c>
      <c r="W34" s="53"/>
      <c r="X34" s="32">
        <f t="shared" si="22"/>
        <v>1817665.67</v>
      </c>
      <c r="Y34" s="32">
        <f t="shared" si="23"/>
        <v>345356.48</v>
      </c>
      <c r="Z34" s="32">
        <f t="shared" si="26"/>
        <v>2163022.15</v>
      </c>
      <c r="AA34" s="32">
        <f t="shared" si="21"/>
        <v>21630221.5</v>
      </c>
      <c r="AC34" s="33"/>
      <c r="AD34" s="33"/>
    </row>
    <row r="35" spans="1:30"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5"/>
      <c r="O35" s="55"/>
      <c r="P35" s="55"/>
      <c r="Q35" s="55"/>
      <c r="R35" s="55"/>
      <c r="S35" s="53"/>
      <c r="T35" s="53"/>
      <c r="U35" s="53"/>
      <c r="V35" s="53"/>
      <c r="W35" s="53"/>
      <c r="X35" s="53"/>
      <c r="Y35" s="53"/>
      <c r="Z35" s="53"/>
      <c r="AA35" s="53"/>
      <c r="AC35" s="33"/>
      <c r="AD35" s="33"/>
    </row>
    <row r="36" spans="1:30"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5"/>
      <c r="O36" s="55"/>
      <c r="P36" s="55"/>
      <c r="Q36" s="55"/>
      <c r="R36" s="55"/>
      <c r="S36" s="53"/>
      <c r="T36" s="53"/>
      <c r="U36" s="53"/>
      <c r="V36" s="53"/>
      <c r="W36" s="53"/>
      <c r="X36" s="53"/>
      <c r="Y36" s="53"/>
      <c r="Z36" s="53"/>
      <c r="AA36" s="53"/>
      <c r="AC36" s="33"/>
      <c r="AD36" s="33"/>
    </row>
    <row r="37" spans="1:30"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5"/>
      <c r="O37" s="55"/>
      <c r="P37" s="55"/>
      <c r="Q37" s="55"/>
      <c r="R37" s="55"/>
      <c r="S37" s="53"/>
      <c r="T37" s="53"/>
      <c r="U37" s="53"/>
      <c r="V37" s="53"/>
      <c r="W37" s="53"/>
      <c r="X37" s="53"/>
      <c r="Y37" s="53"/>
      <c r="Z37" s="53"/>
      <c r="AA37" s="53"/>
      <c r="AC37" s="33"/>
      <c r="AD37" s="33"/>
    </row>
    <row r="38" spans="1:30"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5"/>
      <c r="O38" s="55"/>
      <c r="P38" s="55"/>
      <c r="Q38" s="55"/>
      <c r="R38" s="55"/>
      <c r="S38" s="53"/>
      <c r="T38" s="53"/>
      <c r="U38" s="53"/>
      <c r="V38" s="53"/>
      <c r="W38" s="53"/>
      <c r="X38" s="53"/>
      <c r="Y38" s="53"/>
      <c r="Z38" s="53"/>
      <c r="AA38" s="53"/>
      <c r="AC38" s="33"/>
      <c r="AD38" s="33"/>
    </row>
    <row r="39" spans="1:30">
      <c r="A39" s="38" t="s">
        <v>66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5"/>
      <c r="O39" s="55"/>
      <c r="P39" s="55"/>
      <c r="Q39" s="55"/>
      <c r="R39" s="55"/>
      <c r="S39" s="53"/>
      <c r="T39" s="53"/>
      <c r="U39" s="53"/>
      <c r="V39" s="53"/>
      <c r="W39" s="53"/>
      <c r="X39" s="53"/>
      <c r="Y39" s="53"/>
      <c r="Z39" s="53"/>
      <c r="AA39" s="53"/>
      <c r="AC39" s="33"/>
      <c r="AD39" s="33"/>
    </row>
    <row r="40" spans="1:30">
      <c r="A40" s="38" t="s">
        <v>67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5"/>
      <c r="O40" s="55"/>
      <c r="P40" s="55"/>
      <c r="Q40" s="55"/>
      <c r="R40" s="55"/>
      <c r="S40" s="53"/>
      <c r="T40" s="53"/>
      <c r="U40" s="53"/>
      <c r="V40" s="53"/>
      <c r="W40" s="53"/>
      <c r="X40" s="53"/>
      <c r="Y40" s="53"/>
      <c r="Z40" s="53"/>
      <c r="AA40" s="53"/>
      <c r="AC40" s="33"/>
      <c r="AD40" s="33"/>
    </row>
    <row r="41" spans="1:30"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5"/>
      <c r="O41" s="55"/>
      <c r="P41" s="55"/>
      <c r="Q41" s="55"/>
      <c r="R41" s="55"/>
      <c r="S41" s="53"/>
      <c r="T41" s="53"/>
      <c r="U41" s="53"/>
      <c r="V41" s="53"/>
      <c r="W41" s="53"/>
      <c r="X41" s="53"/>
      <c r="Y41" s="53"/>
      <c r="Z41" s="53"/>
      <c r="AA41" s="53"/>
      <c r="AC41" s="33"/>
      <c r="AD41" s="33"/>
    </row>
    <row r="42" spans="1:30"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5"/>
      <c r="O42" s="55"/>
      <c r="P42" s="55"/>
      <c r="Q42" s="55"/>
      <c r="R42" s="55"/>
      <c r="S42" s="53"/>
      <c r="T42" s="53"/>
      <c r="U42" s="53"/>
      <c r="V42" s="53"/>
      <c r="W42" s="53"/>
      <c r="X42" s="53"/>
      <c r="Y42" s="53"/>
      <c r="Z42" s="53"/>
      <c r="AA42" s="53"/>
      <c r="AC42" s="33"/>
      <c r="AD42" s="33"/>
    </row>
    <row r="43" spans="1:30"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5"/>
      <c r="O43" s="55"/>
      <c r="P43" s="55"/>
      <c r="Q43" s="55"/>
      <c r="R43" s="55"/>
      <c r="S43" s="53"/>
      <c r="T43" s="53"/>
      <c r="U43" s="53"/>
      <c r="V43" s="53"/>
      <c r="W43" s="53"/>
      <c r="X43" s="53"/>
      <c r="Y43" s="53"/>
      <c r="Z43" s="53"/>
      <c r="AA43" s="53"/>
      <c r="AC43" s="33"/>
      <c r="AD43" s="33"/>
    </row>
    <row r="44" spans="1:30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5"/>
      <c r="O44" s="55"/>
      <c r="P44" s="55"/>
      <c r="Q44" s="55"/>
      <c r="R44" s="55"/>
      <c r="S44" s="53"/>
      <c r="T44" s="53"/>
      <c r="U44" s="53"/>
      <c r="V44" s="53"/>
      <c r="W44" s="53"/>
      <c r="X44" s="53"/>
      <c r="Y44" s="53"/>
      <c r="Z44" s="53"/>
      <c r="AA44" s="53"/>
      <c r="AC44" s="33"/>
      <c r="AD44" s="33"/>
    </row>
    <row r="45" spans="1:30"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5"/>
      <c r="O45" s="55"/>
      <c r="P45" s="55"/>
      <c r="Q45" s="55"/>
      <c r="R45" s="55"/>
      <c r="S45" s="53"/>
      <c r="T45" s="53"/>
      <c r="U45" s="53"/>
      <c r="V45" s="53"/>
      <c r="W45" s="53"/>
      <c r="X45" s="53"/>
      <c r="Y45" s="53"/>
      <c r="Z45" s="53"/>
      <c r="AA45" s="53"/>
      <c r="AC45" s="33"/>
      <c r="AD45" s="33"/>
    </row>
    <row r="46" spans="1:30"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5"/>
      <c r="O46" s="55"/>
      <c r="P46" s="55"/>
      <c r="Q46" s="55"/>
      <c r="R46" s="55"/>
      <c r="S46" s="53"/>
      <c r="T46" s="53"/>
      <c r="U46" s="53"/>
      <c r="V46" s="53"/>
      <c r="W46" s="53"/>
      <c r="X46" s="53"/>
      <c r="Y46" s="53"/>
      <c r="Z46" s="53"/>
      <c r="AA46" s="53"/>
      <c r="AC46" s="33"/>
      <c r="AD46" s="33"/>
    </row>
    <row r="47" spans="1:30"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5"/>
      <c r="O47" s="55"/>
      <c r="P47" s="55"/>
      <c r="Q47" s="55"/>
      <c r="R47" s="55"/>
      <c r="S47" s="53"/>
      <c r="T47" s="53"/>
      <c r="U47" s="53"/>
      <c r="V47" s="53"/>
      <c r="W47" s="53"/>
      <c r="X47" s="53"/>
      <c r="Y47" s="53"/>
      <c r="Z47" s="53"/>
      <c r="AA47" s="53"/>
      <c r="AC47" s="33"/>
      <c r="AD47" s="33"/>
    </row>
    <row r="48" spans="1:30"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5"/>
      <c r="O48" s="55"/>
      <c r="P48" s="55"/>
      <c r="Q48" s="55"/>
      <c r="R48" s="55"/>
      <c r="S48" s="53"/>
      <c r="T48" s="53"/>
      <c r="U48" s="53"/>
      <c r="V48" s="53"/>
      <c r="W48" s="53"/>
      <c r="X48" s="53"/>
      <c r="Y48" s="53"/>
      <c r="Z48" s="53"/>
      <c r="AA48" s="53"/>
      <c r="AC48" s="33"/>
      <c r="AD48" s="33"/>
    </row>
    <row r="49" spans="2:30"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5"/>
      <c r="O49" s="55"/>
      <c r="P49" s="55"/>
      <c r="Q49" s="55"/>
      <c r="R49" s="55"/>
      <c r="S49" s="53"/>
      <c r="T49" s="53"/>
      <c r="U49" s="53"/>
      <c r="V49" s="53"/>
      <c r="W49" s="53"/>
      <c r="X49" s="53"/>
      <c r="Y49" s="53"/>
      <c r="Z49" s="53"/>
      <c r="AA49" s="53"/>
      <c r="AC49" s="33"/>
      <c r="AD49" s="33"/>
    </row>
    <row r="50" spans="2:30"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5"/>
      <c r="O50" s="55"/>
      <c r="P50" s="55"/>
      <c r="Q50" s="55"/>
      <c r="R50" s="55"/>
      <c r="S50" s="53"/>
      <c r="T50" s="53"/>
      <c r="U50" s="53"/>
      <c r="V50" s="53"/>
      <c r="W50" s="53"/>
      <c r="X50" s="53"/>
      <c r="Y50" s="53"/>
      <c r="Z50" s="53"/>
      <c r="AA50" s="53"/>
      <c r="AC50" s="33"/>
      <c r="AD50" s="33"/>
    </row>
    <row r="51" spans="2:30"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5"/>
      <c r="O51" s="55"/>
      <c r="P51" s="55"/>
      <c r="Q51" s="55"/>
      <c r="R51" s="55"/>
      <c r="S51" s="53"/>
      <c r="T51" s="53"/>
      <c r="U51" s="53"/>
      <c r="V51" s="53"/>
      <c r="W51" s="53"/>
      <c r="X51" s="53"/>
      <c r="Y51" s="53"/>
      <c r="Z51" s="53"/>
      <c r="AA51" s="53"/>
      <c r="AC51" s="33"/>
      <c r="AD51" s="33"/>
    </row>
    <row r="52" spans="2:30"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5"/>
      <c r="O52" s="55"/>
      <c r="P52" s="55"/>
      <c r="Q52" s="55"/>
      <c r="R52" s="55"/>
      <c r="S52" s="53"/>
      <c r="T52" s="53"/>
      <c r="U52" s="53"/>
      <c r="V52" s="53"/>
      <c r="W52" s="53"/>
      <c r="X52" s="53"/>
      <c r="Y52" s="53"/>
      <c r="Z52" s="53"/>
      <c r="AA52" s="53"/>
      <c r="AC52" s="33"/>
      <c r="AD52" s="33"/>
    </row>
    <row r="53" spans="2:30"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5"/>
      <c r="O53" s="55"/>
      <c r="P53" s="55"/>
      <c r="Q53" s="55"/>
      <c r="R53" s="55"/>
      <c r="S53" s="53"/>
      <c r="T53" s="53"/>
      <c r="U53" s="53"/>
      <c r="V53" s="53"/>
      <c r="W53" s="53"/>
      <c r="X53" s="53"/>
      <c r="Y53" s="53"/>
      <c r="Z53" s="53"/>
      <c r="AA53" s="53"/>
      <c r="AC53" s="33"/>
      <c r="AD53" s="33"/>
    </row>
    <row r="54" spans="2:30"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5"/>
      <c r="O54" s="55"/>
      <c r="P54" s="55"/>
      <c r="Q54" s="55"/>
      <c r="R54" s="55"/>
      <c r="S54" s="53"/>
      <c r="T54" s="53"/>
      <c r="U54" s="53"/>
      <c r="V54" s="53"/>
      <c r="W54" s="53"/>
      <c r="X54" s="53"/>
      <c r="Y54" s="53"/>
      <c r="Z54" s="53"/>
      <c r="AA54" s="53"/>
      <c r="AC54" s="33"/>
      <c r="AD54" s="33"/>
    </row>
    <row r="55" spans="2:30">
      <c r="B55" s="38"/>
      <c r="D55" s="9"/>
      <c r="E55" s="40"/>
      <c r="H55" s="9"/>
      <c r="J55" s="9"/>
    </row>
    <row r="56" spans="2:30" ht="26.25" customHeight="1">
      <c r="B56" s="94"/>
      <c r="C56" s="94"/>
      <c r="D56" s="94"/>
      <c r="E56" s="94"/>
      <c r="F56" s="94"/>
      <c r="G56" s="94"/>
      <c r="H56" s="94"/>
      <c r="I56" s="94"/>
      <c r="J56" s="94"/>
    </row>
    <row r="57" spans="2:30" ht="26.25" customHeight="1">
      <c r="B57" s="94"/>
      <c r="C57" s="94"/>
      <c r="D57" s="94"/>
      <c r="E57" s="94"/>
      <c r="F57" s="94"/>
      <c r="G57" s="94"/>
      <c r="H57" s="94"/>
      <c r="I57" s="94"/>
      <c r="J57" s="94"/>
    </row>
    <row r="58" spans="2:30" ht="26.25" customHeight="1">
      <c r="B58" s="94"/>
      <c r="C58" s="94"/>
      <c r="D58" s="94"/>
      <c r="E58" s="94"/>
      <c r="F58" s="94"/>
      <c r="G58" s="94"/>
      <c r="H58" s="94"/>
      <c r="I58" s="94"/>
      <c r="J58" s="94"/>
    </row>
    <row r="59" spans="2:30" ht="26.25" customHeight="1">
      <c r="B59" s="94"/>
      <c r="C59" s="94"/>
      <c r="D59" s="94"/>
      <c r="E59" s="94"/>
      <c r="F59" s="94"/>
      <c r="G59" s="94"/>
      <c r="H59" s="94"/>
      <c r="I59" s="94"/>
      <c r="J59" s="94"/>
    </row>
    <row r="60" spans="2:30" ht="26.25" customHeight="1">
      <c r="B60" s="94"/>
      <c r="C60" s="94"/>
      <c r="D60" s="94"/>
      <c r="E60" s="94"/>
      <c r="F60" s="94"/>
      <c r="G60" s="94"/>
      <c r="H60" s="94"/>
      <c r="I60" s="94"/>
      <c r="J60" s="94"/>
    </row>
    <row r="61" spans="2:30" ht="26.25" customHeight="1">
      <c r="B61" s="94"/>
      <c r="C61" s="94"/>
      <c r="D61" s="94"/>
      <c r="E61" s="94"/>
      <c r="F61" s="94"/>
      <c r="G61" s="94"/>
      <c r="H61" s="94"/>
      <c r="I61" s="94"/>
      <c r="J61" s="94"/>
    </row>
    <row r="62" spans="2:30">
      <c r="B62" s="41"/>
    </row>
  </sheetData>
  <mergeCells count="16">
    <mergeCell ref="B56:E61"/>
    <mergeCell ref="B2:C3"/>
    <mergeCell ref="F56:J61"/>
    <mergeCell ref="B8:E8"/>
    <mergeCell ref="X8:AA8"/>
    <mergeCell ref="S7:S8"/>
    <mergeCell ref="T7:T8"/>
    <mergeCell ref="U7:U8"/>
    <mergeCell ref="V7:V8"/>
    <mergeCell ref="B9:AA9"/>
    <mergeCell ref="B24:AA24"/>
    <mergeCell ref="B1:AA1"/>
    <mergeCell ref="D2:AA2"/>
    <mergeCell ref="D3:AA3"/>
    <mergeCell ref="S5:V5"/>
    <mergeCell ref="S6:V6"/>
  </mergeCells>
  <pageMargins left="0.7" right="0.7" top="0.75" bottom="0.75" header="0.3" footer="0.3"/>
  <pageSetup scale="76" orientation="landscape" r:id="rId1"/>
  <ignoredErrors>
    <ignoredError sqref="X16 X20:X21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5A420-C688-524F-B852-65A9EC22622E}">
  <dimension ref="B1:P49"/>
  <sheetViews>
    <sheetView showGridLines="0" topLeftCell="A20" zoomScale="97" zoomScaleNormal="97" workbookViewId="0">
      <selection activeCell="G22" sqref="G22"/>
    </sheetView>
  </sheetViews>
  <sheetFormatPr baseColWidth="10" defaultColWidth="11.44140625" defaultRowHeight="13.8"/>
  <cols>
    <col min="1" max="1" width="6.44140625" style="9" customWidth="1"/>
    <col min="2" max="2" width="6.44140625" style="10" customWidth="1"/>
    <col min="3" max="3" width="51.44140625" style="11" customWidth="1"/>
    <col min="4" max="4" width="12" style="17" customWidth="1"/>
    <col min="5" max="5" width="12.33203125" style="9" customWidth="1"/>
    <col min="6" max="6" width="3.109375" style="9" customWidth="1"/>
    <col min="7" max="7" width="27.88671875" style="9" customWidth="1"/>
    <col min="8" max="8" width="4.88671875" style="9" customWidth="1"/>
    <col min="9" max="9" width="11.6640625" style="9" bestFit="1" customWidth="1"/>
    <col min="10" max="10" width="13.44140625" style="9" customWidth="1"/>
    <col min="11" max="11" width="5.88671875" style="9" customWidth="1"/>
    <col min="12" max="12" width="19.109375" style="9" bestFit="1" customWidth="1"/>
    <col min="13" max="13" width="19.33203125" style="9" customWidth="1"/>
    <col min="14" max="14" width="18.88671875" style="9" bestFit="1" customWidth="1"/>
    <col min="15" max="15" width="19" style="9" customWidth="1"/>
    <col min="16" max="16" width="16" style="9" customWidth="1"/>
    <col min="17" max="16384" width="11.44140625" style="9"/>
  </cols>
  <sheetData>
    <row r="1" spans="2:16" ht="31.5" customHeight="1">
      <c r="B1" s="91" t="s">
        <v>20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</row>
    <row r="2" spans="2:16" ht="29.1" customHeight="1">
      <c r="B2" s="95"/>
      <c r="C2" s="95"/>
      <c r="D2" s="91" t="s">
        <v>26</v>
      </c>
      <c r="E2" s="91"/>
      <c r="F2" s="91"/>
      <c r="G2" s="91"/>
      <c r="H2" s="91"/>
      <c r="I2" s="91"/>
      <c r="J2" s="91"/>
      <c r="K2" s="91"/>
      <c r="L2" s="91"/>
      <c r="M2" s="91"/>
      <c r="N2" s="91"/>
    </row>
    <row r="3" spans="2:16" ht="65.099999999999994" customHeight="1">
      <c r="B3" s="95"/>
      <c r="C3" s="95"/>
      <c r="D3" s="104" t="s">
        <v>65</v>
      </c>
      <c r="E3" s="104"/>
      <c r="F3" s="104"/>
      <c r="G3" s="104"/>
      <c r="H3" s="104"/>
      <c r="I3" s="104"/>
      <c r="J3" s="104"/>
      <c r="K3" s="104"/>
      <c r="L3" s="104"/>
      <c r="M3" s="104"/>
      <c r="N3" s="104"/>
    </row>
    <row r="4" spans="2:16" ht="32.25" customHeight="1">
      <c r="D4" s="12"/>
      <c r="E4" s="12"/>
      <c r="F4" s="12"/>
    </row>
    <row r="5" spans="2:16" ht="28.5" customHeight="1">
      <c r="B5" s="15"/>
      <c r="C5" s="16"/>
      <c r="E5" s="17"/>
      <c r="F5" s="17"/>
    </row>
    <row r="6" spans="2:16" s="19" customFormat="1" ht="74.099999999999994" customHeight="1">
      <c r="B6" s="96" t="s">
        <v>5</v>
      </c>
      <c r="C6" s="96"/>
      <c r="D6" s="96"/>
      <c r="E6" s="96"/>
      <c r="F6" s="18"/>
    </row>
    <row r="7" spans="2:16" s="19" customFormat="1" ht="96.9" customHeight="1">
      <c r="B7" s="107" t="s">
        <v>34</v>
      </c>
      <c r="C7" s="108"/>
      <c r="D7" s="108"/>
      <c r="E7" s="108"/>
      <c r="F7" s="58"/>
      <c r="G7" s="61" t="s">
        <v>62</v>
      </c>
      <c r="I7" s="62" t="s">
        <v>63</v>
      </c>
      <c r="J7" s="63" t="s">
        <v>64</v>
      </c>
      <c r="K7" s="9"/>
      <c r="L7" s="102" t="s">
        <v>21</v>
      </c>
      <c r="M7" s="103"/>
      <c r="N7" s="103"/>
    </row>
    <row r="8" spans="2:16" ht="41.4">
      <c r="B8" s="43" t="s">
        <v>7</v>
      </c>
      <c r="C8" s="43" t="s">
        <v>8</v>
      </c>
      <c r="D8" s="44" t="s">
        <v>9</v>
      </c>
      <c r="E8" s="44" t="s">
        <v>10</v>
      </c>
      <c r="F8" s="12"/>
      <c r="G8" s="46" t="s">
        <v>4</v>
      </c>
      <c r="I8" s="64">
        <v>1.5099</v>
      </c>
      <c r="J8" s="64">
        <v>1.5952999999999999</v>
      </c>
      <c r="L8" s="67" t="s">
        <v>4</v>
      </c>
      <c r="M8" s="67" t="s">
        <v>22</v>
      </c>
      <c r="N8" s="67" t="s">
        <v>17</v>
      </c>
    </row>
    <row r="9" spans="2:16" ht="30.9" customHeight="1">
      <c r="B9" s="51">
        <v>1</v>
      </c>
      <c r="C9" s="23" t="s">
        <v>35</v>
      </c>
      <c r="D9" s="8" t="s">
        <v>46</v>
      </c>
      <c r="E9" s="24">
        <v>193</v>
      </c>
      <c r="F9" s="25"/>
      <c r="G9" s="27"/>
      <c r="H9" s="33"/>
      <c r="I9" s="105"/>
      <c r="J9" s="106"/>
      <c r="L9" s="65"/>
      <c r="M9" s="65"/>
      <c r="N9" s="65"/>
    </row>
    <row r="10" spans="2:16" ht="30.9" customHeight="1">
      <c r="B10" s="51">
        <v>2</v>
      </c>
      <c r="C10" s="23" t="s">
        <v>36</v>
      </c>
      <c r="D10" s="8" t="s">
        <v>46</v>
      </c>
      <c r="E10" s="24">
        <v>400</v>
      </c>
      <c r="F10" s="25"/>
      <c r="G10" s="27">
        <v>489156</v>
      </c>
      <c r="H10" s="33"/>
      <c r="I10" s="105">
        <f>ROUND(($J$8/$I$8)*G10,2)</f>
        <v>516822.68</v>
      </c>
      <c r="J10" s="106"/>
      <c r="L10" s="65">
        <f t="shared" ref="L10" si="0">I10</f>
        <v>516822.68</v>
      </c>
      <c r="M10" s="65">
        <f t="shared" ref="M10" si="1">ROUND(L10*19%,2)</f>
        <v>98196.31</v>
      </c>
      <c r="N10" s="65">
        <f t="shared" ref="N10" si="2">ROUND((L10+M10)*E10,2)</f>
        <v>246007596</v>
      </c>
      <c r="P10" s="66"/>
    </row>
    <row r="11" spans="2:16" ht="30.9" customHeight="1">
      <c r="B11" s="51">
        <v>3</v>
      </c>
      <c r="C11" s="23" t="s">
        <v>37</v>
      </c>
      <c r="D11" s="8" t="s">
        <v>46</v>
      </c>
      <c r="E11" s="24">
        <v>5</v>
      </c>
      <c r="F11" s="25"/>
      <c r="G11" s="27"/>
      <c r="H11" s="33"/>
      <c r="I11" s="105"/>
      <c r="J11" s="106"/>
      <c r="L11" s="65"/>
      <c r="M11" s="65"/>
      <c r="N11" s="65"/>
      <c r="P11" s="60"/>
    </row>
    <row r="12" spans="2:16" ht="30.9" customHeight="1">
      <c r="B12" s="51">
        <v>4</v>
      </c>
      <c r="C12" s="23" t="s">
        <v>38</v>
      </c>
      <c r="D12" s="8" t="s">
        <v>46</v>
      </c>
      <c r="E12" s="24">
        <v>57</v>
      </c>
      <c r="F12" s="25"/>
      <c r="G12" s="27"/>
      <c r="H12" s="33"/>
      <c r="I12" s="105"/>
      <c r="J12" s="106"/>
      <c r="L12" s="65"/>
      <c r="M12" s="65"/>
      <c r="N12" s="65"/>
    </row>
    <row r="13" spans="2:16" ht="30.9" customHeight="1">
      <c r="B13" s="51">
        <v>5</v>
      </c>
      <c r="C13" s="23" t="s">
        <v>57</v>
      </c>
      <c r="D13" s="8" t="s">
        <v>46</v>
      </c>
      <c r="E13" s="24">
        <v>60</v>
      </c>
      <c r="F13" s="25"/>
      <c r="G13" s="27"/>
      <c r="H13" s="33"/>
      <c r="I13" s="105"/>
      <c r="J13" s="106"/>
      <c r="L13" s="65"/>
      <c r="M13" s="65"/>
      <c r="N13" s="65"/>
    </row>
    <row r="14" spans="2:16" ht="30.9" customHeight="1">
      <c r="B14" s="51">
        <v>6</v>
      </c>
      <c r="C14" s="23" t="s">
        <v>39</v>
      </c>
      <c r="D14" s="8" t="s">
        <v>46</v>
      </c>
      <c r="E14" s="24">
        <v>60</v>
      </c>
      <c r="F14" s="25"/>
      <c r="G14" s="27"/>
      <c r="H14" s="33"/>
      <c r="I14" s="105"/>
      <c r="J14" s="106"/>
      <c r="L14" s="65"/>
      <c r="M14" s="65"/>
      <c r="N14" s="65"/>
    </row>
    <row r="15" spans="2:16" ht="30.9" customHeight="1">
      <c r="B15" s="51">
        <v>7</v>
      </c>
      <c r="C15" s="23" t="s">
        <v>58</v>
      </c>
      <c r="D15" s="8" t="s">
        <v>46</v>
      </c>
      <c r="E15" s="24">
        <v>53</v>
      </c>
      <c r="F15" s="25"/>
      <c r="G15" s="27"/>
      <c r="H15" s="33"/>
      <c r="I15" s="105"/>
      <c r="J15" s="106"/>
      <c r="L15" s="65"/>
      <c r="M15" s="65"/>
      <c r="N15" s="65"/>
    </row>
    <row r="16" spans="2:16" ht="30.9" customHeight="1">
      <c r="B16" s="51">
        <v>8</v>
      </c>
      <c r="C16" s="23" t="s">
        <v>40</v>
      </c>
      <c r="D16" s="8" t="s">
        <v>46</v>
      </c>
      <c r="E16" s="24">
        <v>3</v>
      </c>
      <c r="F16" s="25"/>
      <c r="G16" s="27">
        <v>455000</v>
      </c>
      <c r="H16" s="33"/>
      <c r="I16" s="105">
        <f>ROUND(($J$8/$I$8)*G16,2)</f>
        <v>480734.82</v>
      </c>
      <c r="J16" s="106"/>
      <c r="L16" s="65">
        <f t="shared" ref="L16:L19" si="3">I16</f>
        <v>480734.82</v>
      </c>
      <c r="M16" s="65">
        <f t="shared" ref="M16:M19" si="4">ROUND(L16*19%,2)</f>
        <v>91339.62</v>
      </c>
      <c r="N16" s="65">
        <f t="shared" ref="N16:N19" si="5">ROUND((L16+M16)*E16,2)</f>
        <v>1716223.32</v>
      </c>
    </row>
    <row r="17" spans="2:15" ht="30.9" customHeight="1">
      <c r="B17" s="51">
        <v>9</v>
      </c>
      <c r="C17" s="23" t="s">
        <v>41</v>
      </c>
      <c r="D17" s="8" t="s">
        <v>46</v>
      </c>
      <c r="E17" s="24">
        <v>30</v>
      </c>
      <c r="F17" s="25"/>
      <c r="G17" s="27">
        <v>776609</v>
      </c>
      <c r="H17" s="33"/>
      <c r="I17" s="105">
        <f>ROUND(($J$8/$I$8)*G17,2)</f>
        <v>820534.03</v>
      </c>
      <c r="J17" s="106"/>
      <c r="L17" s="65">
        <f t="shared" si="3"/>
        <v>820534.03</v>
      </c>
      <c r="M17" s="65">
        <f t="shared" si="4"/>
        <v>155901.47</v>
      </c>
      <c r="N17" s="65">
        <f t="shared" si="5"/>
        <v>29293065</v>
      </c>
    </row>
    <row r="18" spans="2:15" ht="30.9" customHeight="1">
      <c r="B18" s="51">
        <v>10</v>
      </c>
      <c r="C18" s="23" t="s">
        <v>42</v>
      </c>
      <c r="D18" s="8" t="s">
        <v>46</v>
      </c>
      <c r="E18" s="24">
        <v>174</v>
      </c>
      <c r="F18" s="25"/>
      <c r="G18" s="27">
        <v>164684.47848409074</v>
      </c>
      <c r="H18" s="33"/>
      <c r="I18" s="105">
        <f>ROUND(($J$8/$I$8)*G18,2)</f>
        <v>173999.04</v>
      </c>
      <c r="J18" s="106"/>
      <c r="L18" s="65">
        <f t="shared" si="3"/>
        <v>173999.04</v>
      </c>
      <c r="M18" s="65">
        <f t="shared" si="4"/>
        <v>33059.82</v>
      </c>
      <c r="N18" s="65">
        <f t="shared" si="5"/>
        <v>36028241.640000001</v>
      </c>
    </row>
    <row r="19" spans="2:15" ht="30.9" customHeight="1">
      <c r="B19" s="51">
        <v>11</v>
      </c>
      <c r="C19" s="23" t="s">
        <v>43</v>
      </c>
      <c r="D19" s="8" t="s">
        <v>46</v>
      </c>
      <c r="E19" s="24">
        <v>106</v>
      </c>
      <c r="F19" s="25"/>
      <c r="G19" s="27">
        <v>167130.28757048814</v>
      </c>
      <c r="H19" s="33"/>
      <c r="I19" s="105">
        <f>ROUND(($J$8/$I$8)*G19,2)</f>
        <v>176583.18</v>
      </c>
      <c r="J19" s="106"/>
      <c r="L19" s="65">
        <f t="shared" si="3"/>
        <v>176583.18</v>
      </c>
      <c r="M19" s="65">
        <f t="shared" si="4"/>
        <v>33550.800000000003</v>
      </c>
      <c r="N19" s="65">
        <f t="shared" si="5"/>
        <v>22274201.879999999</v>
      </c>
    </row>
    <row r="20" spans="2:15" ht="30.9" customHeight="1">
      <c r="B20" s="51">
        <v>12</v>
      </c>
      <c r="C20" s="23" t="s">
        <v>44</v>
      </c>
      <c r="D20" s="8" t="s">
        <v>46</v>
      </c>
      <c r="E20" s="24">
        <v>6</v>
      </c>
      <c r="F20" s="25"/>
      <c r="G20" s="27"/>
      <c r="H20" s="33"/>
      <c r="I20" s="105"/>
      <c r="J20" s="106"/>
      <c r="L20" s="65"/>
      <c r="M20" s="65"/>
      <c r="N20" s="65"/>
    </row>
    <row r="21" spans="2:15" ht="30.9" customHeight="1">
      <c r="B21" s="51">
        <v>13</v>
      </c>
      <c r="C21" s="23" t="s">
        <v>45</v>
      </c>
      <c r="D21" s="8" t="s">
        <v>46</v>
      </c>
      <c r="E21" s="24">
        <v>6</v>
      </c>
      <c r="F21" s="25"/>
      <c r="G21" s="27"/>
      <c r="H21" s="33"/>
      <c r="I21" s="105"/>
      <c r="J21" s="106"/>
      <c r="L21" s="65"/>
      <c r="M21" s="65"/>
      <c r="N21" s="65"/>
    </row>
    <row r="22" spans="2:15" ht="102" customHeight="1">
      <c r="B22" s="109" t="s">
        <v>47</v>
      </c>
      <c r="C22" s="110"/>
      <c r="D22" s="110"/>
      <c r="E22" s="110"/>
      <c r="F22" s="58"/>
      <c r="G22" s="61" t="s">
        <v>69</v>
      </c>
      <c r="H22" s="19"/>
      <c r="I22" s="62" t="s">
        <v>63</v>
      </c>
      <c r="J22" s="63" t="s">
        <v>64</v>
      </c>
      <c r="L22" s="102" t="s">
        <v>21</v>
      </c>
      <c r="M22" s="103"/>
      <c r="N22" s="103"/>
    </row>
    <row r="23" spans="2:15" ht="42.9" customHeight="1">
      <c r="B23" s="52" t="s">
        <v>7</v>
      </c>
      <c r="C23" s="52" t="s">
        <v>8</v>
      </c>
      <c r="D23" s="52" t="s">
        <v>9</v>
      </c>
      <c r="E23" s="52" t="s">
        <v>10</v>
      </c>
      <c r="F23" s="53"/>
      <c r="G23" s="46" t="s">
        <v>70</v>
      </c>
      <c r="I23" s="111" t="s">
        <v>68</v>
      </c>
      <c r="J23" s="112"/>
      <c r="L23" s="67" t="s">
        <v>4</v>
      </c>
      <c r="M23" s="67" t="s">
        <v>22</v>
      </c>
      <c r="N23" s="67" t="s">
        <v>17</v>
      </c>
    </row>
    <row r="24" spans="2:15" ht="30.9" customHeight="1">
      <c r="B24" s="51">
        <v>1</v>
      </c>
      <c r="C24" s="23" t="s">
        <v>48</v>
      </c>
      <c r="D24" s="8" t="s">
        <v>46</v>
      </c>
      <c r="E24" s="24">
        <v>959</v>
      </c>
      <c r="F24" s="53"/>
      <c r="G24" s="59">
        <v>756580</v>
      </c>
      <c r="I24" s="105">
        <f>ROUND(G24+(5.1%*G24),2)</f>
        <v>795165.58</v>
      </c>
      <c r="J24" s="106"/>
      <c r="L24" s="65">
        <f>ROUND(N24/1.19,2)</f>
        <v>668206.37</v>
      </c>
      <c r="M24" s="65">
        <f>ROUND(L24*19%,2)</f>
        <v>126959.21</v>
      </c>
      <c r="N24" s="65">
        <f>+I24</f>
        <v>795165.58</v>
      </c>
      <c r="O24" s="33"/>
    </row>
    <row r="25" spans="2:15" ht="30.9" customHeight="1">
      <c r="B25" s="51">
        <v>2</v>
      </c>
      <c r="C25" s="23" t="s">
        <v>49</v>
      </c>
      <c r="D25" s="8" t="s">
        <v>46</v>
      </c>
      <c r="E25" s="34">
        <v>1373</v>
      </c>
      <c r="F25" s="53"/>
      <c r="G25" s="59">
        <v>685330</v>
      </c>
      <c r="I25" s="105">
        <f t="shared" ref="I25:I32" si="6">ROUND(G25+(5.1%*G25),2)</f>
        <v>720281.83</v>
      </c>
      <c r="J25" s="106"/>
      <c r="L25" s="65">
        <f t="shared" ref="L25:L32" si="7">ROUND(N25/1.19,2)</f>
        <v>605278.85</v>
      </c>
      <c r="M25" s="65">
        <f t="shared" ref="M25:M32" si="8">ROUND(L25*19%,2)</f>
        <v>115002.98</v>
      </c>
      <c r="N25" s="65">
        <f t="shared" ref="N25:N32" si="9">+I25</f>
        <v>720281.83</v>
      </c>
      <c r="O25" s="33"/>
    </row>
    <row r="26" spans="2:15" ht="30.9" customHeight="1">
      <c r="B26" s="51">
        <v>3</v>
      </c>
      <c r="C26" s="23" t="s">
        <v>50</v>
      </c>
      <c r="D26" s="8" t="s">
        <v>46</v>
      </c>
      <c r="E26" s="24">
        <v>50</v>
      </c>
      <c r="F26" s="53"/>
      <c r="G26" s="59">
        <v>633000</v>
      </c>
      <c r="I26" s="105">
        <f t="shared" si="6"/>
        <v>665283</v>
      </c>
      <c r="J26" s="106"/>
      <c r="L26" s="65">
        <f t="shared" si="7"/>
        <v>559061.34</v>
      </c>
      <c r="M26" s="65">
        <v>106221.66</v>
      </c>
      <c r="N26" s="65">
        <f t="shared" si="9"/>
        <v>665283</v>
      </c>
      <c r="O26" s="33"/>
    </row>
    <row r="27" spans="2:15" ht="30.9" customHeight="1">
      <c r="B27" s="51">
        <v>4</v>
      </c>
      <c r="C27" s="23" t="s">
        <v>51</v>
      </c>
      <c r="D27" s="8" t="s">
        <v>46</v>
      </c>
      <c r="E27" s="24">
        <v>10</v>
      </c>
      <c r="F27" s="53"/>
      <c r="G27" s="59">
        <v>864000</v>
      </c>
      <c r="I27" s="105">
        <f t="shared" si="6"/>
        <v>908064</v>
      </c>
      <c r="J27" s="106"/>
      <c r="L27" s="65">
        <f t="shared" si="7"/>
        <v>763078.99</v>
      </c>
      <c r="M27" s="65">
        <f t="shared" si="8"/>
        <v>144985.01</v>
      </c>
      <c r="N27" s="65">
        <f t="shared" si="9"/>
        <v>908064</v>
      </c>
      <c r="O27" s="33"/>
    </row>
    <row r="28" spans="2:15" ht="30.9" customHeight="1">
      <c r="B28" s="51">
        <v>5</v>
      </c>
      <c r="C28" s="23" t="s">
        <v>52</v>
      </c>
      <c r="D28" s="8" t="s">
        <v>46</v>
      </c>
      <c r="E28" s="24">
        <v>10</v>
      </c>
      <c r="F28" s="53"/>
      <c r="G28" s="59">
        <v>864000</v>
      </c>
      <c r="I28" s="105">
        <f t="shared" si="6"/>
        <v>908064</v>
      </c>
      <c r="J28" s="106"/>
      <c r="L28" s="65">
        <f t="shared" si="7"/>
        <v>763078.99</v>
      </c>
      <c r="M28" s="65">
        <f t="shared" si="8"/>
        <v>144985.01</v>
      </c>
      <c r="N28" s="65">
        <f t="shared" si="9"/>
        <v>908064</v>
      </c>
      <c r="O28" s="33"/>
    </row>
    <row r="29" spans="2:15" ht="30.9" customHeight="1">
      <c r="B29" s="51">
        <v>6</v>
      </c>
      <c r="C29" s="23" t="s">
        <v>53</v>
      </c>
      <c r="D29" s="8" t="s">
        <v>46</v>
      </c>
      <c r="E29" s="24">
        <v>10</v>
      </c>
      <c r="F29" s="53"/>
      <c r="G29" s="59">
        <v>864000</v>
      </c>
      <c r="I29" s="105">
        <f t="shared" si="6"/>
        <v>908064</v>
      </c>
      <c r="J29" s="106"/>
      <c r="L29" s="65">
        <f t="shared" si="7"/>
        <v>763078.99</v>
      </c>
      <c r="M29" s="65">
        <f t="shared" si="8"/>
        <v>144985.01</v>
      </c>
      <c r="N29" s="65">
        <f t="shared" si="9"/>
        <v>908064</v>
      </c>
      <c r="O29" s="33"/>
    </row>
    <row r="30" spans="2:15" ht="30.9" customHeight="1">
      <c r="B30" s="51">
        <v>7</v>
      </c>
      <c r="C30" s="23" t="s">
        <v>54</v>
      </c>
      <c r="D30" s="8" t="s">
        <v>46</v>
      </c>
      <c r="E30" s="24">
        <v>150</v>
      </c>
      <c r="F30" s="53"/>
      <c r="G30" s="59">
        <v>284000</v>
      </c>
      <c r="I30" s="105">
        <f t="shared" si="6"/>
        <v>298484</v>
      </c>
      <c r="J30" s="106"/>
      <c r="L30" s="65">
        <f t="shared" si="7"/>
        <v>250826.89</v>
      </c>
      <c r="M30" s="65">
        <f t="shared" si="8"/>
        <v>47657.11</v>
      </c>
      <c r="N30" s="65">
        <f t="shared" si="9"/>
        <v>298484</v>
      </c>
      <c r="O30" s="33"/>
    </row>
    <row r="31" spans="2:15" ht="30.9" customHeight="1">
      <c r="B31" s="51">
        <v>8</v>
      </c>
      <c r="C31" s="23" t="s">
        <v>55</v>
      </c>
      <c r="D31" s="8" t="s">
        <v>46</v>
      </c>
      <c r="E31" s="24">
        <v>100</v>
      </c>
      <c r="F31" s="53"/>
      <c r="G31" s="59">
        <v>562000</v>
      </c>
      <c r="I31" s="105">
        <f t="shared" si="6"/>
        <v>590662</v>
      </c>
      <c r="J31" s="106"/>
      <c r="L31" s="65">
        <f t="shared" si="7"/>
        <v>496354.62</v>
      </c>
      <c r="M31" s="65">
        <f t="shared" si="8"/>
        <v>94307.38</v>
      </c>
      <c r="N31" s="65">
        <f t="shared" si="9"/>
        <v>590662</v>
      </c>
      <c r="O31" s="33"/>
    </row>
    <row r="32" spans="2:15" ht="30.9" customHeight="1">
      <c r="B32" s="51">
        <v>9</v>
      </c>
      <c r="C32" s="23" t="s">
        <v>56</v>
      </c>
      <c r="D32" s="8" t="s">
        <v>46</v>
      </c>
      <c r="E32" s="24">
        <v>10</v>
      </c>
      <c r="F32" s="53"/>
      <c r="G32" s="59">
        <v>1252000</v>
      </c>
      <c r="I32" s="105">
        <f t="shared" si="6"/>
        <v>1315852</v>
      </c>
      <c r="J32" s="106"/>
      <c r="L32" s="65">
        <f t="shared" si="7"/>
        <v>1105757.98</v>
      </c>
      <c r="M32" s="65">
        <f t="shared" si="8"/>
        <v>210094.02</v>
      </c>
      <c r="N32" s="65">
        <f t="shared" si="9"/>
        <v>1315852</v>
      </c>
      <c r="O32" s="33"/>
    </row>
    <row r="33" spans="2:10">
      <c r="B33" s="53"/>
      <c r="C33" s="53"/>
      <c r="D33" s="53"/>
      <c r="E33" s="53"/>
      <c r="F33" s="53"/>
      <c r="G33" s="53"/>
      <c r="I33" s="33"/>
      <c r="J33" s="33"/>
    </row>
    <row r="34" spans="2:10">
      <c r="B34" s="53"/>
      <c r="C34" s="53"/>
      <c r="D34" s="53"/>
      <c r="E34" s="53"/>
      <c r="F34" s="53"/>
      <c r="G34" s="53"/>
      <c r="I34" s="33"/>
      <c r="J34" s="33"/>
    </row>
    <row r="35" spans="2:10">
      <c r="B35" s="53"/>
      <c r="C35" s="53"/>
      <c r="D35" s="53"/>
      <c r="E35" s="53"/>
      <c r="F35" s="53"/>
      <c r="G35" s="53"/>
      <c r="I35" s="33"/>
      <c r="J35" s="33"/>
    </row>
    <row r="36" spans="2:10">
      <c r="B36" s="53"/>
      <c r="C36" s="53"/>
      <c r="D36" s="53"/>
      <c r="E36" s="53"/>
      <c r="F36" s="53"/>
      <c r="G36" s="53"/>
      <c r="I36" s="33"/>
      <c r="J36" s="33"/>
    </row>
    <row r="37" spans="2:10" ht="13.5" customHeight="1">
      <c r="B37" s="36"/>
      <c r="C37" s="37"/>
      <c r="D37" s="36"/>
      <c r="E37" s="36"/>
      <c r="F37" s="25"/>
    </row>
    <row r="38" spans="2:10" ht="29.1" customHeight="1">
      <c r="B38" s="25"/>
      <c r="C38" s="25"/>
      <c r="D38" s="25"/>
      <c r="E38" s="25"/>
      <c r="F38" s="25"/>
      <c r="J38" s="9" t="s">
        <v>19</v>
      </c>
    </row>
    <row r="39" spans="2:10">
      <c r="B39" s="36"/>
      <c r="C39" s="36"/>
      <c r="D39" s="36"/>
      <c r="E39" s="36"/>
      <c r="F39" s="25"/>
    </row>
    <row r="40" spans="2:10" ht="24.9" customHeight="1">
      <c r="B40" s="38" t="s">
        <v>66</v>
      </c>
    </row>
    <row r="41" spans="2:10">
      <c r="B41" s="38" t="s">
        <v>67</v>
      </c>
      <c r="D41" s="9"/>
      <c r="E41" s="40"/>
    </row>
    <row r="42" spans="2:10">
      <c r="B42" s="38"/>
      <c r="D42" s="9"/>
      <c r="E42" s="40"/>
    </row>
    <row r="43" spans="2:10" ht="26.25" customHeight="1">
      <c r="B43" s="94"/>
      <c r="C43" s="94"/>
      <c r="D43" s="94"/>
      <c r="E43" s="94"/>
      <c r="F43" s="94"/>
      <c r="G43" s="94"/>
    </row>
    <row r="44" spans="2:10" ht="26.25" customHeight="1">
      <c r="B44" s="94"/>
      <c r="C44" s="94"/>
      <c r="D44" s="94"/>
      <c r="E44" s="94"/>
      <c r="F44" s="94"/>
      <c r="G44" s="94"/>
    </row>
    <row r="45" spans="2:10" ht="26.25" customHeight="1">
      <c r="B45" s="94"/>
      <c r="C45" s="94"/>
      <c r="D45" s="94"/>
      <c r="E45" s="94"/>
      <c r="F45" s="94"/>
      <c r="G45" s="94"/>
    </row>
    <row r="46" spans="2:10" ht="26.25" customHeight="1">
      <c r="B46" s="94"/>
      <c r="C46" s="94"/>
      <c r="D46" s="94"/>
      <c r="E46" s="94"/>
      <c r="F46" s="94"/>
      <c r="G46" s="94"/>
    </row>
    <row r="47" spans="2:10" ht="26.25" customHeight="1">
      <c r="B47" s="94"/>
      <c r="C47" s="94"/>
      <c r="D47" s="94"/>
      <c r="E47" s="94"/>
      <c r="F47" s="94"/>
      <c r="G47" s="94"/>
    </row>
    <row r="48" spans="2:10" ht="26.25" customHeight="1">
      <c r="B48" s="94"/>
      <c r="C48" s="94"/>
      <c r="D48" s="94"/>
      <c r="E48" s="94"/>
      <c r="F48" s="94"/>
      <c r="G48" s="94"/>
    </row>
    <row r="49" spans="2:2">
      <c r="B49" s="41"/>
    </row>
  </sheetData>
  <mergeCells count="34">
    <mergeCell ref="B43:E48"/>
    <mergeCell ref="F43:G48"/>
    <mergeCell ref="I27:J27"/>
    <mergeCell ref="I28:J28"/>
    <mergeCell ref="I29:J29"/>
    <mergeCell ref="I30:J30"/>
    <mergeCell ref="I31:J31"/>
    <mergeCell ref="I32:J32"/>
    <mergeCell ref="I24:J24"/>
    <mergeCell ref="I25:J25"/>
    <mergeCell ref="I26:J26"/>
    <mergeCell ref="I9:J9"/>
    <mergeCell ref="I18:J18"/>
    <mergeCell ref="I11:J11"/>
    <mergeCell ref="I23:J23"/>
    <mergeCell ref="I10:J10"/>
    <mergeCell ref="I17:J17"/>
    <mergeCell ref="I19:J19"/>
    <mergeCell ref="L22:N22"/>
    <mergeCell ref="B1:N1"/>
    <mergeCell ref="D2:N2"/>
    <mergeCell ref="D3:N3"/>
    <mergeCell ref="B6:E6"/>
    <mergeCell ref="B2:C3"/>
    <mergeCell ref="I13:J13"/>
    <mergeCell ref="L7:N7"/>
    <mergeCell ref="I12:J12"/>
    <mergeCell ref="I20:J20"/>
    <mergeCell ref="I21:J21"/>
    <mergeCell ref="I14:J14"/>
    <mergeCell ref="I15:J15"/>
    <mergeCell ref="I16:J16"/>
    <mergeCell ref="B7:E7"/>
    <mergeCell ref="B22:E22"/>
  </mergeCells>
  <pageMargins left="0.7" right="0.7" top="0.75" bottom="0.75" header="0.3" footer="0.3"/>
  <pageSetup scale="7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2F9F0-A1AA-B04B-9231-073DFF7180BE}">
  <dimension ref="B1:N45"/>
  <sheetViews>
    <sheetView showGridLines="0" topLeftCell="A20" zoomScale="97" zoomScaleNormal="97" workbookViewId="0">
      <selection activeCell="O34" sqref="O34"/>
    </sheetView>
  </sheetViews>
  <sheetFormatPr baseColWidth="10" defaultColWidth="11.44140625" defaultRowHeight="13.8"/>
  <cols>
    <col min="1" max="1" width="6.44140625" style="9" customWidth="1"/>
    <col min="2" max="2" width="6.44140625" style="10" customWidth="1"/>
    <col min="3" max="3" width="51.44140625" style="11" customWidth="1"/>
    <col min="4" max="4" width="12" style="17" customWidth="1"/>
    <col min="5" max="5" width="12.33203125" style="9" customWidth="1"/>
    <col min="6" max="6" width="13.6640625" style="9" customWidth="1"/>
    <col min="7" max="7" width="19" style="9" customWidth="1"/>
    <col min="8" max="8" width="2.88671875" style="9" customWidth="1"/>
    <col min="9" max="9" width="19" style="9" customWidth="1"/>
    <col min="10" max="10" width="4.6640625" style="9" customWidth="1"/>
    <col min="11" max="13" width="16.33203125" style="9" customWidth="1"/>
    <col min="14" max="14" width="25.109375" style="9" customWidth="1"/>
    <col min="15" max="16384" width="11.44140625" style="9"/>
  </cols>
  <sheetData>
    <row r="1" spans="2:14" ht="31.5" customHeight="1">
      <c r="B1" s="91" t="s">
        <v>23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</row>
    <row r="2" spans="2:14" ht="29.1" customHeight="1">
      <c r="B2" s="95"/>
      <c r="C2" s="95"/>
      <c r="D2" s="91" t="s">
        <v>24</v>
      </c>
      <c r="E2" s="91"/>
      <c r="F2" s="91"/>
      <c r="G2" s="91"/>
      <c r="H2" s="91"/>
      <c r="I2" s="91"/>
      <c r="J2" s="91"/>
      <c r="K2" s="91"/>
      <c r="L2" s="91"/>
      <c r="M2" s="91"/>
      <c r="N2" s="91"/>
    </row>
    <row r="3" spans="2:14" ht="65.099999999999994" customHeight="1">
      <c r="B3" s="95"/>
      <c r="C3" s="95"/>
      <c r="D3" s="104" t="s">
        <v>65</v>
      </c>
      <c r="E3" s="104"/>
      <c r="F3" s="104"/>
      <c r="G3" s="104"/>
      <c r="H3" s="104"/>
      <c r="I3" s="104"/>
      <c r="J3" s="104"/>
      <c r="K3" s="104"/>
      <c r="L3" s="104"/>
      <c r="M3" s="104"/>
      <c r="N3" s="104"/>
    </row>
    <row r="4" spans="2:14" ht="28.5" customHeight="1">
      <c r="B4" s="15"/>
      <c r="C4" s="16"/>
      <c r="E4" s="17"/>
      <c r="F4" s="17"/>
    </row>
    <row r="5" spans="2:14" s="19" customFormat="1" ht="74.099999999999994" customHeight="1">
      <c r="B5" s="96" t="s">
        <v>5</v>
      </c>
      <c r="C5" s="96"/>
      <c r="D5" s="96"/>
      <c r="E5" s="96"/>
      <c r="F5" s="18"/>
    </row>
    <row r="6" spans="2:14" s="19" customFormat="1" ht="96.9" customHeight="1">
      <c r="B6" s="120" t="s">
        <v>34</v>
      </c>
      <c r="C6" s="120"/>
      <c r="D6" s="120"/>
      <c r="E6" s="120"/>
      <c r="F6" s="58"/>
      <c r="G6" s="68" t="s">
        <v>25</v>
      </c>
      <c r="H6" s="69"/>
      <c r="I6" s="68" t="s">
        <v>26</v>
      </c>
      <c r="J6" s="70"/>
      <c r="K6" s="116" t="s">
        <v>27</v>
      </c>
      <c r="L6" s="116"/>
      <c r="M6" s="116"/>
      <c r="N6" s="116"/>
    </row>
    <row r="7" spans="2:14" ht="41.4">
      <c r="B7" s="52" t="s">
        <v>7</v>
      </c>
      <c r="C7" s="52" t="s">
        <v>8</v>
      </c>
      <c r="D7" s="52" t="s">
        <v>9</v>
      </c>
      <c r="E7" s="52" t="s">
        <v>10</v>
      </c>
      <c r="F7" s="12"/>
      <c r="G7" s="71" t="s">
        <v>4</v>
      </c>
      <c r="H7" s="72"/>
      <c r="I7" s="71" t="s">
        <v>4</v>
      </c>
      <c r="J7" s="73"/>
      <c r="K7" s="74" t="s">
        <v>4</v>
      </c>
      <c r="L7" s="74" t="s">
        <v>15</v>
      </c>
      <c r="M7" s="74" t="s">
        <v>16</v>
      </c>
      <c r="N7" s="74" t="s">
        <v>17</v>
      </c>
    </row>
    <row r="8" spans="2:14" ht="30.9" customHeight="1">
      <c r="B8" s="51">
        <v>1</v>
      </c>
      <c r="C8" s="23" t="s">
        <v>35</v>
      </c>
      <c r="D8" s="8" t="s">
        <v>46</v>
      </c>
      <c r="E8" s="24">
        <v>193</v>
      </c>
      <c r="F8" s="25"/>
      <c r="G8" s="7">
        <f>'ANEXO 1'!X11</f>
        <v>424797.19</v>
      </c>
      <c r="H8" s="1"/>
      <c r="I8" s="7"/>
      <c r="J8" s="6"/>
      <c r="K8" s="3">
        <f>ROUND(AVERAGE(G8,I8),2)</f>
        <v>424797.19</v>
      </c>
      <c r="L8" s="3">
        <f>ROUND((K8*19%),2)</f>
        <v>80711.47</v>
      </c>
      <c r="M8" s="3">
        <f>ROUND((L8+K8),2)</f>
        <v>505508.66</v>
      </c>
      <c r="N8" s="3">
        <f>ROUND((M8*E8),2)</f>
        <v>97563171.379999995</v>
      </c>
    </row>
    <row r="9" spans="2:14" ht="30.9" customHeight="1">
      <c r="B9" s="51">
        <v>2</v>
      </c>
      <c r="C9" s="23" t="s">
        <v>36</v>
      </c>
      <c r="D9" s="8" t="s">
        <v>46</v>
      </c>
      <c r="E9" s="24">
        <v>400</v>
      </c>
      <c r="F9" s="25"/>
      <c r="G9" s="7">
        <f>'ANEXO 1'!X12</f>
        <v>551859.67000000004</v>
      </c>
      <c r="H9" s="1"/>
      <c r="I9" s="7">
        <f>'ANEXO 2'!L10</f>
        <v>516822.68</v>
      </c>
      <c r="J9" s="6"/>
      <c r="K9" s="3">
        <f t="shared" ref="K9:K20" si="0">ROUND(AVERAGE(G9,I9),2)</f>
        <v>534341.18000000005</v>
      </c>
      <c r="L9" s="3">
        <f t="shared" ref="L9:L20" si="1">ROUND((K9*19%),2)</f>
        <v>101524.82</v>
      </c>
      <c r="M9" s="3">
        <f t="shared" ref="M9:M20" si="2">ROUND((L9+K9),2)</f>
        <v>635866</v>
      </c>
      <c r="N9" s="3">
        <f t="shared" ref="N9:N20" si="3">ROUND((M9*E9),2)</f>
        <v>254346400</v>
      </c>
    </row>
    <row r="10" spans="2:14" ht="30.9" customHeight="1">
      <c r="B10" s="51">
        <v>3</v>
      </c>
      <c r="C10" s="23" t="s">
        <v>37</v>
      </c>
      <c r="D10" s="8" t="s">
        <v>46</v>
      </c>
      <c r="E10" s="24">
        <v>5</v>
      </c>
      <c r="F10" s="25"/>
      <c r="G10" s="7">
        <f>'ANEXO 1'!X13</f>
        <v>2125338.33</v>
      </c>
      <c r="H10" s="1"/>
      <c r="I10" s="7"/>
      <c r="J10" s="6"/>
      <c r="K10" s="3">
        <f t="shared" si="0"/>
        <v>2125338.33</v>
      </c>
      <c r="L10" s="3">
        <f t="shared" si="1"/>
        <v>403814.28</v>
      </c>
      <c r="M10" s="3">
        <f t="shared" si="2"/>
        <v>2529152.61</v>
      </c>
      <c r="N10" s="3">
        <f t="shared" si="3"/>
        <v>12645763.050000001</v>
      </c>
    </row>
    <row r="11" spans="2:14" ht="30.9" customHeight="1">
      <c r="B11" s="51">
        <v>4</v>
      </c>
      <c r="C11" s="23" t="s">
        <v>38</v>
      </c>
      <c r="D11" s="8" t="s">
        <v>46</v>
      </c>
      <c r="E11" s="24">
        <v>57</v>
      </c>
      <c r="F11" s="25"/>
      <c r="G11" s="7">
        <f>'ANEXO 1'!X14</f>
        <v>1489494.98</v>
      </c>
      <c r="H11" s="1"/>
      <c r="I11" s="7"/>
      <c r="J11" s="6"/>
      <c r="K11" s="3">
        <f t="shared" si="0"/>
        <v>1489494.98</v>
      </c>
      <c r="L11" s="3">
        <f t="shared" si="1"/>
        <v>283004.05</v>
      </c>
      <c r="M11" s="3">
        <f t="shared" si="2"/>
        <v>1772499.03</v>
      </c>
      <c r="N11" s="3">
        <f t="shared" si="3"/>
        <v>101032444.70999999</v>
      </c>
    </row>
    <row r="12" spans="2:14" ht="30.9" customHeight="1">
      <c r="B12" s="51">
        <v>5</v>
      </c>
      <c r="C12" s="23" t="s">
        <v>57</v>
      </c>
      <c r="D12" s="8" t="s">
        <v>46</v>
      </c>
      <c r="E12" s="24">
        <v>60</v>
      </c>
      <c r="F12" s="25"/>
      <c r="G12" s="7">
        <f>'ANEXO 1'!X15</f>
        <v>754055</v>
      </c>
      <c r="I12" s="7"/>
      <c r="K12" s="3">
        <f t="shared" si="0"/>
        <v>754055</v>
      </c>
      <c r="L12" s="3">
        <f t="shared" si="1"/>
        <v>143270.45000000001</v>
      </c>
      <c r="M12" s="3">
        <f t="shared" si="2"/>
        <v>897325.45</v>
      </c>
      <c r="N12" s="3">
        <f t="shared" si="3"/>
        <v>53839527</v>
      </c>
    </row>
    <row r="13" spans="2:14" ht="30.9" customHeight="1">
      <c r="B13" s="51">
        <v>6</v>
      </c>
      <c r="C13" s="23" t="s">
        <v>39</v>
      </c>
      <c r="D13" s="8" t="s">
        <v>46</v>
      </c>
      <c r="E13" s="24">
        <v>60</v>
      </c>
      <c r="F13" s="25"/>
      <c r="G13" s="7">
        <f>'ANEXO 1'!X16</f>
        <v>350000</v>
      </c>
      <c r="I13" s="7"/>
      <c r="K13" s="3">
        <f t="shared" si="0"/>
        <v>350000</v>
      </c>
      <c r="L13" s="3">
        <f t="shared" si="1"/>
        <v>66500</v>
      </c>
      <c r="M13" s="3">
        <f t="shared" si="2"/>
        <v>416500</v>
      </c>
      <c r="N13" s="3">
        <f t="shared" si="3"/>
        <v>24990000</v>
      </c>
    </row>
    <row r="14" spans="2:14" ht="30.9" customHeight="1">
      <c r="B14" s="51">
        <v>7</v>
      </c>
      <c r="C14" s="23" t="s">
        <v>58</v>
      </c>
      <c r="D14" s="8" t="s">
        <v>46</v>
      </c>
      <c r="E14" s="24">
        <v>53</v>
      </c>
      <c r="F14" s="25"/>
      <c r="G14" s="7">
        <f>'ANEXO 1'!X17</f>
        <v>1246449.79</v>
      </c>
      <c r="I14" s="7"/>
      <c r="K14" s="3">
        <f t="shared" si="0"/>
        <v>1246449.79</v>
      </c>
      <c r="L14" s="3">
        <f t="shared" si="1"/>
        <v>236825.46</v>
      </c>
      <c r="M14" s="3">
        <f t="shared" si="2"/>
        <v>1483275.25</v>
      </c>
      <c r="N14" s="3">
        <f t="shared" si="3"/>
        <v>78613588.25</v>
      </c>
    </row>
    <row r="15" spans="2:14" ht="30.9" customHeight="1">
      <c r="B15" s="51">
        <v>8</v>
      </c>
      <c r="C15" s="23" t="s">
        <v>40</v>
      </c>
      <c r="D15" s="8" t="s">
        <v>46</v>
      </c>
      <c r="E15" s="24">
        <v>3</v>
      </c>
      <c r="F15" s="25"/>
      <c r="G15" s="7">
        <f>'ANEXO 1'!X18</f>
        <v>705555.56</v>
      </c>
      <c r="I15" s="7">
        <f>'ANEXO 2'!L16</f>
        <v>480734.82</v>
      </c>
      <c r="K15" s="3">
        <f t="shared" si="0"/>
        <v>593145.18999999994</v>
      </c>
      <c r="L15" s="3">
        <f t="shared" si="1"/>
        <v>112697.59</v>
      </c>
      <c r="M15" s="3">
        <f t="shared" si="2"/>
        <v>705842.78</v>
      </c>
      <c r="N15" s="3">
        <f t="shared" si="3"/>
        <v>2117528.34</v>
      </c>
    </row>
    <row r="16" spans="2:14" ht="30.9" customHeight="1">
      <c r="B16" s="51">
        <v>9</v>
      </c>
      <c r="C16" s="23" t="s">
        <v>41</v>
      </c>
      <c r="D16" s="8" t="s">
        <v>46</v>
      </c>
      <c r="E16" s="24">
        <v>30</v>
      </c>
      <c r="F16" s="25"/>
      <c r="G16" s="7">
        <f>'ANEXO 1'!X19</f>
        <v>1450666.67</v>
      </c>
      <c r="I16" s="7">
        <f>'ANEXO 2'!L17</f>
        <v>820534.03</v>
      </c>
      <c r="K16" s="3">
        <f t="shared" si="0"/>
        <v>1135600.3500000001</v>
      </c>
      <c r="L16" s="3">
        <f t="shared" si="1"/>
        <v>215764.07</v>
      </c>
      <c r="M16" s="3">
        <f t="shared" si="2"/>
        <v>1351364.42</v>
      </c>
      <c r="N16" s="3">
        <f t="shared" si="3"/>
        <v>40540932.600000001</v>
      </c>
    </row>
    <row r="17" spans="2:14" ht="30.9" customHeight="1">
      <c r="B17" s="51">
        <v>10</v>
      </c>
      <c r="C17" s="23" t="s">
        <v>42</v>
      </c>
      <c r="D17" s="8" t="s">
        <v>46</v>
      </c>
      <c r="E17" s="24">
        <v>174</v>
      </c>
      <c r="F17" s="25"/>
      <c r="G17" s="7">
        <f>'ANEXO 1'!X20</f>
        <v>456123.25</v>
      </c>
      <c r="I17" s="7">
        <f>'ANEXO 2'!L18</f>
        <v>173999.04</v>
      </c>
      <c r="K17" s="3">
        <f t="shared" si="0"/>
        <v>315061.15000000002</v>
      </c>
      <c r="L17" s="3">
        <f t="shared" si="1"/>
        <v>59861.62</v>
      </c>
      <c r="M17" s="3">
        <f t="shared" si="2"/>
        <v>374922.77</v>
      </c>
      <c r="N17" s="3">
        <f t="shared" si="3"/>
        <v>65236561.979999997</v>
      </c>
    </row>
    <row r="18" spans="2:14" ht="30.9" customHeight="1">
      <c r="B18" s="51">
        <v>11</v>
      </c>
      <c r="C18" s="23" t="s">
        <v>43</v>
      </c>
      <c r="D18" s="8" t="s">
        <v>46</v>
      </c>
      <c r="E18" s="24">
        <v>106</v>
      </c>
      <c r="F18" s="25"/>
      <c r="G18" s="7">
        <f>'ANEXO 1'!X21</f>
        <v>423533.33</v>
      </c>
      <c r="I18" s="7">
        <f>'ANEXO 2'!L19</f>
        <v>176583.18</v>
      </c>
      <c r="K18" s="3">
        <f t="shared" si="0"/>
        <v>300058.26</v>
      </c>
      <c r="L18" s="3">
        <f t="shared" si="1"/>
        <v>57011.07</v>
      </c>
      <c r="M18" s="3">
        <f t="shared" si="2"/>
        <v>357069.33</v>
      </c>
      <c r="N18" s="3">
        <f t="shared" si="3"/>
        <v>37849348.979999997</v>
      </c>
    </row>
    <row r="19" spans="2:14" ht="30.9" customHeight="1">
      <c r="B19" s="51">
        <v>12</v>
      </c>
      <c r="C19" s="23" t="s">
        <v>44</v>
      </c>
      <c r="D19" s="8" t="s">
        <v>46</v>
      </c>
      <c r="E19" s="24">
        <v>6</v>
      </c>
      <c r="F19" s="25"/>
      <c r="G19" s="7">
        <f>'ANEXO 1'!X22</f>
        <v>1854266.67</v>
      </c>
      <c r="I19" s="7"/>
      <c r="K19" s="3">
        <f t="shared" si="0"/>
        <v>1854266.67</v>
      </c>
      <c r="L19" s="3">
        <f t="shared" si="1"/>
        <v>352310.67</v>
      </c>
      <c r="M19" s="3">
        <f t="shared" si="2"/>
        <v>2206577.34</v>
      </c>
      <c r="N19" s="3">
        <f t="shared" si="3"/>
        <v>13239464.039999999</v>
      </c>
    </row>
    <row r="20" spans="2:14" ht="30.9" customHeight="1">
      <c r="B20" s="51">
        <v>13</v>
      </c>
      <c r="C20" s="23" t="s">
        <v>45</v>
      </c>
      <c r="D20" s="8" t="s">
        <v>46</v>
      </c>
      <c r="E20" s="24">
        <v>6</v>
      </c>
      <c r="F20" s="25"/>
      <c r="G20" s="7">
        <f>'ANEXO 1'!X23</f>
        <v>2457564.71</v>
      </c>
      <c r="I20" s="7"/>
      <c r="K20" s="3">
        <f t="shared" si="0"/>
        <v>2457564.71</v>
      </c>
      <c r="L20" s="3">
        <f t="shared" si="1"/>
        <v>466937.29</v>
      </c>
      <c r="M20" s="3">
        <f t="shared" si="2"/>
        <v>2924502</v>
      </c>
      <c r="N20" s="3">
        <f t="shared" si="3"/>
        <v>17547012</v>
      </c>
    </row>
    <row r="21" spans="2:14" ht="30.9" customHeight="1">
      <c r="B21" s="75"/>
      <c r="C21" s="76"/>
      <c r="D21" s="77"/>
      <c r="E21" s="78"/>
      <c r="F21" s="25"/>
      <c r="G21" s="79"/>
      <c r="I21" s="79"/>
      <c r="K21" s="117" t="s">
        <v>30</v>
      </c>
      <c r="L21" s="118"/>
      <c r="M21" s="119"/>
      <c r="N21" s="80">
        <f>ROUND(SUM(N8:N20),2)</f>
        <v>799561742.33000004</v>
      </c>
    </row>
    <row r="22" spans="2:14" ht="102" customHeight="1">
      <c r="B22" s="109" t="s">
        <v>47</v>
      </c>
      <c r="C22" s="110"/>
      <c r="D22" s="110"/>
      <c r="E22" s="110"/>
      <c r="F22" s="58"/>
      <c r="G22" s="68" t="s">
        <v>25</v>
      </c>
      <c r="H22" s="69"/>
      <c r="I22" s="68" t="s">
        <v>69</v>
      </c>
      <c r="J22" s="70"/>
      <c r="K22" s="116" t="s">
        <v>27</v>
      </c>
      <c r="L22" s="116"/>
      <c r="M22" s="116"/>
      <c r="N22" s="116"/>
    </row>
    <row r="23" spans="2:14" ht="42.9" customHeight="1">
      <c r="B23" s="52" t="s">
        <v>7</v>
      </c>
      <c r="C23" s="52" t="s">
        <v>8</v>
      </c>
      <c r="D23" s="52" t="s">
        <v>9</v>
      </c>
      <c r="E23" s="52" t="s">
        <v>10</v>
      </c>
      <c r="F23" s="53"/>
      <c r="G23" s="71" t="s">
        <v>4</v>
      </c>
      <c r="H23" s="72"/>
      <c r="I23" s="71" t="s">
        <v>4</v>
      </c>
      <c r="J23" s="73"/>
      <c r="K23" s="74" t="s">
        <v>4</v>
      </c>
      <c r="L23" s="74" t="s">
        <v>15</v>
      </c>
      <c r="M23" s="74" t="s">
        <v>16</v>
      </c>
      <c r="N23" s="74" t="s">
        <v>17</v>
      </c>
    </row>
    <row r="24" spans="2:14" ht="30.9" customHeight="1">
      <c r="B24" s="51">
        <v>1</v>
      </c>
      <c r="C24" s="23" t="s">
        <v>48</v>
      </c>
      <c r="D24" s="8" t="s">
        <v>46</v>
      </c>
      <c r="E24" s="24">
        <v>959</v>
      </c>
      <c r="F24" s="53"/>
      <c r="G24" s="7">
        <f>'ANEXO 1'!X26</f>
        <v>1102170.67</v>
      </c>
      <c r="I24" s="7">
        <v>668206.37</v>
      </c>
      <c r="K24" s="3">
        <f>+I24</f>
        <v>668206.37</v>
      </c>
      <c r="L24" s="3">
        <f>ROUND((K24*19%),2)</f>
        <v>126959.21</v>
      </c>
      <c r="M24" s="3">
        <f>ROUND((L24+K24),2)</f>
        <v>795165.58</v>
      </c>
      <c r="N24" s="3">
        <f>ROUND((M24*E24),2)</f>
        <v>762563791.22000003</v>
      </c>
    </row>
    <row r="25" spans="2:14" ht="30.9" customHeight="1">
      <c r="B25" s="51">
        <v>2</v>
      </c>
      <c r="C25" s="23" t="s">
        <v>49</v>
      </c>
      <c r="D25" s="8" t="s">
        <v>46</v>
      </c>
      <c r="E25" s="34">
        <v>1373</v>
      </c>
      <c r="F25" s="53"/>
      <c r="G25" s="7">
        <f>'ANEXO 1'!X27</f>
        <v>1028480.67</v>
      </c>
      <c r="I25" s="7">
        <v>605278.85</v>
      </c>
      <c r="K25" s="3">
        <f t="shared" ref="K25:K32" si="4">+I25</f>
        <v>605278.85</v>
      </c>
      <c r="L25" s="3">
        <f t="shared" ref="L25:L32" si="5">ROUND((K25*19%),2)</f>
        <v>115002.98</v>
      </c>
      <c r="M25" s="3">
        <f t="shared" ref="M25:M32" si="6">ROUND((L25+K25),2)</f>
        <v>720281.83</v>
      </c>
      <c r="N25" s="3">
        <f t="shared" ref="N25:N32" si="7">ROUND((M25*E25),2)</f>
        <v>988946952.59000003</v>
      </c>
    </row>
    <row r="26" spans="2:14" ht="30.9" customHeight="1">
      <c r="B26" s="51">
        <v>3</v>
      </c>
      <c r="C26" s="23" t="s">
        <v>50</v>
      </c>
      <c r="D26" s="8" t="s">
        <v>46</v>
      </c>
      <c r="E26" s="24">
        <v>50</v>
      </c>
      <c r="F26" s="53"/>
      <c r="G26" s="7">
        <f>'ANEXO 1'!X28</f>
        <v>759983.34</v>
      </c>
      <c r="I26" s="7">
        <v>559061.34</v>
      </c>
      <c r="K26" s="3">
        <f t="shared" si="4"/>
        <v>559061.34</v>
      </c>
      <c r="L26" s="3">
        <v>106221.66</v>
      </c>
      <c r="M26" s="3">
        <f t="shared" si="6"/>
        <v>665283</v>
      </c>
      <c r="N26" s="3">
        <f t="shared" si="7"/>
        <v>33264150</v>
      </c>
    </row>
    <row r="27" spans="2:14" ht="30.9" customHeight="1">
      <c r="B27" s="51">
        <v>4</v>
      </c>
      <c r="C27" s="23" t="s">
        <v>51</v>
      </c>
      <c r="D27" s="8" t="s">
        <v>46</v>
      </c>
      <c r="E27" s="24">
        <v>10</v>
      </c>
      <c r="F27" s="53"/>
      <c r="G27" s="7">
        <f>'ANEXO 1'!X29</f>
        <v>1262403.33</v>
      </c>
      <c r="I27" s="7">
        <v>763078.99</v>
      </c>
      <c r="K27" s="3">
        <f t="shared" si="4"/>
        <v>763078.99</v>
      </c>
      <c r="L27" s="3">
        <f t="shared" si="5"/>
        <v>144985.01</v>
      </c>
      <c r="M27" s="3">
        <f t="shared" si="6"/>
        <v>908064</v>
      </c>
      <c r="N27" s="3">
        <f t="shared" si="7"/>
        <v>9080640</v>
      </c>
    </row>
    <row r="28" spans="2:14" ht="30.9" customHeight="1">
      <c r="B28" s="51">
        <v>5</v>
      </c>
      <c r="C28" s="23" t="s">
        <v>52</v>
      </c>
      <c r="D28" s="8" t="s">
        <v>46</v>
      </c>
      <c r="E28" s="24">
        <v>10</v>
      </c>
      <c r="F28" s="53"/>
      <c r="G28" s="7">
        <f>'ANEXO 1'!X30</f>
        <v>1879070</v>
      </c>
      <c r="I28" s="7">
        <v>763078.99</v>
      </c>
      <c r="K28" s="3">
        <f t="shared" si="4"/>
        <v>763078.99</v>
      </c>
      <c r="L28" s="3">
        <f t="shared" si="5"/>
        <v>144985.01</v>
      </c>
      <c r="M28" s="3">
        <f t="shared" si="6"/>
        <v>908064</v>
      </c>
      <c r="N28" s="3">
        <f t="shared" si="7"/>
        <v>9080640</v>
      </c>
    </row>
    <row r="29" spans="2:14" ht="30.9" customHeight="1">
      <c r="B29" s="51">
        <v>6</v>
      </c>
      <c r="C29" s="23" t="s">
        <v>53</v>
      </c>
      <c r="D29" s="8" t="s">
        <v>46</v>
      </c>
      <c r="E29" s="24">
        <v>10</v>
      </c>
      <c r="F29" s="53"/>
      <c r="G29" s="7">
        <f>'ANEXO 1'!X31</f>
        <v>1879070</v>
      </c>
      <c r="I29" s="7">
        <v>763078.99</v>
      </c>
      <c r="K29" s="3">
        <f t="shared" si="4"/>
        <v>763078.99</v>
      </c>
      <c r="L29" s="3">
        <f t="shared" si="5"/>
        <v>144985.01</v>
      </c>
      <c r="M29" s="3">
        <f t="shared" si="6"/>
        <v>908064</v>
      </c>
      <c r="N29" s="3">
        <f t="shared" si="7"/>
        <v>9080640</v>
      </c>
    </row>
    <row r="30" spans="2:14" ht="30.9" customHeight="1">
      <c r="B30" s="51">
        <v>7</v>
      </c>
      <c r="C30" s="23" t="s">
        <v>54</v>
      </c>
      <c r="D30" s="8" t="s">
        <v>46</v>
      </c>
      <c r="E30" s="24">
        <v>150</v>
      </c>
      <c r="F30" s="53"/>
      <c r="G30" s="7">
        <f>'ANEXO 1'!X32</f>
        <v>1542434.67</v>
      </c>
      <c r="I30" s="7">
        <v>250826.89</v>
      </c>
      <c r="K30" s="3">
        <f t="shared" si="4"/>
        <v>250826.89</v>
      </c>
      <c r="L30" s="3">
        <f t="shared" si="5"/>
        <v>47657.11</v>
      </c>
      <c r="M30" s="3">
        <f t="shared" si="6"/>
        <v>298484</v>
      </c>
      <c r="N30" s="3">
        <f t="shared" si="7"/>
        <v>44772600</v>
      </c>
    </row>
    <row r="31" spans="2:14" ht="30.9" customHeight="1">
      <c r="B31" s="51">
        <v>8</v>
      </c>
      <c r="C31" s="23" t="s">
        <v>55</v>
      </c>
      <c r="D31" s="8" t="s">
        <v>46</v>
      </c>
      <c r="E31" s="24">
        <v>100</v>
      </c>
      <c r="F31" s="53"/>
      <c r="G31" s="7">
        <f>'ANEXO 1'!X33</f>
        <v>1608222</v>
      </c>
      <c r="I31" s="7">
        <v>496354.62</v>
      </c>
      <c r="K31" s="3">
        <f t="shared" si="4"/>
        <v>496354.62</v>
      </c>
      <c r="L31" s="3">
        <f t="shared" si="5"/>
        <v>94307.38</v>
      </c>
      <c r="M31" s="3">
        <f t="shared" si="6"/>
        <v>590662</v>
      </c>
      <c r="N31" s="3">
        <f t="shared" si="7"/>
        <v>59066200</v>
      </c>
    </row>
    <row r="32" spans="2:14" ht="30.9" customHeight="1">
      <c r="B32" s="51">
        <v>9</v>
      </c>
      <c r="C32" s="23" t="s">
        <v>56</v>
      </c>
      <c r="D32" s="8" t="s">
        <v>46</v>
      </c>
      <c r="E32" s="24">
        <v>10</v>
      </c>
      <c r="F32" s="53"/>
      <c r="G32" s="7">
        <f>'ANEXO 1'!X34</f>
        <v>1817665.67</v>
      </c>
      <c r="I32" s="7">
        <v>1105757.98</v>
      </c>
      <c r="K32" s="3">
        <f t="shared" si="4"/>
        <v>1105757.98</v>
      </c>
      <c r="L32" s="3">
        <f t="shared" si="5"/>
        <v>210094.02</v>
      </c>
      <c r="M32" s="3">
        <f t="shared" si="6"/>
        <v>1315852</v>
      </c>
      <c r="N32" s="3">
        <f t="shared" si="7"/>
        <v>13158520</v>
      </c>
    </row>
    <row r="33" spans="2:14" ht="30.9" customHeight="1">
      <c r="B33" s="53"/>
      <c r="C33" s="53"/>
      <c r="D33" s="53"/>
      <c r="E33" s="53"/>
      <c r="F33" s="53"/>
      <c r="K33" s="117" t="s">
        <v>30</v>
      </c>
      <c r="L33" s="118"/>
      <c r="M33" s="119"/>
      <c r="N33" s="80">
        <f>ROUND(SUM(N24:N32),2)</f>
        <v>1929014133.8099999</v>
      </c>
    </row>
    <row r="34" spans="2:14" ht="29.1" customHeight="1">
      <c r="B34" s="113" t="s">
        <v>18</v>
      </c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M34" s="115"/>
      <c r="N34" s="81">
        <f>SUM(N33,N21)</f>
        <v>2728575876.1399999</v>
      </c>
    </row>
    <row r="35" spans="2:14">
      <c r="B35" s="36"/>
      <c r="C35" s="36"/>
      <c r="D35" s="36"/>
      <c r="E35" s="36"/>
      <c r="F35" s="25"/>
    </row>
    <row r="36" spans="2:14" ht="24.9" customHeight="1">
      <c r="B36" s="38" t="s">
        <v>66</v>
      </c>
    </row>
    <row r="37" spans="2:14">
      <c r="B37" s="38" t="s">
        <v>67</v>
      </c>
      <c r="D37" s="9"/>
      <c r="E37" s="40"/>
    </row>
    <row r="38" spans="2:14">
      <c r="B38" s="38"/>
      <c r="D38" s="9"/>
      <c r="E38" s="40"/>
    </row>
    <row r="39" spans="2:14" ht="26.25" customHeight="1">
      <c r="B39" s="94"/>
      <c r="C39" s="94"/>
      <c r="D39" s="94"/>
      <c r="E39" s="94"/>
      <c r="F39" s="94"/>
    </row>
    <row r="40" spans="2:14" ht="26.25" customHeight="1">
      <c r="B40" s="94"/>
      <c r="C40" s="94"/>
      <c r="D40" s="94"/>
      <c r="E40" s="94"/>
      <c r="F40" s="94"/>
    </row>
    <row r="41" spans="2:14" ht="26.25" customHeight="1">
      <c r="B41" s="94"/>
      <c r="C41" s="94"/>
      <c r="D41" s="94"/>
      <c r="E41" s="94"/>
      <c r="F41" s="94"/>
    </row>
    <row r="42" spans="2:14" ht="26.25" customHeight="1">
      <c r="B42" s="94"/>
      <c r="C42" s="94"/>
      <c r="D42" s="94"/>
      <c r="E42" s="94"/>
      <c r="F42" s="94"/>
    </row>
    <row r="43" spans="2:14" ht="26.25" customHeight="1">
      <c r="B43" s="94"/>
      <c r="C43" s="94"/>
      <c r="D43" s="94"/>
      <c r="E43" s="94"/>
      <c r="F43" s="94"/>
    </row>
    <row r="44" spans="2:14" ht="26.25" customHeight="1">
      <c r="B44" s="94"/>
      <c r="C44" s="94"/>
      <c r="D44" s="94"/>
      <c r="E44" s="94"/>
      <c r="F44" s="94"/>
    </row>
    <row r="45" spans="2:14" s="11" customFormat="1">
      <c r="B45" s="41"/>
      <c r="D45" s="17"/>
      <c r="E45" s="9"/>
      <c r="F45" s="9"/>
      <c r="G45" s="9"/>
      <c r="H45" s="9"/>
      <c r="I45" s="9"/>
      <c r="J45" s="9"/>
      <c r="K45" s="9"/>
      <c r="L45" s="9"/>
      <c r="M45" s="9"/>
      <c r="N45" s="9"/>
    </row>
  </sheetData>
  <mergeCells count="14">
    <mergeCell ref="B1:N1"/>
    <mergeCell ref="D2:N2"/>
    <mergeCell ref="D3:N3"/>
    <mergeCell ref="K21:M21"/>
    <mergeCell ref="K33:M33"/>
    <mergeCell ref="B22:E22"/>
    <mergeCell ref="B2:C3"/>
    <mergeCell ref="B5:E5"/>
    <mergeCell ref="B6:E6"/>
    <mergeCell ref="B34:M34"/>
    <mergeCell ref="B39:E44"/>
    <mergeCell ref="F39:F44"/>
    <mergeCell ref="K6:N6"/>
    <mergeCell ref="K22:N22"/>
  </mergeCells>
  <pageMargins left="0.7" right="0.7" top="0.75" bottom="0.75" header="0.3" footer="0.3"/>
  <pageSetup scale="7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79B7D-5E2A-E042-86B9-DDBD942F31D6}">
  <dimension ref="B1:L45"/>
  <sheetViews>
    <sheetView showGridLines="0" tabSelected="1" zoomScale="60" zoomScaleNormal="97" workbookViewId="0">
      <selection activeCell="F37" sqref="F37"/>
    </sheetView>
  </sheetViews>
  <sheetFormatPr baseColWidth="10" defaultColWidth="11.44140625" defaultRowHeight="13.8"/>
  <cols>
    <col min="1" max="1" width="6.44140625" style="9" customWidth="1"/>
    <col min="2" max="2" width="6.44140625" style="10" customWidth="1"/>
    <col min="3" max="3" width="51.44140625" style="11" customWidth="1"/>
    <col min="4" max="4" width="12" style="17" customWidth="1"/>
    <col min="5" max="5" width="12.33203125" style="9" customWidth="1"/>
    <col min="6" max="6" width="13.6640625" style="9" customWidth="1"/>
    <col min="7" max="9" width="16.44140625" style="9" customWidth="1"/>
    <col min="10" max="10" width="20.88671875" style="9" bestFit="1" customWidth="1"/>
    <col min="11" max="11" width="11.44140625" style="9"/>
    <col min="12" max="12" width="12.6640625" style="9" bestFit="1" customWidth="1"/>
    <col min="13" max="16384" width="11.44140625" style="9"/>
  </cols>
  <sheetData>
    <row r="1" spans="2:12" ht="31.5" customHeight="1">
      <c r="B1" s="91" t="s">
        <v>28</v>
      </c>
      <c r="C1" s="91"/>
      <c r="D1" s="91"/>
      <c r="E1" s="91"/>
      <c r="F1" s="91"/>
      <c r="G1" s="91"/>
      <c r="H1" s="91"/>
      <c r="I1" s="91"/>
      <c r="J1" s="91"/>
    </row>
    <row r="2" spans="2:12" ht="29.1" customHeight="1">
      <c r="B2" s="95"/>
      <c r="C2" s="95"/>
      <c r="D2" s="91" t="s">
        <v>29</v>
      </c>
      <c r="E2" s="91"/>
      <c r="F2" s="91"/>
      <c r="G2" s="91"/>
      <c r="H2" s="91"/>
      <c r="I2" s="91"/>
      <c r="J2" s="91"/>
    </row>
    <row r="3" spans="2:12" ht="65.099999999999994" customHeight="1">
      <c r="B3" s="95"/>
      <c r="C3" s="95"/>
      <c r="D3" s="104" t="s">
        <v>65</v>
      </c>
      <c r="E3" s="104"/>
      <c r="F3" s="104"/>
      <c r="G3" s="104"/>
      <c r="H3" s="104"/>
      <c r="I3" s="104"/>
      <c r="J3" s="104"/>
    </row>
    <row r="4" spans="2:12" ht="28.5" customHeight="1">
      <c r="B4" s="15"/>
      <c r="C4" s="16"/>
      <c r="E4" s="17"/>
      <c r="F4" s="17"/>
    </row>
    <row r="5" spans="2:12" s="19" customFormat="1" ht="74.099999999999994" customHeight="1">
      <c r="B5" s="96" t="s">
        <v>5</v>
      </c>
      <c r="C5" s="96"/>
      <c r="D5" s="96"/>
      <c r="E5" s="96"/>
      <c r="F5" s="18"/>
    </row>
    <row r="6" spans="2:12" s="19" customFormat="1" ht="96.9" customHeight="1">
      <c r="B6" s="120" t="s">
        <v>34</v>
      </c>
      <c r="C6" s="120"/>
      <c r="D6" s="120"/>
      <c r="E6" s="120"/>
      <c r="F6" s="58"/>
      <c r="G6" s="116" t="s">
        <v>27</v>
      </c>
      <c r="H6" s="116"/>
      <c r="I6" s="116"/>
      <c r="J6" s="116"/>
    </row>
    <row r="7" spans="2:12" ht="41.4">
      <c r="B7" s="52" t="s">
        <v>7</v>
      </c>
      <c r="C7" s="52" t="s">
        <v>8</v>
      </c>
      <c r="D7" s="52" t="s">
        <v>9</v>
      </c>
      <c r="E7" s="52" t="s">
        <v>10</v>
      </c>
      <c r="F7" s="12"/>
      <c r="G7" s="2" t="s">
        <v>4</v>
      </c>
      <c r="H7" s="2" t="s">
        <v>15</v>
      </c>
      <c r="I7" s="2" t="s">
        <v>16</v>
      </c>
      <c r="J7" s="2" t="s">
        <v>17</v>
      </c>
    </row>
    <row r="8" spans="2:12" ht="30.9" customHeight="1">
      <c r="B8" s="51">
        <v>1</v>
      </c>
      <c r="C8" s="23" t="s">
        <v>35</v>
      </c>
      <c r="D8" s="8" t="s">
        <v>46</v>
      </c>
      <c r="E8" s="24">
        <v>193</v>
      </c>
      <c r="F8" s="25"/>
      <c r="G8" s="27">
        <f>'ANEXO 3'!K8</f>
        <v>424797.19</v>
      </c>
      <c r="H8" s="27">
        <f>ROUND((G8*19%),2)</f>
        <v>80711.47</v>
      </c>
      <c r="I8" s="27">
        <f>ROUND((G8+H8),2)</f>
        <v>505508.66</v>
      </c>
      <c r="J8" s="27">
        <f>ROUND((I8*E8),2)</f>
        <v>97563171.379999995</v>
      </c>
      <c r="L8" s="60"/>
    </row>
    <row r="9" spans="2:12" ht="30.9" customHeight="1">
      <c r="B9" s="51">
        <v>2</v>
      </c>
      <c r="C9" s="23" t="s">
        <v>36</v>
      </c>
      <c r="D9" s="8" t="s">
        <v>46</v>
      </c>
      <c r="E9" s="24">
        <v>400</v>
      </c>
      <c r="F9" s="25"/>
      <c r="G9" s="27">
        <f>'ANEXO 3'!K9</f>
        <v>534341.18000000005</v>
      </c>
      <c r="H9" s="27">
        <f t="shared" ref="H9:H20" si="0">ROUND((G9*19%),2)</f>
        <v>101524.82</v>
      </c>
      <c r="I9" s="27">
        <f t="shared" ref="I9:I20" si="1">ROUND((G9+H9),2)</f>
        <v>635866</v>
      </c>
      <c r="J9" s="27">
        <f t="shared" ref="J9:J19" si="2">ROUND((I9*E9),2)</f>
        <v>254346400</v>
      </c>
    </row>
    <row r="10" spans="2:12" ht="30.9" customHeight="1">
      <c r="B10" s="51">
        <v>3</v>
      </c>
      <c r="C10" s="23" t="s">
        <v>37</v>
      </c>
      <c r="D10" s="8" t="s">
        <v>46</v>
      </c>
      <c r="E10" s="24">
        <v>5</v>
      </c>
      <c r="F10" s="25"/>
      <c r="G10" s="27">
        <f>'ANEXO 3'!K10</f>
        <v>2125338.33</v>
      </c>
      <c r="H10" s="27">
        <f t="shared" si="0"/>
        <v>403814.28</v>
      </c>
      <c r="I10" s="27">
        <f t="shared" si="1"/>
        <v>2529152.61</v>
      </c>
      <c r="J10" s="27">
        <f t="shared" si="2"/>
        <v>12645763.050000001</v>
      </c>
    </row>
    <row r="11" spans="2:12" ht="30.9" customHeight="1">
      <c r="B11" s="51">
        <v>4</v>
      </c>
      <c r="C11" s="23" t="s">
        <v>38</v>
      </c>
      <c r="D11" s="8" t="s">
        <v>46</v>
      </c>
      <c r="E11" s="24">
        <v>57</v>
      </c>
      <c r="F11" s="25"/>
      <c r="G11" s="27">
        <f>'ANEXO 3'!K11</f>
        <v>1489494.98</v>
      </c>
      <c r="H11" s="27">
        <f t="shared" si="0"/>
        <v>283004.05</v>
      </c>
      <c r="I11" s="27">
        <f t="shared" si="1"/>
        <v>1772499.03</v>
      </c>
      <c r="J11" s="27">
        <f t="shared" si="2"/>
        <v>101032444.70999999</v>
      </c>
    </row>
    <row r="12" spans="2:12" ht="30.9" customHeight="1">
      <c r="B12" s="51">
        <v>5</v>
      </c>
      <c r="C12" s="23" t="s">
        <v>57</v>
      </c>
      <c r="D12" s="8" t="s">
        <v>46</v>
      </c>
      <c r="E12" s="24">
        <v>60</v>
      </c>
      <c r="F12" s="25"/>
      <c r="G12" s="27">
        <f>'ANEXO 3'!K12</f>
        <v>754055</v>
      </c>
      <c r="H12" s="27">
        <f t="shared" si="0"/>
        <v>143270.45000000001</v>
      </c>
      <c r="I12" s="27">
        <f t="shared" si="1"/>
        <v>897325.45</v>
      </c>
      <c r="J12" s="27">
        <f t="shared" si="2"/>
        <v>53839527</v>
      </c>
    </row>
    <row r="13" spans="2:12" ht="30.9" customHeight="1">
      <c r="B13" s="51">
        <v>6</v>
      </c>
      <c r="C13" s="23" t="s">
        <v>39</v>
      </c>
      <c r="D13" s="8" t="s">
        <v>46</v>
      </c>
      <c r="E13" s="24">
        <v>60</v>
      </c>
      <c r="F13" s="25"/>
      <c r="G13" s="27">
        <f>'ANEXO 3'!K13</f>
        <v>350000</v>
      </c>
      <c r="H13" s="27">
        <f t="shared" si="0"/>
        <v>66500</v>
      </c>
      <c r="I13" s="27">
        <f t="shared" si="1"/>
        <v>416500</v>
      </c>
      <c r="J13" s="27">
        <f t="shared" si="2"/>
        <v>24990000</v>
      </c>
    </row>
    <row r="14" spans="2:12" ht="30.9" customHeight="1">
      <c r="B14" s="51">
        <v>7</v>
      </c>
      <c r="C14" s="23" t="s">
        <v>58</v>
      </c>
      <c r="D14" s="8" t="s">
        <v>46</v>
      </c>
      <c r="E14" s="24">
        <v>53</v>
      </c>
      <c r="F14" s="25"/>
      <c r="G14" s="27">
        <f>'ANEXO 3'!K14</f>
        <v>1246449.79</v>
      </c>
      <c r="H14" s="27">
        <f t="shared" si="0"/>
        <v>236825.46</v>
      </c>
      <c r="I14" s="27">
        <f t="shared" si="1"/>
        <v>1483275.25</v>
      </c>
      <c r="J14" s="27">
        <f t="shared" si="2"/>
        <v>78613588.25</v>
      </c>
    </row>
    <row r="15" spans="2:12" ht="30.9" customHeight="1">
      <c r="B15" s="51">
        <v>8</v>
      </c>
      <c r="C15" s="23" t="s">
        <v>40</v>
      </c>
      <c r="D15" s="8" t="s">
        <v>46</v>
      </c>
      <c r="E15" s="24">
        <v>3</v>
      </c>
      <c r="F15" s="25"/>
      <c r="G15" s="27">
        <f>'ANEXO 3'!K15</f>
        <v>593145.18999999994</v>
      </c>
      <c r="H15" s="27">
        <f t="shared" si="0"/>
        <v>112697.59</v>
      </c>
      <c r="I15" s="27">
        <f t="shared" si="1"/>
        <v>705842.78</v>
      </c>
      <c r="J15" s="27">
        <f t="shared" si="2"/>
        <v>2117528.34</v>
      </c>
    </row>
    <row r="16" spans="2:12" ht="30.9" customHeight="1">
      <c r="B16" s="51">
        <v>9</v>
      </c>
      <c r="C16" s="23" t="s">
        <v>41</v>
      </c>
      <c r="D16" s="8" t="s">
        <v>46</v>
      </c>
      <c r="E16" s="24">
        <v>30</v>
      </c>
      <c r="F16" s="25"/>
      <c r="G16" s="27">
        <f>'ANEXO 3'!K16</f>
        <v>1135600.3500000001</v>
      </c>
      <c r="H16" s="27">
        <f t="shared" si="0"/>
        <v>215764.07</v>
      </c>
      <c r="I16" s="27">
        <f t="shared" si="1"/>
        <v>1351364.42</v>
      </c>
      <c r="J16" s="27">
        <f t="shared" si="2"/>
        <v>40540932.600000001</v>
      </c>
    </row>
    <row r="17" spans="2:10" ht="30.9" customHeight="1">
      <c r="B17" s="51">
        <v>10</v>
      </c>
      <c r="C17" s="23" t="s">
        <v>42</v>
      </c>
      <c r="D17" s="8" t="s">
        <v>46</v>
      </c>
      <c r="E17" s="24">
        <v>174</v>
      </c>
      <c r="F17" s="25"/>
      <c r="G17" s="27">
        <f>'ANEXO 3'!K17</f>
        <v>315061.15000000002</v>
      </c>
      <c r="H17" s="27">
        <f t="shared" si="0"/>
        <v>59861.62</v>
      </c>
      <c r="I17" s="27">
        <f t="shared" si="1"/>
        <v>374922.77</v>
      </c>
      <c r="J17" s="27">
        <f t="shared" si="2"/>
        <v>65236561.979999997</v>
      </c>
    </row>
    <row r="18" spans="2:10" ht="30.9" customHeight="1">
      <c r="B18" s="51">
        <v>11</v>
      </c>
      <c r="C18" s="23" t="s">
        <v>43</v>
      </c>
      <c r="D18" s="8" t="s">
        <v>46</v>
      </c>
      <c r="E18" s="24">
        <v>106</v>
      </c>
      <c r="F18" s="25"/>
      <c r="G18" s="27">
        <f>'ANEXO 3'!K18</f>
        <v>300058.26</v>
      </c>
      <c r="H18" s="27">
        <f t="shared" si="0"/>
        <v>57011.07</v>
      </c>
      <c r="I18" s="27">
        <f t="shared" si="1"/>
        <v>357069.33</v>
      </c>
      <c r="J18" s="27">
        <f t="shared" si="2"/>
        <v>37849348.979999997</v>
      </c>
    </row>
    <row r="19" spans="2:10" ht="30.9" customHeight="1">
      <c r="B19" s="51">
        <v>12</v>
      </c>
      <c r="C19" s="23" t="s">
        <v>44</v>
      </c>
      <c r="D19" s="8" t="s">
        <v>46</v>
      </c>
      <c r="E19" s="24">
        <v>6</v>
      </c>
      <c r="F19" s="25"/>
      <c r="G19" s="27">
        <f>'ANEXO 3'!K19</f>
        <v>1854266.67</v>
      </c>
      <c r="H19" s="27">
        <f t="shared" si="0"/>
        <v>352310.67</v>
      </c>
      <c r="I19" s="27">
        <f t="shared" si="1"/>
        <v>2206577.34</v>
      </c>
      <c r="J19" s="27">
        <f t="shared" si="2"/>
        <v>13239464.039999999</v>
      </c>
    </row>
    <row r="20" spans="2:10" ht="30.9" customHeight="1">
      <c r="B20" s="51">
        <v>13</v>
      </c>
      <c r="C20" s="23" t="s">
        <v>45</v>
      </c>
      <c r="D20" s="8" t="s">
        <v>46</v>
      </c>
      <c r="E20" s="24">
        <v>6</v>
      </c>
      <c r="F20" s="25"/>
      <c r="G20" s="27">
        <f>'ANEXO 3'!K20</f>
        <v>2457564.71</v>
      </c>
      <c r="H20" s="27">
        <f t="shared" si="0"/>
        <v>466937.29</v>
      </c>
      <c r="I20" s="27">
        <f t="shared" si="1"/>
        <v>2924502</v>
      </c>
      <c r="J20" s="27">
        <f>ROUND((I20*E20),2)</f>
        <v>17547012</v>
      </c>
    </row>
    <row r="21" spans="2:10" ht="30.9" customHeight="1">
      <c r="B21" s="75"/>
      <c r="C21" s="76"/>
      <c r="D21" s="77"/>
      <c r="E21" s="78"/>
      <c r="F21" s="25"/>
      <c r="G21" s="117" t="s">
        <v>30</v>
      </c>
      <c r="H21" s="118"/>
      <c r="I21" s="119"/>
      <c r="J21" s="80">
        <f>ROUND(SUM(J8:J20),2)</f>
        <v>799561742.33000004</v>
      </c>
    </row>
    <row r="22" spans="2:10" ht="102" customHeight="1">
      <c r="B22" s="109" t="s">
        <v>47</v>
      </c>
      <c r="C22" s="110"/>
      <c r="D22" s="110"/>
      <c r="E22" s="110"/>
      <c r="F22" s="58"/>
      <c r="G22" s="116" t="s">
        <v>27</v>
      </c>
      <c r="H22" s="116"/>
      <c r="I22" s="116"/>
      <c r="J22" s="116"/>
    </row>
    <row r="23" spans="2:10" ht="42.9" customHeight="1">
      <c r="B23" s="52" t="s">
        <v>7</v>
      </c>
      <c r="C23" s="52" t="s">
        <v>8</v>
      </c>
      <c r="D23" s="52" t="s">
        <v>9</v>
      </c>
      <c r="E23" s="52" t="s">
        <v>10</v>
      </c>
      <c r="F23" s="53"/>
      <c r="G23" s="2" t="s">
        <v>4</v>
      </c>
      <c r="H23" s="2" t="s">
        <v>15</v>
      </c>
      <c r="I23" s="2" t="s">
        <v>16</v>
      </c>
      <c r="J23" s="2" t="s">
        <v>17</v>
      </c>
    </row>
    <row r="24" spans="2:10" ht="30.9" customHeight="1">
      <c r="B24" s="51">
        <v>1</v>
      </c>
      <c r="C24" s="23" t="s">
        <v>48</v>
      </c>
      <c r="D24" s="8" t="s">
        <v>46</v>
      </c>
      <c r="E24" s="24">
        <v>960</v>
      </c>
      <c r="F24" s="53"/>
      <c r="G24" s="27">
        <f>'ANEXO 3'!K24</f>
        <v>668206.37</v>
      </c>
      <c r="H24" s="27">
        <f t="shared" ref="H24:H32" si="3">ROUND((G24*19%),2)</f>
        <v>126959.21</v>
      </c>
      <c r="I24" s="27">
        <f t="shared" ref="I24" si="4">ROUND((G24+H24),2)</f>
        <v>795165.58</v>
      </c>
      <c r="J24" s="27">
        <f>ROUND((I24*E24),2)</f>
        <v>763358956.79999995</v>
      </c>
    </row>
    <row r="25" spans="2:10" ht="30.9" customHeight="1">
      <c r="B25" s="51">
        <v>2</v>
      </c>
      <c r="C25" s="23" t="s">
        <v>49</v>
      </c>
      <c r="D25" s="8" t="s">
        <v>46</v>
      </c>
      <c r="E25" s="34">
        <v>2491</v>
      </c>
      <c r="F25" s="53"/>
      <c r="G25" s="27">
        <f>'ANEXO 3'!K25</f>
        <v>605278.85</v>
      </c>
      <c r="H25" s="27">
        <f t="shared" si="3"/>
        <v>115002.98</v>
      </c>
      <c r="I25" s="27">
        <f t="shared" ref="I25:I32" si="5">ROUND((G25+H25),2)</f>
        <v>720281.83</v>
      </c>
      <c r="J25" s="27">
        <f t="shared" ref="J25:J32" si="6">ROUND((I25*E25),2)</f>
        <v>1794222038.53</v>
      </c>
    </row>
    <row r="26" spans="2:10" ht="30.9" customHeight="1">
      <c r="B26" s="51">
        <v>3</v>
      </c>
      <c r="C26" s="23" t="s">
        <v>50</v>
      </c>
      <c r="D26" s="8" t="s">
        <v>46</v>
      </c>
      <c r="E26" s="24">
        <v>50</v>
      </c>
      <c r="F26" s="53"/>
      <c r="G26" s="27">
        <f>'ANEXO 3'!K26</f>
        <v>559061.34</v>
      </c>
      <c r="H26" s="27">
        <v>106221.66</v>
      </c>
      <c r="I26" s="27">
        <f t="shared" si="5"/>
        <v>665283</v>
      </c>
      <c r="J26" s="27">
        <f t="shared" si="6"/>
        <v>33264150</v>
      </c>
    </row>
    <row r="27" spans="2:10" ht="30.9" customHeight="1">
      <c r="B27" s="51">
        <v>4</v>
      </c>
      <c r="C27" s="23" t="s">
        <v>51</v>
      </c>
      <c r="D27" s="8" t="s">
        <v>46</v>
      </c>
      <c r="E27" s="24">
        <v>10</v>
      </c>
      <c r="F27" s="53"/>
      <c r="G27" s="27">
        <f>'ANEXO 3'!K27</f>
        <v>763078.99</v>
      </c>
      <c r="H27" s="27">
        <f t="shared" si="3"/>
        <v>144985.01</v>
      </c>
      <c r="I27" s="27">
        <f t="shared" si="5"/>
        <v>908064</v>
      </c>
      <c r="J27" s="27">
        <f t="shared" si="6"/>
        <v>9080640</v>
      </c>
    </row>
    <row r="28" spans="2:10" ht="30.9" customHeight="1">
      <c r="B28" s="51">
        <v>5</v>
      </c>
      <c r="C28" s="23" t="s">
        <v>52</v>
      </c>
      <c r="D28" s="8" t="s">
        <v>46</v>
      </c>
      <c r="E28" s="24">
        <v>10</v>
      </c>
      <c r="F28" s="53"/>
      <c r="G28" s="27">
        <f>'ANEXO 3'!K28</f>
        <v>763078.99</v>
      </c>
      <c r="H28" s="27">
        <f t="shared" si="3"/>
        <v>144985.01</v>
      </c>
      <c r="I28" s="27">
        <f t="shared" si="5"/>
        <v>908064</v>
      </c>
      <c r="J28" s="27">
        <f t="shared" si="6"/>
        <v>9080640</v>
      </c>
    </row>
    <row r="29" spans="2:10" ht="30.9" customHeight="1">
      <c r="B29" s="51">
        <v>6</v>
      </c>
      <c r="C29" s="23" t="s">
        <v>53</v>
      </c>
      <c r="D29" s="8" t="s">
        <v>46</v>
      </c>
      <c r="E29" s="24">
        <v>10</v>
      </c>
      <c r="F29" s="53"/>
      <c r="G29" s="27">
        <f>'ANEXO 3'!K29</f>
        <v>763078.99</v>
      </c>
      <c r="H29" s="27">
        <f t="shared" si="3"/>
        <v>144985.01</v>
      </c>
      <c r="I29" s="27">
        <f t="shared" si="5"/>
        <v>908064</v>
      </c>
      <c r="J29" s="27">
        <f t="shared" si="6"/>
        <v>9080640</v>
      </c>
    </row>
    <row r="30" spans="2:10" ht="30.9" customHeight="1">
      <c r="B30" s="51">
        <v>7</v>
      </c>
      <c r="C30" s="23" t="s">
        <v>54</v>
      </c>
      <c r="D30" s="8" t="s">
        <v>46</v>
      </c>
      <c r="E30" s="24">
        <v>150</v>
      </c>
      <c r="F30" s="53"/>
      <c r="G30" s="27">
        <f>'ANEXO 3'!K30</f>
        <v>250826.89</v>
      </c>
      <c r="H30" s="27">
        <f t="shared" si="3"/>
        <v>47657.11</v>
      </c>
      <c r="I30" s="27">
        <f t="shared" si="5"/>
        <v>298484</v>
      </c>
      <c r="J30" s="27">
        <f t="shared" si="6"/>
        <v>44772600</v>
      </c>
    </row>
    <row r="31" spans="2:10" ht="30.9" customHeight="1">
      <c r="B31" s="51">
        <v>8</v>
      </c>
      <c r="C31" s="23" t="s">
        <v>55</v>
      </c>
      <c r="D31" s="8" t="s">
        <v>46</v>
      </c>
      <c r="E31" s="24">
        <v>100</v>
      </c>
      <c r="F31" s="53"/>
      <c r="G31" s="27">
        <f>'ANEXO 3'!K31</f>
        <v>496354.62</v>
      </c>
      <c r="H31" s="27">
        <f t="shared" si="3"/>
        <v>94307.38</v>
      </c>
      <c r="I31" s="27">
        <f t="shared" si="5"/>
        <v>590662</v>
      </c>
      <c r="J31" s="27">
        <f t="shared" si="6"/>
        <v>59066200</v>
      </c>
    </row>
    <row r="32" spans="2:10" ht="30.9" customHeight="1">
      <c r="B32" s="51">
        <v>9</v>
      </c>
      <c r="C32" s="23" t="s">
        <v>56</v>
      </c>
      <c r="D32" s="8" t="s">
        <v>46</v>
      </c>
      <c r="E32" s="24">
        <v>10</v>
      </c>
      <c r="F32" s="53"/>
      <c r="G32" s="27">
        <f>'ANEXO 3'!K32</f>
        <v>1105757.98</v>
      </c>
      <c r="H32" s="27">
        <f t="shared" si="3"/>
        <v>210094.02</v>
      </c>
      <c r="I32" s="27">
        <f t="shared" si="5"/>
        <v>1315852</v>
      </c>
      <c r="J32" s="27">
        <f t="shared" si="6"/>
        <v>13158520</v>
      </c>
    </row>
    <row r="33" spans="2:10" ht="30.9" customHeight="1">
      <c r="B33" s="53"/>
      <c r="C33" s="53"/>
      <c r="D33" s="53"/>
      <c r="E33" s="53"/>
      <c r="F33" s="53"/>
      <c r="G33" s="117" t="s">
        <v>30</v>
      </c>
      <c r="H33" s="118"/>
      <c r="I33" s="119"/>
      <c r="J33" s="80">
        <f>ROUND(SUM(J24:J32),2)</f>
        <v>2735084385.3299999</v>
      </c>
    </row>
    <row r="34" spans="2:10" ht="29.1" customHeight="1">
      <c r="B34" s="121" t="s">
        <v>18</v>
      </c>
      <c r="C34" s="121"/>
      <c r="D34" s="121"/>
      <c r="E34" s="121"/>
      <c r="F34" s="121"/>
      <c r="G34" s="121"/>
      <c r="H34" s="121"/>
      <c r="I34" s="121"/>
      <c r="J34" s="82">
        <f>SUM(J33,J21)</f>
        <v>3534646127.6599998</v>
      </c>
    </row>
    <row r="35" spans="2:10">
      <c r="B35" s="36"/>
      <c r="C35" s="36"/>
      <c r="D35" s="36"/>
      <c r="E35" s="36"/>
      <c r="F35" s="25"/>
    </row>
    <row r="36" spans="2:10" ht="24.9" customHeight="1">
      <c r="B36" s="38" t="s">
        <v>66</v>
      </c>
      <c r="I36" s="88"/>
      <c r="J36" s="87"/>
    </row>
    <row r="37" spans="2:10">
      <c r="B37" s="38" t="s">
        <v>71</v>
      </c>
      <c r="D37" s="9"/>
      <c r="E37" s="40"/>
    </row>
    <row r="38" spans="2:10">
      <c r="B38" s="38"/>
      <c r="D38" s="9"/>
      <c r="E38" s="40"/>
      <c r="I38" s="89"/>
      <c r="J38" s="90"/>
    </row>
    <row r="39" spans="2:10" ht="26.25" customHeight="1">
      <c r="B39" s="94"/>
      <c r="C39" s="94"/>
      <c r="D39" s="94"/>
      <c r="E39" s="94"/>
      <c r="F39" s="94"/>
    </row>
    <row r="40" spans="2:10" ht="26.25" customHeight="1">
      <c r="B40" s="94"/>
      <c r="C40" s="94"/>
      <c r="D40" s="94"/>
      <c r="E40" s="94"/>
      <c r="F40" s="94"/>
    </row>
    <row r="41" spans="2:10" ht="26.25" customHeight="1">
      <c r="B41" s="94"/>
      <c r="C41" s="94"/>
      <c r="D41" s="94"/>
      <c r="E41" s="94"/>
      <c r="F41" s="94"/>
    </row>
    <row r="42" spans="2:10" ht="26.25" customHeight="1">
      <c r="B42" s="94"/>
      <c r="C42" s="94"/>
      <c r="D42" s="94"/>
      <c r="E42" s="94"/>
      <c r="F42" s="94"/>
    </row>
    <row r="43" spans="2:10" ht="26.25" customHeight="1">
      <c r="B43" s="94"/>
      <c r="C43" s="94"/>
      <c r="D43" s="94"/>
      <c r="E43" s="94"/>
      <c r="F43" s="94"/>
    </row>
    <row r="44" spans="2:10" ht="26.25" customHeight="1">
      <c r="B44" s="94"/>
      <c r="C44" s="94"/>
      <c r="D44" s="94"/>
      <c r="E44" s="94"/>
      <c r="F44" s="94"/>
    </row>
    <row r="45" spans="2:10" s="11" customFormat="1">
      <c r="B45" s="41"/>
      <c r="D45" s="17"/>
      <c r="E45" s="9"/>
      <c r="F45" s="9"/>
    </row>
  </sheetData>
  <mergeCells count="14">
    <mergeCell ref="G33:I33"/>
    <mergeCell ref="G22:J22"/>
    <mergeCell ref="B22:E22"/>
    <mergeCell ref="B39:E44"/>
    <mergeCell ref="F39:F44"/>
    <mergeCell ref="B34:I34"/>
    <mergeCell ref="G6:J6"/>
    <mergeCell ref="G21:I21"/>
    <mergeCell ref="B1:J1"/>
    <mergeCell ref="D2:J2"/>
    <mergeCell ref="D3:J3"/>
    <mergeCell ref="B2:C3"/>
    <mergeCell ref="B5:E5"/>
    <mergeCell ref="B6:E6"/>
  </mergeCells>
  <pageMargins left="0.25" right="0.25" top="0.75" bottom="0.75" header="0.3" footer="0.3"/>
  <pageSetup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1</vt:lpstr>
      <vt:lpstr>ANEXO 2</vt:lpstr>
      <vt:lpstr>ANEXO 3</vt:lpstr>
      <vt:lpstr>ANEXO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Liliana Martinez Contreras</dc:creator>
  <cp:lastModifiedBy>ASUS</cp:lastModifiedBy>
  <cp:lastPrinted>2026-09-02T17:28:09Z</cp:lastPrinted>
  <dcterms:created xsi:type="dcterms:W3CDTF">2023-04-11T16:23:00Z</dcterms:created>
  <dcterms:modified xsi:type="dcterms:W3CDTF">2026-09-02T18:01:43Z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B4B3A750559E4F1794C609AE1C3FAFB1_13</vt:lpwstr>
  </property>
  <property fmtid="{D5CDD505-2E9C-101B-9397-08002B2CF9AE}" pid="3" name="KSOProductBuildVer">
    <vt:lpwstr>1033-12.2.0.23196</vt:lpwstr>
  </property>
</Properties>
</file>