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SASI MOTOS VF 02-09-2026\"/>
    </mc:Choice>
  </mc:AlternateContent>
  <xr:revisionPtr revIDLastSave="1" documentId="8_{0CC49AEE-1323-4F3D-97C2-5A02A90629D7}" xr6:coauthVersionLast="47" xr6:coauthVersionMax="47" xr10:uidLastSave="{EF90E6F1-F6E5-4AC5-82B3-A1BA730E8AA9}"/>
  <bookViews>
    <workbookView xWindow="-120" yWindow="-120" windowWidth="29040" windowHeight="15720" xr2:uid="{00000000-000D-0000-FFFF-FFFF00000000}"/>
  </bookViews>
  <sheets>
    <sheet name="ESTUDIO DE MERCADO" sheetId="3" r:id="rId1"/>
  </sheets>
  <definedNames>
    <definedName name="_xlnm._FilterDatabase" localSheetId="0" hidden="1">'ESTUDIO DE MERCADO'!$A$6:$AF$19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1" i="3" l="1"/>
  <c r="Q19" i="3"/>
  <c r="W19" i="3"/>
  <c r="S7" i="3"/>
  <c r="R7" i="3"/>
  <c r="M7" i="3"/>
  <c r="L7" i="3"/>
  <c r="J7" i="3"/>
  <c r="I7" i="3"/>
  <c r="G7" i="3"/>
  <c r="F7" i="3"/>
  <c r="N7" i="3" l="1"/>
  <c r="T7" i="3"/>
  <c r="T19" i="3" s="1"/>
  <c r="H7" i="3"/>
  <c r="K7" i="3"/>
  <c r="Z18" i="3"/>
  <c r="Y18" i="3"/>
  <c r="X18" i="3"/>
  <c r="Z17" i="3"/>
  <c r="Y17" i="3"/>
  <c r="X17" i="3"/>
  <c r="Z16" i="3"/>
  <c r="Y16" i="3"/>
  <c r="X16" i="3"/>
  <c r="Z15" i="3"/>
  <c r="Y15" i="3"/>
  <c r="X15" i="3"/>
  <c r="Z14" i="3"/>
  <c r="Y14" i="3"/>
  <c r="X14" i="3"/>
  <c r="Z13" i="3"/>
  <c r="Y13" i="3"/>
  <c r="X13" i="3"/>
  <c r="Z12" i="3"/>
  <c r="Y12" i="3"/>
  <c r="X12" i="3"/>
  <c r="Z11" i="3"/>
  <c r="Y11" i="3"/>
  <c r="X11" i="3"/>
  <c r="Z10" i="3"/>
  <c r="Y10" i="3"/>
  <c r="X10" i="3"/>
  <c r="Z9" i="3"/>
  <c r="Y9" i="3"/>
  <c r="X9" i="3"/>
  <c r="Z8" i="3"/>
  <c r="Y8" i="3"/>
  <c r="X8" i="3"/>
  <c r="X7" i="3" l="1"/>
  <c r="Y7" i="3"/>
  <c r="Z7" i="3"/>
  <c r="AA18" i="3"/>
  <c r="AA14" i="3"/>
  <c r="AA13" i="3"/>
  <c r="AA12" i="3"/>
  <c r="AA10" i="3"/>
  <c r="AA11" i="3"/>
  <c r="AA8" i="3" l="1"/>
  <c r="AD8" i="3" s="1"/>
  <c r="AA17" i="3"/>
  <c r="AD17" i="3" s="1"/>
  <c r="AA16" i="3"/>
  <c r="AD16" i="3" s="1"/>
  <c r="AA9" i="3"/>
  <c r="AD9" i="3" s="1"/>
  <c r="AA15" i="3"/>
  <c r="AD15" i="3" s="1"/>
  <c r="AD18" i="3"/>
  <c r="AE18" i="3" s="1"/>
  <c r="AD14" i="3"/>
  <c r="AB14" i="3" s="1"/>
  <c r="AC14" i="3" s="1"/>
  <c r="AD10" i="3"/>
  <c r="AB10" i="3" s="1"/>
  <c r="AC10" i="3" s="1"/>
  <c r="AD12" i="3"/>
  <c r="AD11" i="3"/>
  <c r="AD13" i="3"/>
  <c r="AA7" i="3"/>
  <c r="AD7" i="3" s="1"/>
  <c r="AB7" i="3" s="1"/>
  <c r="AD19" i="3" l="1"/>
  <c r="AB18" i="3"/>
  <c r="AC18" i="3" s="1"/>
  <c r="AE10" i="3"/>
  <c r="AE14" i="3"/>
  <c r="AB15" i="3"/>
  <c r="AC15" i="3" s="1"/>
  <c r="AE15" i="3"/>
  <c r="AB13" i="3"/>
  <c r="AC13" i="3" s="1"/>
  <c r="AE13" i="3"/>
  <c r="AE8" i="3"/>
  <c r="AB8" i="3"/>
  <c r="AC8" i="3" s="1"/>
  <c r="AB17" i="3"/>
  <c r="AC17" i="3" s="1"/>
  <c r="AE17" i="3"/>
  <c r="AB12" i="3"/>
  <c r="AC12" i="3" s="1"/>
  <c r="AE12" i="3"/>
  <c r="AC7" i="3"/>
  <c r="AE7" i="3"/>
  <c r="AB16" i="3"/>
  <c r="AC16" i="3" s="1"/>
  <c r="AE16" i="3"/>
  <c r="AB9" i="3"/>
  <c r="AC9" i="3" s="1"/>
  <c r="AE9" i="3"/>
  <c r="AB11" i="3"/>
  <c r="AC11" i="3" s="1"/>
  <c r="AE11" i="3"/>
  <c r="N19" i="3"/>
  <c r="K19" i="3"/>
  <c r="H19" i="3"/>
  <c r="AE19" i="3" l="1"/>
</calcChain>
</file>

<file path=xl/sharedStrings.xml><?xml version="1.0" encoding="utf-8"?>
<sst xmlns="http://schemas.openxmlformats.org/spreadsheetml/2006/main" count="92" uniqueCount="56">
  <si>
    <t>ITEM</t>
  </si>
  <si>
    <t>ELEMENTO Y/O PRODUCTO</t>
  </si>
  <si>
    <t>DESCRIPCIÓN / ESPECIFICACIÓN TÉCNICA</t>
  </si>
  <si>
    <t>UNIDAD DE MEDIDA</t>
  </si>
  <si>
    <t>UND</t>
  </si>
  <si>
    <t xml:space="preserve">TOTAL </t>
  </si>
  <si>
    <t>CANTIDAD</t>
  </si>
  <si>
    <t>VALOR OFERTADO UNITARIO INCLUIDO IVA</t>
  </si>
  <si>
    <t>FONDO DE DESARROLLO LOCAL DE CIUDAD BOLIVAR</t>
  </si>
  <si>
    <t>VALOR UNITARIO ANTES DE IVA</t>
  </si>
  <si>
    <t>IVA</t>
  </si>
  <si>
    <t>Motocicletas</t>
  </si>
  <si>
    <t>Kit de herramientas</t>
  </si>
  <si>
    <t>Kit de herramientas - Las suministradas por el fabricante que como mínimo debe ofrecer: una pinza, un alicate, una copa de bujías, un juego de 4 destornilladores (pala y estrella), un calibrador de aire, un juego de 4 llaves mixtas, un hombre solo y un estuche porta herramientas.</t>
  </si>
  <si>
    <t>Equipo cascos</t>
  </si>
  <si>
    <t>PAR</t>
  </si>
  <si>
    <t>Equipo impermeable de 3 piezas</t>
  </si>
  <si>
    <t>Equipo rodilleras</t>
  </si>
  <si>
    <t>(02) Dos juegos de rodilleras por moto: Rodilleras tácticas que ofrecen protección en rodilla y canilla. Poseen diseño ergonómico, excelente ventilación, ajuste perfecto con correas en nylon elástico y cinta de contacto de suelte rápido, fijación en la parte posterior de la pierna, ofrece que el centro de la rodilla este completamente cubierta en todo el rango de movimiento, 3 piezas inyectadas con 4 tornillos y pinen aluminio para dar fijación y movimiento a las piezas, remaches en latón (no se oxidan) que sujetan la parte de la interna. Área de la rodilla flotante, con refuerzo en material sintético termo inyectado y cámara de aire que ofrece protečción extra. Diseño asimétrico izquierdo y derecho para optimo ajuste y cobertura en todo el rango del movimiento y demas especificaciones descritas en el anexo técnico.</t>
  </si>
  <si>
    <t>Equipo coderas</t>
  </si>
  <si>
    <t>(02) Dos juegos de coderas, Coderas tácticas que ofrecen protección er codo, antebrazo y tríceps. Poseen diseño ergonónico, ventilación, ajuste perfecto con correas en nylon elástico y cinta de contacto de suelte rápido, fijación en la
parte interna del brazo, remaches en latón (no se oxidan) que sujetan la parte interna.
Codera Diseño asimétrico izquierdo y derecho para optimo ajuste y cobertura en todo el rango del movimiento. Con pieza textil elástica que impide el desplazamiento de la codera durante el uso. Y las demás descritas en el anexo técnico.</t>
  </si>
  <si>
    <t xml:space="preserve">Euipo Juego de guantes </t>
  </si>
  <si>
    <t>(02) Dos juegos de guantes por moto, Material principal. El cuero utilizado para la fabricación de los guantes debe ser cabritilla, curtido al cromo, Hilo, Multifilamento continuo de nylon alta tenacidad bondeado, Forro. En poliester 100%, tejido de punto, felpa o perchado, color negro o blanco, Elástico. Conformado con hilos de caucho o látex ubicados en forma horizontal entretejidos con hilos de poliester, éste debe tener un ancho de 9 mm ± 2 mm, de una elongación entre 150% y 180%., Material reflectivo. Las cintas reflectivas deben ser color amarillo limón (verificación visual), compuesta por micro prismas con respaldo blanco de PVC sellada en los bordes para garantizar la impermeabilidad que generen mínimo 500 CPL (candelas por lux x m2 ) a un ángulo de observación de 0,2° y ángulo de inclinación de -4,0°.  Color tono a tono. Cuando aplique para la calificación del color se define tono a tono como aquel que presenta una diferencia de color de mínimo 4 evaluado en la escala de grises, como indica el numeral 5.13. Y las demás que se estipulen en el anexo técnico.</t>
  </si>
  <si>
    <t>Meletero</t>
  </si>
  <si>
    <t>(01) Maletero de alta resistencia, instalado en la parte trasera en su respectiva parrilla resistente a la vibración, con un rango mínimo entre 30 litros y 40 litros, de color negro y verde.</t>
  </si>
  <si>
    <t>Porta Tonfa</t>
  </si>
  <si>
    <t xml:space="preserve">(01) Porta tonfa: este se encontrará colocado al costado derecho de la defensa en la parte superior sujeta mediante una base metálica que impida que la tonfa se mueva con el movimmiento constante de la motocicleta. </t>
  </si>
  <si>
    <t>Sirena Compacta</t>
  </si>
  <si>
    <t>(01) Sirena compacta tipo profesional de 30 Wattios con funciones de microprocesador, con dos tonos de sirena tipo policial con control instalado en la parte delantera de la moto, de fácil acceso y operatividad; la sirena debe ser instalada en la defensa de la moto por parte media y llevará soportes anti vibración.</t>
  </si>
  <si>
    <t>Luces</t>
  </si>
  <si>
    <t>(02) Dos focos tipo LED, para uso policial, (se debe anexar certificación de cumplimiento norma SAE 845). Direccionales con mínimo seis superled, encapsulada, resistente a la vibración y a la intemperie, con un ángulo de cobèrtura de 180 grados cada uno, de color azul y rojo deben ir montado en la defensa conforme al diseño de la motocicleta, una a cada lado. Una lámpara con mínimo tres superled, rectangular, encapsulada, resistente a la vibración y a la intemperie, de ángulo abierto montada sobre la tapa superior de la caja trasera, el foco de ángulo debe ser abierto con visión trasera, de color azul y rojo, material lentes en poli carbonato. Voltaje 12V, un solo interruptor de encendido resistente a la intemperie para las tres luces, de mínimo 25 amperios.</t>
  </si>
  <si>
    <t>Defensa</t>
  </si>
  <si>
    <t>Una de un solo cuerpo, la cual deberá estar fabricada en tubo coll rolled de 1 y ½" de diámetro en calibre 14, de forma cónica que evite el vuelco, en pintura electrostática negra, sujeta al chasis en la parte delantera inferior o de los mismos tornillos de unión motor chasis a través de una platina de 4"; y con un segundo soporte que la fije en la parte superior, ancho de la parte superior de la defensa no debe ser mayor al ancho del manubrio, a cada lado deberá llevar incorporado un soporte para la instalación de las luces.</t>
  </si>
  <si>
    <t>ESTUDIO DE MERCADO</t>
  </si>
  <si>
    <t xml:space="preserve">NOTA 1:  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NOTA 2: SE TOMAN VALORES PARA EL RECURSO HUMANO DE LA  RESOLUCION No 1124 DE 2024  SECRETARIA DISTRITAL DE GOBIERNO, TABLA DE HONORARIOS PERSONAS NATURALES POR PRESTACION DE SERVICIOS PROFESIONALES Y DE APOYO A LA GESTION </t>
  </si>
  <si>
    <t xml:space="preserve"> FANALCA S.A.S.
NIT: 890301886-1</t>
  </si>
  <si>
    <t>NELSON CAMACHO
NIT: 1.098.623.565-0</t>
  </si>
  <si>
    <t>MOTOR SAS
NIT: 901.884.367-9</t>
  </si>
  <si>
    <t>ANALISIS DE COTIZACIONES</t>
  </si>
  <si>
    <t xml:space="preserve">MEDIANA  </t>
  </si>
  <si>
    <t xml:space="preserve">PROMEDIO </t>
  </si>
  <si>
    <t>DESVIACIÓN ESTÁNDAR</t>
  </si>
  <si>
    <t>DISPERSIÓN PRECIOS 
(Promedio)</t>
  </si>
  <si>
    <t>VALOR UNITARIO TECHO (IVA INCLUIDO)</t>
  </si>
  <si>
    <t>VALOR TOTAL IVA INCLUIDO</t>
  </si>
  <si>
    <t xml:space="preserve">OBSERVACIONES </t>
  </si>
  <si>
    <t xml:space="preserve">SE TOMA EL PROMEDIO COMO MEDIDA DE TENDENCIA CENTRAL TENIENDO EN CUENTA LA DISPERCION EN PRECIOS </t>
  </si>
  <si>
    <t xml:space="preserve">SE TOMA LA MEDIANA COMO MEDIDA DE TENDENCIA CENTRAL TENIENDO EN CUENTA LA DISPERCION EN PRECIOS </t>
  </si>
  <si>
    <t>fun guerreros vida
NIT: 900384469</t>
  </si>
  <si>
    <t>Dos cascos abatibles o cerrados por moto, que cumplan con la normatividad vigente del Ministerio de Transportes (Resolución 1080 del 19/03/2019) y la Norma Técnica NTMD-0015-A3 del Ministerio de Defensa Nacional, deben incluir simbología institucional (emblemas, colores, siglas y escudos Policía Nacional)</t>
  </si>
  <si>
    <t>Dos impermeables de tres piezas (chaqueta, pantalón y zapatones) en color verde por moto; deben incluir simbología institucional (emblemas y escudos Policía Nacional), que cumplan con la especificación técnica NTMD-0254-A3.</t>
  </si>
  <si>
    <t xml:space="preserve"> SUPERMOTOS MYM COLOMBIA S.A.S.
NIT: 901 127 726</t>
  </si>
  <si>
    <t xml:space="preserve">EPIA SAS
NIT: 830.096.621-7
</t>
  </si>
  <si>
    <t>VALOR UNITARIO TECHO ANTES DE IVA</t>
  </si>
  <si>
    <t>Objeto: "ADQUISICIÓN DE MOTOCICLETAS Y ACCESORIOS PARA EL FORTALECIMIENTO DE LA CAPACIDAD OPERATIVA DE LA POLICIA DE LA LOCALIDAD DE CIUDAD BOLÍVAR EN EL MARCO DEL PLAN DE DESARROLLO LOCAL 2025-2028, EN VIRTUD DEL PROYECTO DE INVERSIÓN 2242”.</t>
  </si>
  <si>
    <t>Cilindraje de 300 cc, tipo doble propósito enduro, modelo nuevo, no inferior al año de entrega, motor 1, 2 o 3 cilindros cuatro tiempos, potencia minimo 25 hp (comercial) sistema de arranque Eléctrico, Sistema de encendido Electrónico, Sistema de alimentación Inyección electrónica, combustible gasolina, embrague multidisco bañado en aceite, velocidad Mínimo cinco velocidades, Transmisión cadena con soporte protector de cadena de disco (suntour), chasis doble cuna, Suspensión delantera: horquilla telescópica, trasera: de resistencia que permita soportar la capacidad de carga  ofrecida por el fabricante y puede ser: compuesto por un vástago o pisión perforado y el muelle, ó Mono amortiguada, brazo oscilante o basculante; frenos Disco ABS en las dos ruedas; Resolución No. 02842 del 10/09/2021 por lo cual se modifica el artículo 36 de la Resolución No.06676 del 24/12/18 Reglamento de Uso de la identidad e imagen de la Policía Nacional; Siste eléctrico Con capacidad de abastecer los requerimientos de todos los sistemas-en pleno funcionamiento; Luces, Las reglamentadas por el Ministerio de Transportes, con sistema de encendido automático; Llantas y rines Las estipuladas por ei fabricante tipo dual; Distancia al piso, Mínimo 250 mm; Capacidad de tanque, Capacidad mínima para 2,5 gal; Tablero de instrumentos, Digital con medidor de combustible y check engine; Control de emisiones, Debe cumplir con la Euro 3 o superior; Accesorios - Soporte lateral, protector inferior de motor, parrilla porta maletero, protectores de manilar, mando de luces y sirena totalmente impermeable; Garantía - Las motos y sus componentes deben ser originales de fábrica, no se aceptan modificaciones, ensambles o adaptaciones por parte del concesionario o distribuidor, excepto las que requiera la Policía Nacional descritas en la presente especificación técnica;  Información técnica detallada, Là ficha técnica debe especificar claramente: potencia máxima y a que revoluciones se alcanza, torque máximo y a que revoluciones se alcanza, cilindrada, capacidad de carga y accesorios ofrecidos.  Garantía del servicio postventa, Certificación expedida por el representante legal del ensamblador o fabricante o distribuidor autorizado, según sea el caso, en la que conste que el proponente cuenta con el soporte técnico del fabricante en la prestación de todos los servicios técnicos ofrecidos y el suministro de repuestos para los vehículos ofrecidos por un tiempo mínimo de diez (10)
años. Infraestructura del servicio postventa, Se debe anexar documento suscrito por el representante legal del ensamblador o fabricante o distribuidor autorizado de
la marca en el país, en el que manifieste que existe una red de concesionarios y talleres autorizados que pueden prestar los servicios de mantenimiento y postventa a nivel nacional.  La información debe incluir: a. Razón social. b. Nombre del representante legal. c. Ubicación, dirección, teléfono y/o correo electrónico.  Garantía técnica del vehículo: El proponente deberá manifestar en su propuesta que otorga garantía técnica para amparar las motocicletas contra posibles defectos de fabricación, daños ocasionados por fallas erı el diseño, o materiales, incluyendo la mano de obra y los repuestos y la disposición de las piezas que han sido cambiadas de una manera ambientalmente adecuada, con el respectivo soporte de disposición final de estos elementos. Esta garantía debe ser sin costo adicional alguno, por un plazo mínimo de un (1) año libre de kilometraje, contados a partir del recibo a satisfacción de la motocicleta por parte de la Policía Nacional.  Material de consulta (incluido en el costo de la motocicleta), En el momento de la entrega de las motos el contratista debe suministrar dos (2) juegos que consten de un (01) manual general de reparación de la moto y un (01) manual de partes donde aparezcan las referencias, el listado oficial de precios para los repuestos a la fecha de entrega, emitido por el fabricante, ensamblador o representante de la marca en el país.. (preferiblemente en medio magnético y en idioma español), como lo determine el supervisor del contrato. Para aquellos vehículos que incluyen en el manual del usuario el mantenimiento preventivo se acepta un solo manual por estos dos conceptos (usuario - preventivo).  Lugar de entrega.  Las motocicletas deberán ser entregadas en los lugares que determine el supervisor.  Mantenimiento preventivo incluido en el costo de la motocicleta, descrito en el anexo técnico. Adicionalmente al cumplimiento de las especificaciones técnicas y requerimientos adicionales de los vehículos, en el momento de la entrega, el contratista
debe cumplir las condiciones o aspectos establecidos en el siguiente cuadro. El oferente debe certificar en su oferta que conoce y acepta dichas condiciones. Elvehiculo debe ser entregado con el seguro obligatorio SOAT a nombre de la Policía Nacional con vigencia de un año contado a partir de la entrega. Cada vehículo deberá ser entregado con matrícula oficial, exonerados de todo gravamen e impuestos para la Policía Nacional de acuerdo a la Resolución 0012379 del 28 de diciembre de 2012 del Ministerio de Transporte, en la ciudad que el supervisor del contrato indique. El vehículo en el momento de la entrega debe estar en perfecto funcionamiento, accesorios, protectores completos y debe estar provista de los dispositivos que para la fecha haya estipulado el Ministerio de Transporte y cumplir las últimas normas emitidas por autoridades encargadas de controlar y preservar el medio ambiente.  Al momento de la entrega del vehículo el tanque de combustible debe estar lleno.  Y las demás descritas en el anexo técnico.
Mantenimiento a todo costo hasta 24 mil kilometros.
Matricula.
SOAT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</si>
</sst>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6" formatCode="&quot;$&quot;\ #,##0;[Red]\-&quot;$&quot;\ #,##0"/>
    <numFmt numFmtId="44" formatCode="_-&quot;$&quot;\ * #,##0.00_-;\-&quot;$&quot;\ * #,##0.00_-;_-&quot;$&quot;\ * &quot;-&quot;??_-;_-@_-"/>
    <numFmt numFmtId="164" formatCode="_-&quot;$&quot;\ * #,##0_-;\-&quot;$&quot;\ * #,##0_-;_-&quot;$&quot;\ * &quot;-&quot;??_-;_-@_-"/>
    <numFmt numFmtId="165" formatCode="_-&quot;$&quot;\ * #,##0.00_-;\-&quot;$&quot;\ * #,##0.00_-;_-&quot;$&quot;\ * &quot;-&quot;??_-;_-@"/>
    <numFmt numFmtId="166" formatCode="_-* #,##0_-;\-* #,##0_-;_-* &quot;-&quot;??_-;_-@_-"/>
  </numFmts>
  <fonts count="7" x14ac:knownFonts="1">
    <font>
      <sz val="11"/>
      <color theme="1"/>
      <name val="Calibri"/>
      <family val="2"/>
      <scheme val="minor"/>
    </font>
    <font>
      <sz val="11"/>
      <color theme="1"/>
      <name val="Calibri"/>
      <family val="2"/>
      <scheme val="minor"/>
    </font>
    <font>
      <sz val="12"/>
      <color theme="1"/>
      <name val="Calibri"/>
      <family val="2"/>
      <scheme val="minor"/>
    </font>
    <font>
      <sz val="10"/>
      <color theme="1"/>
      <name val="Garamond"/>
      <family val="1"/>
    </font>
    <font>
      <b/>
      <sz val="10"/>
      <name val="Garamond"/>
      <family val="1"/>
    </font>
    <font>
      <b/>
      <sz val="10"/>
      <color theme="1"/>
      <name val="Garamond"/>
      <family val="1"/>
    </font>
    <font>
      <b/>
      <sz val="10"/>
      <color rgb="FF000000"/>
      <name val="Garamond"/>
      <family val="1"/>
    </font>
  </fonts>
  <fills count="8">
    <fill>
      <patternFill patternType="none"/>
    </fill>
    <fill>
      <patternFill patternType="gray125"/>
    </fill>
    <fill>
      <patternFill patternType="solid">
        <fgColor theme="0" tint="-0.14999847407452621"/>
        <bgColor indexed="64"/>
      </patternFill>
    </fill>
    <fill>
      <patternFill patternType="solid">
        <fgColor theme="0" tint="-0.14999847407452621"/>
        <bgColor rgb="FF00FFFF"/>
      </patternFill>
    </fill>
    <fill>
      <patternFill patternType="solid">
        <fgColor theme="0"/>
        <bgColor indexed="64"/>
      </patternFill>
    </fill>
    <fill>
      <patternFill patternType="solid">
        <fgColor theme="9" tint="0.79998168889431442"/>
        <bgColor rgb="FFFFCCFF"/>
      </patternFill>
    </fill>
    <fill>
      <patternFill patternType="solid">
        <fgColor theme="9" tint="0.79998168889431442"/>
        <bgColor indexed="64"/>
      </patternFill>
    </fill>
    <fill>
      <patternFill patternType="solid">
        <fgColor theme="7" tint="0.79998168889431442"/>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cellStyleXfs>
  <cellXfs count="38">
    <xf numFmtId="0" fontId="0" fillId="0" borderId="0" xfId="0"/>
    <xf numFmtId="0" fontId="3" fillId="0" borderId="0" xfId="0" applyFont="1"/>
    <xf numFmtId="0" fontId="6" fillId="2" borderId="5" xfId="0" applyFont="1" applyFill="1" applyBorder="1" applyAlignment="1">
      <alignment horizontal="center" vertical="center" wrapText="1"/>
    </xf>
    <xf numFmtId="164" fontId="4" fillId="3" borderId="5" xfId="1" applyNumberFormat="1" applyFont="1" applyFill="1" applyBorder="1" applyAlignment="1">
      <alignment horizontal="center" vertical="center" wrapText="1"/>
    </xf>
    <xf numFmtId="5" fontId="5" fillId="6" borderId="5" xfId="0" applyNumberFormat="1" applyFont="1" applyFill="1" applyBorder="1" applyAlignment="1">
      <alignment horizontal="center" vertical="center" wrapText="1"/>
    </xf>
    <xf numFmtId="165" fontId="5" fillId="6" borderId="5" xfId="0" applyNumberFormat="1" applyFont="1" applyFill="1" applyBorder="1" applyAlignment="1">
      <alignment horizontal="center" vertical="center" wrapText="1"/>
    </xf>
    <xf numFmtId="5" fontId="5" fillId="7" borderId="5" xfId="0" applyNumberFormat="1" applyFont="1" applyFill="1" applyBorder="1" applyAlignment="1">
      <alignment horizontal="center" vertical="center" wrapText="1"/>
    </xf>
    <xf numFmtId="0" fontId="3" fillId="4" borderId="5" xfId="0" applyFont="1" applyFill="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44" fontId="3" fillId="0" borderId="5" xfId="1" applyFont="1" applyBorder="1" applyAlignment="1">
      <alignment horizontal="center" vertical="center" wrapText="1"/>
    </xf>
    <xf numFmtId="44" fontId="3" fillId="0" borderId="5" xfId="1" applyFont="1" applyFill="1" applyBorder="1" applyAlignment="1">
      <alignment horizontal="center" vertical="center"/>
    </xf>
    <xf numFmtId="44" fontId="3" fillId="0" borderId="5" xfId="1" applyFont="1" applyBorder="1" applyAlignment="1">
      <alignment horizontal="center" vertical="center"/>
    </xf>
    <xf numFmtId="166" fontId="3" fillId="0" borderId="5" xfId="0" applyNumberFormat="1" applyFont="1" applyBorder="1" applyAlignment="1">
      <alignment vertical="center" wrapText="1"/>
    </xf>
    <xf numFmtId="5" fontId="3" fillId="0" borderId="5" xfId="0" applyNumberFormat="1" applyFont="1" applyBorder="1" applyAlignment="1">
      <alignment vertical="center" wrapText="1"/>
    </xf>
    <xf numFmtId="9" fontId="3" fillId="0" borderId="5" xfId="0" applyNumberFormat="1" applyFont="1" applyBorder="1" applyAlignment="1">
      <alignment horizontal="center" vertical="center" wrapText="1"/>
    </xf>
    <xf numFmtId="6" fontId="3" fillId="0" borderId="5" xfId="0" applyNumberFormat="1" applyFont="1" applyBorder="1" applyAlignment="1">
      <alignment horizontal="center" vertical="center"/>
    </xf>
    <xf numFmtId="6" fontId="3" fillId="0" borderId="5" xfId="0" applyNumberFormat="1" applyFont="1" applyBorder="1" applyAlignment="1">
      <alignment horizontal="center" vertical="center" wrapText="1"/>
    </xf>
    <xf numFmtId="0" fontId="3" fillId="0" borderId="5" xfId="0" applyFont="1" applyBorder="1"/>
    <xf numFmtId="0" fontId="3" fillId="0" borderId="5" xfId="0" applyFont="1" applyBorder="1" applyAlignment="1">
      <alignment horizontal="center"/>
    </xf>
    <xf numFmtId="4" fontId="5" fillId="0" borderId="5" xfId="0" applyNumberFormat="1" applyFont="1" applyBorder="1" applyAlignment="1">
      <alignment horizontal="center" vertical="center"/>
    </xf>
    <xf numFmtId="4" fontId="5" fillId="7" borderId="5" xfId="0" applyNumberFormat="1" applyFont="1" applyFill="1" applyBorder="1" applyAlignment="1">
      <alignment horizontal="center" vertical="center"/>
    </xf>
    <xf numFmtId="0" fontId="3" fillId="0" borderId="0" xfId="0" applyFont="1" applyAlignment="1">
      <alignment horizontal="center"/>
    </xf>
    <xf numFmtId="4" fontId="3" fillId="0" borderId="0" xfId="0" applyNumberFormat="1" applyFont="1"/>
    <xf numFmtId="164" fontId="3" fillId="0" borderId="5" xfId="1" applyNumberFormat="1" applyFont="1" applyBorder="1" applyAlignment="1">
      <alignment horizontal="center" vertical="center"/>
    </xf>
    <xf numFmtId="44" fontId="3" fillId="0" borderId="0" xfId="1" applyFont="1"/>
    <xf numFmtId="0" fontId="5" fillId="0" borderId="5" xfId="0" applyFont="1" applyBorder="1" applyAlignment="1">
      <alignment horizontal="left" vertical="top" wrapText="1"/>
    </xf>
    <xf numFmtId="0" fontId="5" fillId="0" borderId="5" xfId="0" applyFont="1" applyBorder="1" applyAlignment="1">
      <alignment horizontal="center" vertical="center" wrapText="1"/>
    </xf>
    <xf numFmtId="0" fontId="5" fillId="6" borderId="5"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3" fillId="0" borderId="1" xfId="0" applyFont="1" applyBorder="1" applyAlignment="1">
      <alignment horizontal="center"/>
    </xf>
    <xf numFmtId="0" fontId="3" fillId="0" borderId="2" xfId="0" applyFont="1" applyBorder="1" applyAlignment="1">
      <alignment horizontal="center"/>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5" xfId="0" applyFont="1" applyBorder="1" applyAlignment="1">
      <alignment horizontal="center"/>
    </xf>
    <xf numFmtId="5" fontId="5" fillId="5" borderId="5" xfId="0" applyNumberFormat="1" applyFont="1" applyFill="1" applyBorder="1" applyAlignment="1">
      <alignment horizontal="center" vertical="center" wrapText="1"/>
    </xf>
  </cellXfs>
  <cellStyles count="4">
    <cellStyle name="Moneda" xfId="1" builtinId="4"/>
    <cellStyle name="Moneda 2" xfId="2" xr:uid="{00000000-0005-0000-0000-000001000000}"/>
    <cellStyle name="Moneda 3" xfId="3" xr:uid="{00000000-0005-0000-0000-000002000000}"/>
    <cellStyle name="Normal" xfId="0" builtinId="0"/>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2659677</xdr:colOff>
      <xdr:row>0</xdr:row>
      <xdr:rowOff>19050</xdr:rowOff>
    </xdr:from>
    <xdr:to>
      <xdr:col>2</xdr:col>
      <xdr:colOff>3275576</xdr:colOff>
      <xdr:row>0</xdr:row>
      <xdr:rowOff>519919</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4069377" y="19050"/>
          <a:ext cx="615899" cy="500869"/>
        </a:xfrm>
        <a:prstGeom prst="rect">
          <a:avLst/>
        </a:prstGeom>
      </xdr:spPr>
    </xdr:pic>
    <xdr:clientData/>
  </xdr:twoCellAnchor>
  <xdr:twoCellAnchor editAs="oneCell">
    <xdr:from>
      <xdr:col>2</xdr:col>
      <xdr:colOff>0</xdr:colOff>
      <xdr:row>20</xdr:row>
      <xdr:rowOff>0</xdr:rowOff>
    </xdr:from>
    <xdr:to>
      <xdr:col>2</xdr:col>
      <xdr:colOff>304800</xdr:colOff>
      <xdr:row>20</xdr:row>
      <xdr:rowOff>287591</xdr:rowOff>
    </xdr:to>
    <xdr:sp macro="" textlink="">
      <xdr:nvSpPr>
        <xdr:cNvPr id="3" name="AutoShape 1" descr="blob:https://web.whatsapp.com/d8fadd72-152a-4470-8869-d7499bdd27be">
          <a:extLst>
            <a:ext uri="{FF2B5EF4-FFF2-40B4-BE49-F238E27FC236}">
              <a16:creationId xmlns:a16="http://schemas.microsoft.com/office/drawing/2014/main" id="{49E88AE3-7A1E-494E-8A0F-7D395B5F6EA0}"/>
            </a:ext>
          </a:extLst>
        </xdr:cNvPr>
        <xdr:cNvSpPr>
          <a:spLocks noChangeAspect="1" noChangeArrowheads="1"/>
        </xdr:cNvSpPr>
      </xdr:nvSpPr>
      <xdr:spPr bwMode="auto">
        <a:xfrm>
          <a:off x="1885950" y="23593425"/>
          <a:ext cx="304800" cy="29216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1"/>
  <sheetViews>
    <sheetView tabSelected="1" topLeftCell="A4" zoomScale="93" zoomScaleNormal="93" workbookViewId="0">
      <pane xSplit="2" ySplit="3" topLeftCell="R7" activePane="bottomRight" state="frozen"/>
      <selection activeCell="A4" sqref="A4"/>
      <selection pane="topRight" activeCell="C4" sqref="C4"/>
      <selection pane="bottomLeft" activeCell="A7" sqref="A7"/>
      <selection pane="bottomRight" activeCell="AE7" sqref="AE7"/>
    </sheetView>
  </sheetViews>
  <sheetFormatPr baseColWidth="10" defaultColWidth="10.85546875" defaultRowHeight="12.75" x14ac:dyDescent="0.2"/>
  <cols>
    <col min="1" max="1" width="10.28515625" style="22" customWidth="1"/>
    <col min="2" max="2" width="26.140625" style="1" customWidth="1"/>
    <col min="3" max="3" width="78.5703125" style="1" customWidth="1"/>
    <col min="4" max="4" width="10.85546875" style="1"/>
    <col min="5" max="5" width="15.5703125" style="1" customWidth="1"/>
    <col min="6" max="6" width="16.7109375" style="1" customWidth="1"/>
    <col min="7" max="7" width="15.5703125" style="1" customWidth="1"/>
    <col min="8" max="8" width="25.7109375" style="1" customWidth="1"/>
    <col min="9" max="9" width="17.28515625" style="1" bestFit="1" customWidth="1"/>
    <col min="10" max="10" width="16.140625" style="1" bestFit="1" customWidth="1"/>
    <col min="11" max="12" width="17.28515625" style="1" bestFit="1" customWidth="1"/>
    <col min="13" max="13" width="16.140625" style="1" bestFit="1" customWidth="1"/>
    <col min="14" max="14" width="17.28515625" style="1" bestFit="1" customWidth="1"/>
    <col min="15" max="23" width="17.28515625" style="1" customWidth="1"/>
    <col min="24" max="25" width="12.42578125" style="1" bestFit="1" customWidth="1"/>
    <col min="26" max="26" width="11.7109375" style="1" bestFit="1" customWidth="1"/>
    <col min="27" max="27" width="11" style="1" bestFit="1" customWidth="1"/>
    <col min="28" max="28" width="13" style="1" bestFit="1" customWidth="1"/>
    <col min="29" max="29" width="12" style="1" bestFit="1" customWidth="1"/>
    <col min="30" max="30" width="21.42578125" style="1" customWidth="1"/>
    <col min="31" max="31" width="23.5703125" style="1" customWidth="1"/>
    <col min="32" max="32" width="24.5703125" style="1" customWidth="1"/>
    <col min="33" max="16384" width="10.85546875" style="1"/>
  </cols>
  <sheetData>
    <row r="1" spans="1:32" ht="44.1" customHeight="1" thickBot="1" x14ac:dyDescent="0.25">
      <c r="A1" s="30"/>
      <c r="B1" s="31"/>
      <c r="C1" s="31"/>
      <c r="D1" s="31"/>
      <c r="E1" s="31"/>
      <c r="F1" s="31"/>
      <c r="G1" s="31"/>
      <c r="H1" s="31"/>
    </row>
    <row r="2" spans="1:32" ht="13.5" thickBot="1" x14ac:dyDescent="0.25">
      <c r="A2" s="32" t="s">
        <v>8</v>
      </c>
      <c r="B2" s="33"/>
      <c r="C2" s="33"/>
      <c r="D2" s="33"/>
      <c r="E2" s="33"/>
      <c r="F2" s="33"/>
      <c r="G2" s="33"/>
      <c r="H2" s="33"/>
    </row>
    <row r="3" spans="1:32" x14ac:dyDescent="0.2">
      <c r="A3" s="34" t="s">
        <v>33</v>
      </c>
      <c r="B3" s="35"/>
      <c r="C3" s="35"/>
      <c r="D3" s="35"/>
      <c r="E3" s="35"/>
      <c r="F3" s="35"/>
      <c r="G3" s="35"/>
      <c r="H3" s="35"/>
    </row>
    <row r="4" spans="1:32" ht="24.6" customHeight="1" x14ac:dyDescent="0.2">
      <c r="A4" s="27" t="s">
        <v>54</v>
      </c>
      <c r="B4" s="27"/>
      <c r="C4" s="27"/>
      <c r="D4" s="27"/>
      <c r="E4" s="27"/>
      <c r="F4" s="28" t="s">
        <v>35</v>
      </c>
      <c r="G4" s="28"/>
      <c r="H4" s="28"/>
      <c r="I4" s="29" t="s">
        <v>36</v>
      </c>
      <c r="J4" s="29"/>
      <c r="K4" s="29"/>
      <c r="L4" s="28" t="s">
        <v>37</v>
      </c>
      <c r="M4" s="28"/>
      <c r="N4" s="28"/>
      <c r="O4" s="29" t="s">
        <v>48</v>
      </c>
      <c r="P4" s="29"/>
      <c r="Q4" s="29"/>
      <c r="R4" s="28" t="s">
        <v>51</v>
      </c>
      <c r="S4" s="28"/>
      <c r="T4" s="28"/>
      <c r="U4" s="29" t="s">
        <v>52</v>
      </c>
      <c r="V4" s="29"/>
      <c r="W4" s="29"/>
      <c r="X4" s="37" t="s">
        <v>38</v>
      </c>
      <c r="Y4" s="37"/>
      <c r="Z4" s="37"/>
      <c r="AA4" s="37"/>
      <c r="AB4" s="37"/>
      <c r="AC4" s="37"/>
      <c r="AD4" s="37"/>
      <c r="AE4" s="37"/>
      <c r="AF4" s="37"/>
    </row>
    <row r="5" spans="1:32" ht="20.45" customHeight="1" x14ac:dyDescent="0.2">
      <c r="A5" s="27"/>
      <c r="B5" s="27"/>
      <c r="C5" s="27"/>
      <c r="D5" s="27"/>
      <c r="E5" s="27"/>
      <c r="F5" s="28"/>
      <c r="G5" s="28"/>
      <c r="H5" s="28"/>
      <c r="I5" s="29"/>
      <c r="J5" s="29"/>
      <c r="K5" s="29"/>
      <c r="L5" s="28"/>
      <c r="M5" s="28"/>
      <c r="N5" s="28"/>
      <c r="O5" s="29"/>
      <c r="P5" s="29"/>
      <c r="Q5" s="29"/>
      <c r="R5" s="28"/>
      <c r="S5" s="28"/>
      <c r="T5" s="28"/>
      <c r="U5" s="29"/>
      <c r="V5" s="29"/>
      <c r="W5" s="29"/>
      <c r="X5" s="37"/>
      <c r="Y5" s="37"/>
      <c r="Z5" s="37"/>
      <c r="AA5" s="37"/>
      <c r="AB5" s="37"/>
      <c r="AC5" s="37"/>
      <c r="AD5" s="37"/>
      <c r="AE5" s="37"/>
      <c r="AF5" s="37"/>
    </row>
    <row r="6" spans="1:32" ht="63.75" x14ac:dyDescent="0.2">
      <c r="A6" s="2" t="s">
        <v>0</v>
      </c>
      <c r="B6" s="2" t="s">
        <v>1</v>
      </c>
      <c r="C6" s="2" t="s">
        <v>2</v>
      </c>
      <c r="D6" s="2" t="s">
        <v>3</v>
      </c>
      <c r="E6" s="2" t="s">
        <v>6</v>
      </c>
      <c r="F6" s="2" t="s">
        <v>9</v>
      </c>
      <c r="G6" s="2" t="s">
        <v>10</v>
      </c>
      <c r="H6" s="3" t="s">
        <v>7</v>
      </c>
      <c r="I6" s="2" t="s">
        <v>9</v>
      </c>
      <c r="J6" s="2" t="s">
        <v>10</v>
      </c>
      <c r="K6" s="3" t="s">
        <v>7</v>
      </c>
      <c r="L6" s="2" t="s">
        <v>9</v>
      </c>
      <c r="M6" s="2" t="s">
        <v>10</v>
      </c>
      <c r="N6" s="3" t="s">
        <v>7</v>
      </c>
      <c r="O6" s="2" t="s">
        <v>9</v>
      </c>
      <c r="P6" s="2" t="s">
        <v>10</v>
      </c>
      <c r="Q6" s="3" t="s">
        <v>7</v>
      </c>
      <c r="R6" s="2" t="s">
        <v>9</v>
      </c>
      <c r="S6" s="2" t="s">
        <v>10</v>
      </c>
      <c r="T6" s="3" t="s">
        <v>7</v>
      </c>
      <c r="U6" s="2" t="s">
        <v>9</v>
      </c>
      <c r="V6" s="2" t="s">
        <v>10</v>
      </c>
      <c r="W6" s="3" t="s">
        <v>7</v>
      </c>
      <c r="X6" s="4" t="s">
        <v>39</v>
      </c>
      <c r="Y6" s="4" t="s">
        <v>40</v>
      </c>
      <c r="Z6" s="4" t="s">
        <v>41</v>
      </c>
      <c r="AA6" s="5" t="s">
        <v>42</v>
      </c>
      <c r="AB6" s="6" t="s">
        <v>53</v>
      </c>
      <c r="AC6" s="6" t="s">
        <v>10</v>
      </c>
      <c r="AD6" s="6" t="s">
        <v>43</v>
      </c>
      <c r="AE6" s="6" t="s">
        <v>44</v>
      </c>
      <c r="AF6" s="6" t="s">
        <v>45</v>
      </c>
    </row>
    <row r="7" spans="1:32" ht="409.6" customHeight="1" x14ac:dyDescent="0.2">
      <c r="A7" s="7">
        <v>1</v>
      </c>
      <c r="B7" s="8" t="s">
        <v>11</v>
      </c>
      <c r="C7" s="9" t="s">
        <v>55</v>
      </c>
      <c r="D7" s="8" t="s">
        <v>4</v>
      </c>
      <c r="E7" s="8">
        <v>36</v>
      </c>
      <c r="F7" s="10">
        <f>28151000+6905555.99+600000+761400</f>
        <v>36417955.990000002</v>
      </c>
      <c r="G7" s="10">
        <f>7600770+1312055.64</f>
        <v>8912825.6400000006</v>
      </c>
      <c r="H7" s="11">
        <f>F7+G7</f>
        <v>45330781.630000003</v>
      </c>
      <c r="I7" s="12">
        <f>29067226.8907563+11344537.82+761400</f>
        <v>41173164.710756302</v>
      </c>
      <c r="J7" s="12">
        <f>5522773.1092437+2155462.18</f>
        <v>7678235.2892437</v>
      </c>
      <c r="K7" s="12">
        <f>I7+J7</f>
        <v>48851400</v>
      </c>
      <c r="L7" s="12">
        <f>32764705.8823529+8823529.41+761400</f>
        <v>42349635.2923529</v>
      </c>
      <c r="M7" s="12">
        <f>6225294.11764706+1676470.59</f>
        <v>7901764.70764706</v>
      </c>
      <c r="N7" s="12">
        <f>L7+M7</f>
        <v>50251399.999999963</v>
      </c>
      <c r="O7" s="12"/>
      <c r="P7" s="12"/>
      <c r="Q7" s="12"/>
      <c r="R7" s="24">
        <f>30980000+7900000+380000+761000</f>
        <v>40021000</v>
      </c>
      <c r="S7" s="24">
        <f>5886200+1501000</f>
        <v>7387200</v>
      </c>
      <c r="T7" s="24">
        <f>R7+S7</f>
        <v>47408200</v>
      </c>
      <c r="U7" s="24"/>
      <c r="V7" s="24"/>
      <c r="W7" s="24"/>
      <c r="X7" s="13">
        <f>MEDIAN(H7,K7,N7,Q7,T7,W7)</f>
        <v>48129800</v>
      </c>
      <c r="Y7" s="13">
        <f>AVERAGE(H7,K7,N7,Q7,T7,W7)</f>
        <v>47960445.407499991</v>
      </c>
      <c r="Z7" s="14">
        <f>STDEV(H7,K7,N7,Q7,T7,W7)</f>
        <v>2102568.2393677426</v>
      </c>
      <c r="AA7" s="15">
        <f>Z7/Y7</f>
        <v>4.3839631210742379E-2</v>
      </c>
      <c r="AB7" s="16">
        <f>AD7/1.19</f>
        <v>40302895.798319332</v>
      </c>
      <c r="AC7" s="17">
        <f>AB7*19%</f>
        <v>7657550.2016806733</v>
      </c>
      <c r="AD7" s="16">
        <f>ROUNDUP(IF(AA7&lt;15%,Y7,X7),0)</f>
        <v>47960446</v>
      </c>
      <c r="AE7" s="17">
        <f t="shared" ref="AE7:AE18" si="0">AD7*E7</f>
        <v>1726576056</v>
      </c>
      <c r="AF7" s="8" t="s">
        <v>46</v>
      </c>
    </row>
    <row r="8" spans="1:32" ht="79.5" customHeight="1" x14ac:dyDescent="0.2">
      <c r="A8" s="7">
        <v>2</v>
      </c>
      <c r="B8" s="8" t="s">
        <v>12</v>
      </c>
      <c r="C8" s="9" t="s">
        <v>13</v>
      </c>
      <c r="D8" s="8" t="s">
        <v>4</v>
      </c>
      <c r="E8" s="8">
        <v>36</v>
      </c>
      <c r="F8" s="10">
        <v>154581</v>
      </c>
      <c r="G8" s="10">
        <v>29370.39</v>
      </c>
      <c r="H8" s="11">
        <v>183951.39</v>
      </c>
      <c r="I8" s="12">
        <v>150000</v>
      </c>
      <c r="J8" s="12">
        <v>28500</v>
      </c>
      <c r="K8" s="12">
        <v>178500</v>
      </c>
      <c r="L8" s="12"/>
      <c r="M8" s="12"/>
      <c r="N8" s="12"/>
      <c r="O8" s="12"/>
      <c r="P8" s="12"/>
      <c r="Q8" s="12"/>
      <c r="R8" s="24">
        <v>100000</v>
      </c>
      <c r="S8" s="24">
        <v>19000</v>
      </c>
      <c r="T8" s="24">
        <v>119000</v>
      </c>
      <c r="U8" s="24"/>
      <c r="V8" s="24"/>
      <c r="W8" s="24"/>
      <c r="X8" s="13">
        <f t="shared" ref="X8:X18" si="1">MEDIAN(H8,K8,N8,Q8,T8,W8)</f>
        <v>178500</v>
      </c>
      <c r="Y8" s="13">
        <f t="shared" ref="Y8:Y18" si="2">AVERAGE(H8,K8,N8,Q8,T8,W8)</f>
        <v>160483.79666666666</v>
      </c>
      <c r="Z8" s="14">
        <f t="shared" ref="Z8:Z18" si="3">STDEV(H8,K8,N8,Q8,T8,W8)</f>
        <v>36029.27216367318</v>
      </c>
      <c r="AA8" s="15">
        <f t="shared" ref="AA8:AA18" si="4">Z8/Y8</f>
        <v>0.22450411139330087</v>
      </c>
      <c r="AB8" s="16">
        <f>AD8/1.19</f>
        <v>150000</v>
      </c>
      <c r="AC8" s="17">
        <f t="shared" ref="AC8:AC18" si="5">AB8*19%</f>
        <v>28500</v>
      </c>
      <c r="AD8" s="16">
        <f t="shared" ref="AD8:AD18" si="6">ROUNDUP(IF(AA8&lt;15%,Y8,X8),0)</f>
        <v>178500</v>
      </c>
      <c r="AE8" s="17">
        <f t="shared" si="0"/>
        <v>6426000</v>
      </c>
      <c r="AF8" s="8" t="s">
        <v>47</v>
      </c>
    </row>
    <row r="9" spans="1:32" ht="76.5" x14ac:dyDescent="0.2">
      <c r="A9" s="7">
        <v>3</v>
      </c>
      <c r="B9" s="8" t="s">
        <v>14</v>
      </c>
      <c r="C9" s="9" t="s">
        <v>49</v>
      </c>
      <c r="D9" s="8" t="s">
        <v>15</v>
      </c>
      <c r="E9" s="8">
        <v>36</v>
      </c>
      <c r="F9" s="10"/>
      <c r="G9" s="10"/>
      <c r="H9" s="11"/>
      <c r="I9" s="12">
        <v>800000</v>
      </c>
      <c r="J9" s="12">
        <v>152000</v>
      </c>
      <c r="K9" s="12">
        <v>952000</v>
      </c>
      <c r="L9" s="12">
        <v>1200000</v>
      </c>
      <c r="M9" s="12">
        <v>228000</v>
      </c>
      <c r="N9" s="12">
        <v>1428000</v>
      </c>
      <c r="O9" s="12"/>
      <c r="P9" s="12"/>
      <c r="Q9" s="12"/>
      <c r="R9" s="24">
        <v>800000</v>
      </c>
      <c r="S9" s="24">
        <v>152000</v>
      </c>
      <c r="T9" s="24">
        <v>952000</v>
      </c>
      <c r="U9" s="24">
        <v>800000</v>
      </c>
      <c r="V9" s="24">
        <v>152000</v>
      </c>
      <c r="W9" s="24">
        <v>952000</v>
      </c>
      <c r="X9" s="13">
        <f t="shared" si="1"/>
        <v>952000</v>
      </c>
      <c r="Y9" s="13">
        <f t="shared" si="2"/>
        <v>1071000</v>
      </c>
      <c r="Z9" s="14">
        <f t="shared" si="3"/>
        <v>238000</v>
      </c>
      <c r="AA9" s="15">
        <f t="shared" si="4"/>
        <v>0.22222222222222221</v>
      </c>
      <c r="AB9" s="16">
        <f t="shared" ref="AB9:AB18" si="7">AD9/1.19</f>
        <v>800000</v>
      </c>
      <c r="AC9" s="17">
        <f t="shared" si="5"/>
        <v>152000</v>
      </c>
      <c r="AD9" s="16">
        <f t="shared" si="6"/>
        <v>952000</v>
      </c>
      <c r="AE9" s="17">
        <f t="shared" si="0"/>
        <v>34272000</v>
      </c>
      <c r="AF9" s="8" t="s">
        <v>47</v>
      </c>
    </row>
    <row r="10" spans="1:32" ht="76.5" x14ac:dyDescent="0.2">
      <c r="A10" s="7">
        <v>4</v>
      </c>
      <c r="B10" s="8" t="s">
        <v>16</v>
      </c>
      <c r="C10" s="9" t="s">
        <v>50</v>
      </c>
      <c r="D10" s="8" t="s">
        <v>15</v>
      </c>
      <c r="E10" s="8">
        <v>36</v>
      </c>
      <c r="F10" s="10">
        <v>974500</v>
      </c>
      <c r="G10" s="10">
        <v>185155</v>
      </c>
      <c r="H10" s="11">
        <v>1159655</v>
      </c>
      <c r="I10" s="12">
        <v>1000000</v>
      </c>
      <c r="J10" s="12">
        <v>190000</v>
      </c>
      <c r="K10" s="12">
        <v>1190000</v>
      </c>
      <c r="L10" s="12"/>
      <c r="M10" s="12"/>
      <c r="N10" s="12"/>
      <c r="O10" s="12"/>
      <c r="P10" s="12"/>
      <c r="Q10" s="12"/>
      <c r="R10" s="24">
        <v>880000</v>
      </c>
      <c r="S10" s="24">
        <v>167200</v>
      </c>
      <c r="T10" s="24">
        <v>1047200</v>
      </c>
      <c r="U10" s="24"/>
      <c r="V10" s="24"/>
      <c r="W10" s="24"/>
      <c r="X10" s="13">
        <f t="shared" si="1"/>
        <v>1159655</v>
      </c>
      <c r="Y10" s="13">
        <f t="shared" si="2"/>
        <v>1132285</v>
      </c>
      <c r="Z10" s="14">
        <f t="shared" si="3"/>
        <v>75231.626826754189</v>
      </c>
      <c r="AA10" s="15">
        <f t="shared" si="4"/>
        <v>6.6442306333435647E-2</v>
      </c>
      <c r="AB10" s="16">
        <f t="shared" si="7"/>
        <v>951500</v>
      </c>
      <c r="AC10" s="17">
        <f t="shared" si="5"/>
        <v>180785</v>
      </c>
      <c r="AD10" s="16">
        <f t="shared" si="6"/>
        <v>1132285</v>
      </c>
      <c r="AE10" s="17">
        <f t="shared" si="0"/>
        <v>40762260</v>
      </c>
      <c r="AF10" s="8" t="s">
        <v>46</v>
      </c>
    </row>
    <row r="11" spans="1:32" ht="102" x14ac:dyDescent="0.2">
      <c r="A11" s="7">
        <v>5</v>
      </c>
      <c r="B11" s="8" t="s">
        <v>17</v>
      </c>
      <c r="C11" s="9" t="s">
        <v>18</v>
      </c>
      <c r="D11" s="8" t="s">
        <v>15</v>
      </c>
      <c r="E11" s="8">
        <v>36</v>
      </c>
      <c r="F11" s="10">
        <v>336000</v>
      </c>
      <c r="G11" s="10">
        <v>63840</v>
      </c>
      <c r="H11" s="11">
        <v>399840</v>
      </c>
      <c r="I11" s="12">
        <v>350000</v>
      </c>
      <c r="J11" s="12">
        <v>66500</v>
      </c>
      <c r="K11" s="12">
        <v>416500</v>
      </c>
      <c r="L11" s="12">
        <v>460000</v>
      </c>
      <c r="M11" s="12">
        <v>87400</v>
      </c>
      <c r="N11" s="12">
        <v>547400</v>
      </c>
      <c r="O11" s="12"/>
      <c r="P11" s="12"/>
      <c r="Q11" s="12"/>
      <c r="R11" s="24">
        <v>400000</v>
      </c>
      <c r="S11" s="24">
        <v>76000</v>
      </c>
      <c r="T11" s="24">
        <v>476000</v>
      </c>
      <c r="U11" s="24">
        <v>400000</v>
      </c>
      <c r="V11" s="24">
        <v>76000</v>
      </c>
      <c r="W11" s="24">
        <v>476000</v>
      </c>
      <c r="X11" s="13">
        <f t="shared" si="1"/>
        <v>476000</v>
      </c>
      <c r="Y11" s="13">
        <f t="shared" si="2"/>
        <v>463148</v>
      </c>
      <c r="Z11" s="14">
        <f t="shared" si="3"/>
        <v>58336.708169042242</v>
      </c>
      <c r="AA11" s="15">
        <f t="shared" si="4"/>
        <v>0.12595694717248535</v>
      </c>
      <c r="AB11" s="16">
        <f t="shared" si="7"/>
        <v>389200</v>
      </c>
      <c r="AC11" s="17">
        <f t="shared" si="5"/>
        <v>73948</v>
      </c>
      <c r="AD11" s="16">
        <f t="shared" si="6"/>
        <v>463148</v>
      </c>
      <c r="AE11" s="17">
        <f t="shared" si="0"/>
        <v>16673328</v>
      </c>
      <c r="AF11" s="8" t="s">
        <v>46</v>
      </c>
    </row>
    <row r="12" spans="1:32" ht="89.25" x14ac:dyDescent="0.2">
      <c r="A12" s="7">
        <v>6</v>
      </c>
      <c r="B12" s="8" t="s">
        <v>19</v>
      </c>
      <c r="C12" s="9" t="s">
        <v>20</v>
      </c>
      <c r="D12" s="8" t="s">
        <v>15</v>
      </c>
      <c r="E12" s="8">
        <v>36</v>
      </c>
      <c r="F12" s="10">
        <v>336000</v>
      </c>
      <c r="G12" s="10">
        <v>63840</v>
      </c>
      <c r="H12" s="11">
        <v>399840</v>
      </c>
      <c r="I12" s="12">
        <v>300000</v>
      </c>
      <c r="J12" s="12">
        <v>57000</v>
      </c>
      <c r="K12" s="12">
        <v>357000</v>
      </c>
      <c r="L12" s="12">
        <v>200000</v>
      </c>
      <c r="M12" s="12">
        <v>38000</v>
      </c>
      <c r="N12" s="12">
        <v>238000</v>
      </c>
      <c r="O12" s="12"/>
      <c r="P12" s="12"/>
      <c r="Q12" s="12"/>
      <c r="R12" s="24">
        <v>400000</v>
      </c>
      <c r="S12" s="24">
        <v>76000</v>
      </c>
      <c r="T12" s="24">
        <v>476000</v>
      </c>
      <c r="U12" s="24">
        <v>400000</v>
      </c>
      <c r="V12" s="24">
        <v>76000</v>
      </c>
      <c r="W12" s="24">
        <v>476000</v>
      </c>
      <c r="X12" s="13">
        <f t="shared" si="1"/>
        <v>399840</v>
      </c>
      <c r="Y12" s="13">
        <f t="shared" si="2"/>
        <v>389368</v>
      </c>
      <c r="Z12" s="14">
        <f t="shared" si="3"/>
        <v>98843.093436010997</v>
      </c>
      <c r="AA12" s="15">
        <f t="shared" si="4"/>
        <v>0.25385520493725988</v>
      </c>
      <c r="AB12" s="16">
        <f t="shared" si="7"/>
        <v>336000</v>
      </c>
      <c r="AC12" s="17">
        <f t="shared" si="5"/>
        <v>63840</v>
      </c>
      <c r="AD12" s="16">
        <f t="shared" si="6"/>
        <v>399840</v>
      </c>
      <c r="AE12" s="17">
        <f t="shared" si="0"/>
        <v>14394240</v>
      </c>
      <c r="AF12" s="8" t="s">
        <v>47</v>
      </c>
    </row>
    <row r="13" spans="1:32" ht="140.25" x14ac:dyDescent="0.2">
      <c r="A13" s="7">
        <v>7</v>
      </c>
      <c r="B13" s="8" t="s">
        <v>21</v>
      </c>
      <c r="C13" s="9" t="s">
        <v>22</v>
      </c>
      <c r="D13" s="8" t="s">
        <v>15</v>
      </c>
      <c r="E13" s="8">
        <v>36</v>
      </c>
      <c r="F13" s="10">
        <v>280000</v>
      </c>
      <c r="G13" s="10">
        <v>53200</v>
      </c>
      <c r="H13" s="11">
        <v>333200</v>
      </c>
      <c r="I13" s="12">
        <v>200000</v>
      </c>
      <c r="J13" s="12">
        <v>38000</v>
      </c>
      <c r="K13" s="12">
        <v>238000</v>
      </c>
      <c r="L13" s="12"/>
      <c r="M13" s="12"/>
      <c r="N13" s="12"/>
      <c r="O13" s="12"/>
      <c r="P13" s="12"/>
      <c r="Q13" s="12"/>
      <c r="R13" s="24"/>
      <c r="S13" s="24"/>
      <c r="T13" s="24"/>
      <c r="U13" s="24"/>
      <c r="V13" s="24"/>
      <c r="W13" s="24"/>
      <c r="X13" s="13">
        <f t="shared" si="1"/>
        <v>285600</v>
      </c>
      <c r="Y13" s="13">
        <f t="shared" si="2"/>
        <v>285600</v>
      </c>
      <c r="Z13" s="14">
        <f t="shared" si="3"/>
        <v>67316.565568959326</v>
      </c>
      <c r="AA13" s="15">
        <f t="shared" si="4"/>
        <v>0.23570226039551584</v>
      </c>
      <c r="AB13" s="16">
        <f t="shared" si="7"/>
        <v>240000</v>
      </c>
      <c r="AC13" s="17">
        <f t="shared" si="5"/>
        <v>45600</v>
      </c>
      <c r="AD13" s="16">
        <f t="shared" si="6"/>
        <v>285600</v>
      </c>
      <c r="AE13" s="17">
        <f t="shared" si="0"/>
        <v>10281600</v>
      </c>
      <c r="AF13" s="8" t="s">
        <v>47</v>
      </c>
    </row>
    <row r="14" spans="1:32" ht="76.5" x14ac:dyDescent="0.2">
      <c r="A14" s="7">
        <v>8</v>
      </c>
      <c r="B14" s="8" t="s">
        <v>23</v>
      </c>
      <c r="C14" s="9" t="s">
        <v>24</v>
      </c>
      <c r="D14" s="8" t="s">
        <v>4</v>
      </c>
      <c r="E14" s="8">
        <v>36</v>
      </c>
      <c r="F14" s="10">
        <v>204120</v>
      </c>
      <c r="G14" s="10">
        <v>38782.800000000003</v>
      </c>
      <c r="H14" s="11">
        <v>242902.8</v>
      </c>
      <c r="I14" s="12"/>
      <c r="J14" s="12"/>
      <c r="K14" s="12"/>
      <c r="L14" s="12">
        <v>250000</v>
      </c>
      <c r="M14" s="12">
        <v>47500</v>
      </c>
      <c r="N14" s="12">
        <v>297500</v>
      </c>
      <c r="O14" s="12"/>
      <c r="P14" s="12"/>
      <c r="Q14" s="12"/>
      <c r="R14" s="24">
        <v>280000</v>
      </c>
      <c r="S14" s="24">
        <v>53200</v>
      </c>
      <c r="T14" s="24">
        <v>333200</v>
      </c>
      <c r="U14" s="24"/>
      <c r="V14" s="24"/>
      <c r="W14" s="24"/>
      <c r="X14" s="13">
        <f t="shared" si="1"/>
        <v>297500</v>
      </c>
      <c r="Y14" s="13">
        <f t="shared" si="2"/>
        <v>291200.93333333335</v>
      </c>
      <c r="Z14" s="14">
        <f t="shared" si="3"/>
        <v>45476.969584761384</v>
      </c>
      <c r="AA14" s="15">
        <f t="shared" si="4"/>
        <v>0.15617041148939101</v>
      </c>
      <c r="AB14" s="16">
        <f t="shared" si="7"/>
        <v>250000</v>
      </c>
      <c r="AC14" s="17">
        <f t="shared" si="5"/>
        <v>47500</v>
      </c>
      <c r="AD14" s="16">
        <f t="shared" si="6"/>
        <v>297500</v>
      </c>
      <c r="AE14" s="17">
        <f t="shared" si="0"/>
        <v>10710000</v>
      </c>
      <c r="AF14" s="8" t="s">
        <v>47</v>
      </c>
    </row>
    <row r="15" spans="1:32" ht="76.5" x14ac:dyDescent="0.2">
      <c r="A15" s="7">
        <v>9</v>
      </c>
      <c r="B15" s="8" t="s">
        <v>25</v>
      </c>
      <c r="C15" s="9" t="s">
        <v>26</v>
      </c>
      <c r="D15" s="8" t="s">
        <v>4</v>
      </c>
      <c r="E15" s="8">
        <v>36</v>
      </c>
      <c r="F15" s="10">
        <v>196000</v>
      </c>
      <c r="G15" s="10">
        <v>37240</v>
      </c>
      <c r="H15" s="11">
        <v>233240</v>
      </c>
      <c r="I15" s="12"/>
      <c r="J15" s="12"/>
      <c r="K15" s="12"/>
      <c r="L15" s="12"/>
      <c r="M15" s="12"/>
      <c r="N15" s="12"/>
      <c r="O15" s="12">
        <v>190000</v>
      </c>
      <c r="P15" s="12">
        <v>36100</v>
      </c>
      <c r="Q15" s="12">
        <v>226100</v>
      </c>
      <c r="R15" s="24"/>
      <c r="S15" s="24"/>
      <c r="T15" s="24"/>
      <c r="U15" s="24"/>
      <c r="V15" s="24"/>
      <c r="W15" s="24"/>
      <c r="X15" s="13">
        <f t="shared" si="1"/>
        <v>229670</v>
      </c>
      <c r="Y15" s="13">
        <f t="shared" si="2"/>
        <v>229670</v>
      </c>
      <c r="Z15" s="14">
        <f t="shared" si="3"/>
        <v>5048.7424176719496</v>
      </c>
      <c r="AA15" s="15">
        <f t="shared" si="4"/>
        <v>2.1982594233778682E-2</v>
      </c>
      <c r="AB15" s="16">
        <f t="shared" si="7"/>
        <v>193000</v>
      </c>
      <c r="AC15" s="17">
        <f t="shared" si="5"/>
        <v>36670</v>
      </c>
      <c r="AD15" s="16">
        <f t="shared" si="6"/>
        <v>229670</v>
      </c>
      <c r="AE15" s="17">
        <f t="shared" si="0"/>
        <v>8268120</v>
      </c>
      <c r="AF15" s="8" t="s">
        <v>46</v>
      </c>
    </row>
    <row r="16" spans="1:32" ht="76.5" x14ac:dyDescent="0.2">
      <c r="A16" s="7">
        <v>10</v>
      </c>
      <c r="B16" s="8" t="s">
        <v>27</v>
      </c>
      <c r="C16" s="9" t="s">
        <v>28</v>
      </c>
      <c r="D16" s="8" t="s">
        <v>4</v>
      </c>
      <c r="E16" s="8">
        <v>36</v>
      </c>
      <c r="F16" s="10"/>
      <c r="G16" s="10"/>
      <c r="H16" s="11"/>
      <c r="I16" s="12">
        <v>900000</v>
      </c>
      <c r="J16" s="12">
        <v>171000</v>
      </c>
      <c r="K16" s="12">
        <v>1071000</v>
      </c>
      <c r="L16" s="12">
        <v>1100000</v>
      </c>
      <c r="M16" s="12">
        <v>209000</v>
      </c>
      <c r="N16" s="12">
        <v>1309000</v>
      </c>
      <c r="O16" s="12"/>
      <c r="P16" s="12"/>
      <c r="Q16" s="12"/>
      <c r="R16" s="24"/>
      <c r="S16" s="24"/>
      <c r="T16" s="24"/>
      <c r="U16" s="24"/>
      <c r="V16" s="24"/>
      <c r="W16" s="24"/>
      <c r="X16" s="13">
        <f t="shared" si="1"/>
        <v>1190000</v>
      </c>
      <c r="Y16" s="13">
        <f t="shared" si="2"/>
        <v>1190000</v>
      </c>
      <c r="Z16" s="14">
        <f t="shared" si="3"/>
        <v>168291.41392239832</v>
      </c>
      <c r="AA16" s="15">
        <f t="shared" si="4"/>
        <v>0.1414213562373095</v>
      </c>
      <c r="AB16" s="16">
        <f t="shared" si="7"/>
        <v>1000000</v>
      </c>
      <c r="AC16" s="17">
        <f t="shared" si="5"/>
        <v>190000</v>
      </c>
      <c r="AD16" s="16">
        <f t="shared" si="6"/>
        <v>1190000</v>
      </c>
      <c r="AE16" s="17">
        <f t="shared" si="0"/>
        <v>42840000</v>
      </c>
      <c r="AF16" s="8" t="s">
        <v>46</v>
      </c>
    </row>
    <row r="17" spans="1:32" ht="102" x14ac:dyDescent="0.2">
      <c r="A17" s="7">
        <v>11</v>
      </c>
      <c r="B17" s="8" t="s">
        <v>29</v>
      </c>
      <c r="C17" s="9" t="s">
        <v>30</v>
      </c>
      <c r="D17" s="8" t="s">
        <v>15</v>
      </c>
      <c r="E17" s="8">
        <v>36</v>
      </c>
      <c r="F17" s="10">
        <v>1600000</v>
      </c>
      <c r="G17" s="10">
        <v>304000</v>
      </c>
      <c r="H17" s="11">
        <v>1904000</v>
      </c>
      <c r="I17" s="12">
        <v>1200000</v>
      </c>
      <c r="J17" s="12">
        <v>228000</v>
      </c>
      <c r="K17" s="12">
        <v>1428000</v>
      </c>
      <c r="L17" s="12">
        <v>1600000</v>
      </c>
      <c r="M17" s="12">
        <v>304000</v>
      </c>
      <c r="N17" s="12">
        <v>1904000</v>
      </c>
      <c r="O17" s="12"/>
      <c r="P17" s="12"/>
      <c r="Q17" s="12"/>
      <c r="R17" s="24"/>
      <c r="S17" s="24"/>
      <c r="T17" s="24"/>
      <c r="U17" s="24"/>
      <c r="V17" s="24"/>
      <c r="W17" s="24"/>
      <c r="X17" s="13">
        <f t="shared" si="1"/>
        <v>1904000</v>
      </c>
      <c r="Y17" s="13">
        <f t="shared" si="2"/>
        <v>1745333.3333333333</v>
      </c>
      <c r="Z17" s="14">
        <f t="shared" si="3"/>
        <v>274818.72813426127</v>
      </c>
      <c r="AA17" s="15">
        <f t="shared" si="4"/>
        <v>0.15745916432444307</v>
      </c>
      <c r="AB17" s="16">
        <f t="shared" si="7"/>
        <v>1600000</v>
      </c>
      <c r="AC17" s="17">
        <f t="shared" si="5"/>
        <v>304000</v>
      </c>
      <c r="AD17" s="16">
        <f t="shared" si="6"/>
        <v>1904000</v>
      </c>
      <c r="AE17" s="17">
        <f t="shared" si="0"/>
        <v>68544000</v>
      </c>
      <c r="AF17" s="8" t="s">
        <v>47</v>
      </c>
    </row>
    <row r="18" spans="1:32" ht="76.5" x14ac:dyDescent="0.2">
      <c r="A18" s="7">
        <v>12</v>
      </c>
      <c r="B18" s="8" t="s">
        <v>31</v>
      </c>
      <c r="C18" s="9" t="s">
        <v>32</v>
      </c>
      <c r="D18" s="8" t="s">
        <v>4</v>
      </c>
      <c r="E18" s="8">
        <v>36</v>
      </c>
      <c r="F18" s="10"/>
      <c r="G18" s="10"/>
      <c r="H18" s="11"/>
      <c r="I18" s="12">
        <v>500000</v>
      </c>
      <c r="J18" s="12">
        <v>95000</v>
      </c>
      <c r="K18" s="12">
        <v>595000</v>
      </c>
      <c r="L18" s="12">
        <v>600000</v>
      </c>
      <c r="M18" s="12">
        <v>114000</v>
      </c>
      <c r="N18" s="12">
        <v>714000</v>
      </c>
      <c r="O18" s="12"/>
      <c r="P18" s="12"/>
      <c r="Q18" s="12"/>
      <c r="R18" s="24">
        <v>380000</v>
      </c>
      <c r="S18" s="24">
        <v>72200</v>
      </c>
      <c r="T18" s="24">
        <v>452200</v>
      </c>
      <c r="U18" s="24">
        <v>500000</v>
      </c>
      <c r="V18" s="24">
        <v>95000</v>
      </c>
      <c r="W18" s="24">
        <v>595000</v>
      </c>
      <c r="X18" s="13">
        <f t="shared" si="1"/>
        <v>595000</v>
      </c>
      <c r="Y18" s="13">
        <f t="shared" si="2"/>
        <v>589050</v>
      </c>
      <c r="Z18" s="14">
        <f t="shared" si="3"/>
        <v>107100</v>
      </c>
      <c r="AA18" s="15">
        <f t="shared" si="4"/>
        <v>0.18181818181818182</v>
      </c>
      <c r="AB18" s="16">
        <f t="shared" si="7"/>
        <v>500000</v>
      </c>
      <c r="AC18" s="17">
        <f t="shared" si="5"/>
        <v>95000</v>
      </c>
      <c r="AD18" s="16">
        <f t="shared" si="6"/>
        <v>595000</v>
      </c>
      <c r="AE18" s="17">
        <f t="shared" si="0"/>
        <v>21420000</v>
      </c>
      <c r="AF18" s="8" t="s">
        <v>47</v>
      </c>
    </row>
    <row r="19" spans="1:32" x14ac:dyDescent="0.2">
      <c r="A19" s="36" t="s">
        <v>5</v>
      </c>
      <c r="B19" s="36"/>
      <c r="C19" s="36"/>
      <c r="D19" s="36"/>
      <c r="E19" s="36"/>
      <c r="F19" s="19"/>
      <c r="G19" s="19"/>
      <c r="H19" s="20">
        <f>SUM(H7:H18)</f>
        <v>50187410.82</v>
      </c>
      <c r="I19" s="12"/>
      <c r="J19" s="12"/>
      <c r="K19" s="20">
        <f>SUM(K7:K18)</f>
        <v>55277400</v>
      </c>
      <c r="L19" s="12"/>
      <c r="M19" s="12"/>
      <c r="N19" s="20">
        <f>SUM(N7:N18)</f>
        <v>56689299.999999963</v>
      </c>
      <c r="O19" s="20"/>
      <c r="P19" s="20"/>
      <c r="Q19" s="20">
        <f>SUM(Q7:Q18)</f>
        <v>226100</v>
      </c>
      <c r="R19" s="20"/>
      <c r="S19" s="20"/>
      <c r="T19" s="20">
        <f>SUM(T7:T18)</f>
        <v>51263800</v>
      </c>
      <c r="U19" s="20"/>
      <c r="V19" s="20"/>
      <c r="W19" s="20">
        <f>SUM(W7:W18)</f>
        <v>2499000</v>
      </c>
      <c r="X19" s="18"/>
      <c r="Y19" s="18"/>
      <c r="Z19" s="18"/>
      <c r="AA19" s="18"/>
      <c r="AB19" s="18"/>
      <c r="AC19" s="18"/>
      <c r="AD19" s="21">
        <f>SUM(AD7:AD18)</f>
        <v>55587989</v>
      </c>
      <c r="AE19" s="21">
        <f>SUM(AE7:AE18)</f>
        <v>2001167604</v>
      </c>
      <c r="AF19" s="18"/>
    </row>
    <row r="20" spans="1:32" x14ac:dyDescent="0.2">
      <c r="AE20" s="25"/>
    </row>
    <row r="21" spans="1:32" ht="117" customHeight="1" x14ac:dyDescent="0.2">
      <c r="B21" s="26" t="s">
        <v>34</v>
      </c>
      <c r="C21" s="26"/>
      <c r="D21" s="26"/>
      <c r="E21" s="26"/>
      <c r="M21" s="1">
        <f>17+17</f>
        <v>34</v>
      </c>
      <c r="AD21" s="23"/>
      <c r="AE21" s="23"/>
    </row>
  </sheetData>
  <mergeCells count="13">
    <mergeCell ref="A1:H1"/>
    <mergeCell ref="A2:H2"/>
    <mergeCell ref="A3:H3"/>
    <mergeCell ref="A19:E19"/>
    <mergeCell ref="X4:AF5"/>
    <mergeCell ref="O4:Q5"/>
    <mergeCell ref="R4:T5"/>
    <mergeCell ref="U4:W5"/>
    <mergeCell ref="B21:E21"/>
    <mergeCell ref="A4:E5"/>
    <mergeCell ref="F4:H5"/>
    <mergeCell ref="I4:K5"/>
    <mergeCell ref="L4:N5"/>
  </mergeCells>
  <conditionalFormatting sqref="B7">
    <cfRule type="duplicateValues" dxfId="11" priority="16"/>
  </conditionalFormatting>
  <conditionalFormatting sqref="B8">
    <cfRule type="duplicateValues" dxfId="10" priority="15"/>
  </conditionalFormatting>
  <conditionalFormatting sqref="B9">
    <cfRule type="duplicateValues" dxfId="9" priority="14"/>
  </conditionalFormatting>
  <conditionalFormatting sqref="B10">
    <cfRule type="duplicateValues" dxfId="8" priority="13"/>
  </conditionalFormatting>
  <conditionalFormatting sqref="B11">
    <cfRule type="duplicateValues" dxfId="7" priority="12"/>
  </conditionalFormatting>
  <conditionalFormatting sqref="B12">
    <cfRule type="duplicateValues" dxfId="6" priority="11"/>
  </conditionalFormatting>
  <conditionalFormatting sqref="B13">
    <cfRule type="duplicateValues" dxfId="5" priority="10"/>
  </conditionalFormatting>
  <conditionalFormatting sqref="B14">
    <cfRule type="duplicateValues" dxfId="4" priority="9"/>
  </conditionalFormatting>
  <conditionalFormatting sqref="B15">
    <cfRule type="duplicateValues" dxfId="3" priority="8"/>
  </conditionalFormatting>
  <conditionalFormatting sqref="B16">
    <cfRule type="duplicateValues" dxfId="2" priority="7"/>
  </conditionalFormatting>
  <conditionalFormatting sqref="B17">
    <cfRule type="duplicateValues" dxfId="1" priority="6"/>
  </conditionalFormatting>
  <conditionalFormatting sqref="B18">
    <cfRule type="duplicateValues" dxfId="0" priority="5"/>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Alejandro Vela Rodriguez</dc:creator>
  <cp:lastModifiedBy>Yenny Lorena Ballen Jimenez</cp:lastModifiedBy>
  <dcterms:created xsi:type="dcterms:W3CDTF">2025-02-06T22:20:45Z</dcterms:created>
  <dcterms:modified xsi:type="dcterms:W3CDTF">2026-09-02T16:10:08Z</dcterms:modified>
</cp:coreProperties>
</file>