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showInkAnnotation="0" defaultThemeVersion="124226"/>
  <mc:AlternateContent xmlns:mc="http://schemas.openxmlformats.org/markup-compatibility/2006">
    <mc:Choice Requires="x15">
      <x15ac:absPath xmlns:x15ac="http://schemas.microsoft.com/office/spreadsheetml/2010/11/ac" url="C:\Users\Camila\Documents\ICANH 2026\01. Procesos\09. Vigilancia\Documentos enviados\"/>
    </mc:Choice>
  </mc:AlternateContent>
  <xr:revisionPtr revIDLastSave="0" documentId="13_ncr:1_{A88DF139-815E-4CCD-9BC5-0AFB81EBF365}" xr6:coauthVersionLast="47" xr6:coauthVersionMax="47" xr10:uidLastSave="{00000000-0000-0000-0000-000000000000}"/>
  <bookViews>
    <workbookView xWindow="-110" yWindow="-110" windowWidth="19420" windowHeight="10420" tabRatio="818" firstSheet="1" activeTab="2" xr2:uid="{00000000-000D-0000-FFFF-FFFF00000000}"/>
  </bookViews>
  <sheets>
    <sheet name="FCT ANTERIOR" sheetId="20" state="hidden" r:id="rId1"/>
    <sheet name="CDC" sheetId="50" r:id="rId2"/>
    <sheet name="RESUMEN CIRCULAR_DEC_RESOLUCION" sheetId="49" r:id="rId3"/>
    <sheet name="1 Nápoles" sheetId="15" state="hidden" r:id="rId4"/>
    <sheet name="2 Visan" sheetId="36" state="hidden" r:id="rId5"/>
    <sheet name="3 Libertadora" sheetId="37" state="hidden" r:id="rId6"/>
    <sheet name="4 Del sur" sheetId="38" state="hidden" r:id="rId7"/>
    <sheet name="5 Squadra" sheetId="39" state="hidden" r:id="rId8"/>
    <sheet name="6 Nueva Era" sheetId="40" state="hidden" r:id="rId9"/>
    <sheet name="7 Pegaso" sheetId="41" state="hidden" r:id="rId10"/>
    <sheet name="8 Buho" sheetId="42" state="hidden" r:id="rId11"/>
    <sheet name="9 Azimut" sheetId="43" state="hidden" r:id="rId12"/>
    <sheet name="10 Seracis" sheetId="44" state="hidden" r:id="rId13"/>
    <sheet name="11 Acosta" sheetId="45" state="hidden" r:id="rId14"/>
    <sheet name="12 Vipcol 2 turnos" sheetId="47" state="hidden" r:id="rId15"/>
    <sheet name="12 VipcolMedios" sheetId="46" state="hidden" r:id="rId16"/>
    <sheet name="ENCUESTA" sheetId="34" state="hidden" r:id="rId17"/>
    <sheet name="OCULTAR" sheetId="18" state="hidden" r:id="rId18"/>
  </sheets>
  <externalReferences>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s>
  <definedNames>
    <definedName name="_1__123Graph_Aｸﾞﾗﾌ_7" localSheetId="12" hidden="1">#REF!</definedName>
    <definedName name="_1__123Graph_Aｸﾞﾗﾌ_7" localSheetId="13" hidden="1">#REF!</definedName>
    <definedName name="_1__123Graph_Aｸﾞﾗﾌ_7" localSheetId="14" hidden="1">#REF!</definedName>
    <definedName name="_1__123Graph_Aｸﾞﾗﾌ_7" localSheetId="15" hidden="1">#REF!</definedName>
    <definedName name="_1__123Graph_Aｸﾞﾗﾌ_7" localSheetId="4" hidden="1">#REF!</definedName>
    <definedName name="_1__123Graph_Aｸﾞﾗﾌ_7" localSheetId="5" hidden="1">#REF!</definedName>
    <definedName name="_1__123Graph_Aｸﾞﾗﾌ_7" localSheetId="6" hidden="1">#REF!</definedName>
    <definedName name="_1__123Graph_Aｸﾞﾗﾌ_7" localSheetId="7" hidden="1">#REF!</definedName>
    <definedName name="_1__123Graph_Aｸﾞﾗﾌ_7" localSheetId="8" hidden="1">#REF!</definedName>
    <definedName name="_1__123Graph_Aｸﾞﾗﾌ_7" localSheetId="9" hidden="1">#REF!</definedName>
    <definedName name="_1__123Graph_Aｸﾞﾗﾌ_7" localSheetId="10" hidden="1">#REF!</definedName>
    <definedName name="_1__123Graph_Aｸﾞﾗﾌ_7" localSheetId="11" hidden="1">#REF!</definedName>
    <definedName name="_1__123Graph_Aｸﾞﾗﾌ_7" localSheetId="16" hidden="1">#REF!</definedName>
    <definedName name="_1__123Graph_Aｸﾞﾗﾌ_7" localSheetId="2" hidden="1">#REF!</definedName>
    <definedName name="_1__123Graph_Aｸﾞﾗﾌ_7" hidden="1">#REF!</definedName>
    <definedName name="_112233" localSheetId="16" hidden="1">#REF!</definedName>
    <definedName name="_112233" localSheetId="2" hidden="1">#REF!</definedName>
    <definedName name="_112233" hidden="1">#REF!</definedName>
    <definedName name="_112277" localSheetId="16" hidden="1">#REF!</definedName>
    <definedName name="_112277" localSheetId="2" hidden="1">#REF!</definedName>
    <definedName name="_112277" hidden="1">#REF!</definedName>
    <definedName name="_12__123Graph_BCHART_5" localSheetId="16" hidden="1">[1]MEX95IB!#REF!</definedName>
    <definedName name="_12__123Graph_BCHART_5" localSheetId="2" hidden="1">[1]MEX95IB!#REF!</definedName>
    <definedName name="_12__123Graph_BCHART_5" hidden="1">[1]MEX95IB!#REF!</definedName>
    <definedName name="_1222" localSheetId="16" hidden="1">#REF!</definedName>
    <definedName name="_1222" localSheetId="2" hidden="1">#REF!</definedName>
    <definedName name="_1222" hidden="1">#REF!</definedName>
    <definedName name="_13__123Graph_Bｸﾞﾗﾌ_7" localSheetId="16" hidden="1">#REF!</definedName>
    <definedName name="_13__123Graph_Bｸﾞﾗﾌ_7" localSheetId="2" hidden="1">#REF!</definedName>
    <definedName name="_13__123Graph_Bｸﾞﾗﾌ_7" hidden="1">#REF!</definedName>
    <definedName name="_14__123Graph_Cｸﾞﾗﾌ_7" localSheetId="16" hidden="1">#REF!</definedName>
    <definedName name="_14__123Graph_Cｸﾞﾗﾌ_7" localSheetId="2" hidden="1">#REF!</definedName>
    <definedName name="_14__123Graph_Cｸﾞﾗﾌ_7" hidden="1">#REF!</definedName>
    <definedName name="_15__123Graph_Dｸﾞﾗﾌ_7" localSheetId="16" hidden="1">#REF!</definedName>
    <definedName name="_15__123Graph_Dｸﾞﾗﾌ_7" localSheetId="2" hidden="1">#REF!</definedName>
    <definedName name="_15__123Graph_Dｸﾞﾗﾌ_7" hidden="1">#REF!</definedName>
    <definedName name="_16__123Graph_Eｸﾞﾗﾌ_7" localSheetId="16" hidden="1">#REF!</definedName>
    <definedName name="_16__123Graph_Eｸﾞﾗﾌ_7" localSheetId="2" hidden="1">#REF!</definedName>
    <definedName name="_16__123Graph_Eｸﾞﾗﾌ_7" hidden="1">#REF!</definedName>
    <definedName name="_17__123Graph_Fｸﾞﾗﾌ_7" localSheetId="16" hidden="1">#REF!</definedName>
    <definedName name="_17__123Graph_Fｸﾞﾗﾌ_7" localSheetId="2" hidden="1">#REF!</definedName>
    <definedName name="_17__123Graph_Fｸﾞﾗﾌ_7" hidden="1">#REF!</definedName>
    <definedName name="_21" localSheetId="16" hidden="1">#REF!</definedName>
    <definedName name="_21" localSheetId="2" hidden="1">#REF!</definedName>
    <definedName name="_21" hidden="1">#REF!</definedName>
    <definedName name="_25" localSheetId="16" hidden="1">#REF!</definedName>
    <definedName name="_25" localSheetId="2" hidden="1">#REF!</definedName>
    <definedName name="_25" hidden="1">#REF!</definedName>
    <definedName name="_29" localSheetId="16" hidden="1">#REF!</definedName>
    <definedName name="_29" localSheetId="2" hidden="1">#REF!</definedName>
    <definedName name="_29" hidden="1">#REF!</definedName>
    <definedName name="_456" localSheetId="12" hidden="1">{0,#N/A,FALSE,0;0,#N/A,FALSE,0;0,#N/A,FALSE,0;0,#N/A,FALSE,0;0,#N/A,FALSE,0;0,#N/A,FALSE,0}</definedName>
    <definedName name="_456" localSheetId="13" hidden="1">{0,#N/A,FALSE,0;0,#N/A,FALSE,0;0,#N/A,FALSE,0;0,#N/A,FALSE,0;0,#N/A,FALSE,0;0,#N/A,FALSE,0}</definedName>
    <definedName name="_456" localSheetId="14" hidden="1">{0,#N/A,FALSE,0;0,#N/A,FALSE,0;0,#N/A,FALSE,0;0,#N/A,FALSE,0;0,#N/A,FALSE,0;0,#N/A,FALSE,0}</definedName>
    <definedName name="_456" localSheetId="15" hidden="1">{0,#N/A,FALSE,0;0,#N/A,FALSE,0;0,#N/A,FALSE,0;0,#N/A,FALSE,0;0,#N/A,FALSE,0;0,#N/A,FALSE,0}</definedName>
    <definedName name="_456" localSheetId="4" hidden="1">{0,#N/A,FALSE,0;0,#N/A,FALSE,0;0,#N/A,FALSE,0;0,#N/A,FALSE,0;0,#N/A,FALSE,0;0,#N/A,FALSE,0}</definedName>
    <definedName name="_456" localSheetId="5" hidden="1">{0,#N/A,FALSE,0;0,#N/A,FALSE,0;0,#N/A,FALSE,0;0,#N/A,FALSE,0;0,#N/A,FALSE,0;0,#N/A,FALSE,0}</definedName>
    <definedName name="_456" localSheetId="6" hidden="1">{0,#N/A,FALSE,0;0,#N/A,FALSE,0;0,#N/A,FALSE,0;0,#N/A,FALSE,0;0,#N/A,FALSE,0;0,#N/A,FALSE,0}</definedName>
    <definedName name="_456" localSheetId="7" hidden="1">{0,#N/A,FALSE,0;0,#N/A,FALSE,0;0,#N/A,FALSE,0;0,#N/A,FALSE,0;0,#N/A,FALSE,0;0,#N/A,FALSE,0}</definedName>
    <definedName name="_456" localSheetId="8" hidden="1">{0,#N/A,FALSE,0;0,#N/A,FALSE,0;0,#N/A,FALSE,0;0,#N/A,FALSE,0;0,#N/A,FALSE,0;0,#N/A,FALSE,0}</definedName>
    <definedName name="_456" localSheetId="9" hidden="1">{0,#N/A,FALSE,0;0,#N/A,FALSE,0;0,#N/A,FALSE,0;0,#N/A,FALSE,0;0,#N/A,FALSE,0;0,#N/A,FALSE,0}</definedName>
    <definedName name="_456" localSheetId="10" hidden="1">{0,#N/A,FALSE,0;0,#N/A,FALSE,0;0,#N/A,FALSE,0;0,#N/A,FALSE,0;0,#N/A,FALSE,0;0,#N/A,FALSE,0}</definedName>
    <definedName name="_456" localSheetId="11" hidden="1">{0,#N/A,FALSE,0;0,#N/A,FALSE,0;0,#N/A,FALSE,0;0,#N/A,FALSE,0;0,#N/A,FALSE,0;0,#N/A,FALSE,0}</definedName>
    <definedName name="_456" localSheetId="1" hidden="1">{0,#N/A,FALSE,0;0,#N/A,FALSE,0;0,#N/A,FALSE,0;0,#N/A,FALSE,0;0,#N/A,FALSE,0;0,#N/A,FALSE,0}</definedName>
    <definedName name="_456" localSheetId="16" hidden="1">{0,#N/A,FALSE,0;0,#N/A,FALSE,0;0,#N/A,FALSE,0;0,#N/A,FALSE,0;0,#N/A,FALSE,0;0,#N/A,FALSE,0}</definedName>
    <definedName name="_456" localSheetId="2" hidden="1">{0,#N/A,FALSE,0;0,#N/A,FALSE,0;0,#N/A,FALSE,0;0,#N/A,FALSE,0;0,#N/A,FALSE,0;0,#N/A,FALSE,0}</definedName>
    <definedName name="_456" hidden="1">{0,#N/A,FALSE,0;0,#N/A,FALSE,0;0,#N/A,FALSE,0;0,#N/A,FALSE,0;0,#N/A,FALSE,0;0,#N/A,FALSE,0}</definedName>
    <definedName name="_Fill" localSheetId="16" hidden="1">#REF!</definedName>
    <definedName name="_Fill" localSheetId="2" hidden="1">#REF!</definedName>
    <definedName name="_Fill" hidden="1">#REF!</definedName>
    <definedName name="_xlnm._FilterDatabase" localSheetId="16" hidden="1">ENCUESTA!#REF!</definedName>
    <definedName name="_xlnm._FilterDatabase" localSheetId="17" hidden="1">OCULTAR!$A$20:$C$515</definedName>
    <definedName name="_xlnm._FilterDatabase" localSheetId="2" hidden="1">#REF!</definedName>
    <definedName name="_xlnm._FilterDatabase" hidden="1">#REF!</definedName>
    <definedName name="_ftn1" localSheetId="3">'1 Nápoles'!#REF!</definedName>
    <definedName name="_ftn1" localSheetId="12">'10 Seracis'!#REF!</definedName>
    <definedName name="_ftn1" localSheetId="13">'11 Acosta'!#REF!</definedName>
    <definedName name="_ftn1" localSheetId="14">'12 Vipcol 2 turnos'!#REF!</definedName>
    <definedName name="_ftn1" localSheetId="15">'12 VipcolMedios'!#REF!</definedName>
    <definedName name="_ftn1" localSheetId="4">'2 Visan'!#REF!</definedName>
    <definedName name="_ftn1" localSheetId="5">'3 Libertadora'!#REF!</definedName>
    <definedName name="_ftn1" localSheetId="6">'4 Del sur'!#REF!</definedName>
    <definedName name="_ftn1" localSheetId="7">'5 Squadra'!#REF!</definedName>
    <definedName name="_ftn1" localSheetId="8">'6 Nueva Era'!#REF!</definedName>
    <definedName name="_ftn1" localSheetId="9">'7 Pegaso'!#REF!</definedName>
    <definedName name="_ftn1" localSheetId="10">'8 Buho'!#REF!</definedName>
    <definedName name="_ftn1" localSheetId="11">'9 Azimut'!#REF!</definedName>
    <definedName name="_ftn1" localSheetId="1">CDC!#REF!</definedName>
    <definedName name="_ftn1" localSheetId="2">'RESUMEN CIRCULAR_DEC_RESOLUCION'!#REF!</definedName>
    <definedName name="_ftn2" localSheetId="3">'1 Nápoles'!#REF!</definedName>
    <definedName name="_ftn2" localSheetId="12">'10 Seracis'!#REF!</definedName>
    <definedName name="_ftn2" localSheetId="13">'11 Acosta'!#REF!</definedName>
    <definedName name="_ftn2" localSheetId="14">'12 Vipcol 2 turnos'!#REF!</definedName>
    <definedName name="_ftn2" localSheetId="15">'12 VipcolMedios'!#REF!</definedName>
    <definedName name="_ftn2" localSheetId="4">'2 Visan'!#REF!</definedName>
    <definedName name="_ftn2" localSheetId="5">'3 Libertadora'!#REF!</definedName>
    <definedName name="_ftn2" localSheetId="6">'4 Del sur'!#REF!</definedName>
    <definedName name="_ftn2" localSheetId="7">'5 Squadra'!#REF!</definedName>
    <definedName name="_ftn2" localSheetId="8">'6 Nueva Era'!#REF!</definedName>
    <definedName name="_ftn2" localSheetId="9">'7 Pegaso'!#REF!</definedName>
    <definedName name="_ftn2" localSheetId="10">'8 Buho'!#REF!</definedName>
    <definedName name="_ftn2" localSheetId="11">'9 Azimut'!#REF!</definedName>
    <definedName name="_ftn2" localSheetId="1">CDC!#REF!</definedName>
    <definedName name="_ftn2" localSheetId="2">'RESUMEN CIRCULAR_DEC_RESOLUCION'!#REF!</definedName>
    <definedName name="_ftn3" localSheetId="3">'1 Nápoles'!#REF!</definedName>
    <definedName name="_ftn3" localSheetId="12">'10 Seracis'!#REF!</definedName>
    <definedName name="_ftn3" localSheetId="13">'11 Acosta'!#REF!</definedName>
    <definedName name="_ftn3" localSheetId="14">'12 Vipcol 2 turnos'!#REF!</definedName>
    <definedName name="_ftn3" localSheetId="15">'12 VipcolMedios'!#REF!</definedName>
    <definedName name="_ftn3" localSheetId="4">'2 Visan'!#REF!</definedName>
    <definedName name="_ftn3" localSheetId="5">'3 Libertadora'!#REF!</definedName>
    <definedName name="_ftn3" localSheetId="6">'4 Del sur'!#REF!</definedName>
    <definedName name="_ftn3" localSheetId="7">'5 Squadra'!#REF!</definedName>
    <definedName name="_ftn3" localSheetId="8">'6 Nueva Era'!#REF!</definedName>
    <definedName name="_ftn3" localSheetId="9">'7 Pegaso'!#REF!</definedName>
    <definedName name="_ftn3" localSheetId="10">'8 Buho'!#REF!</definedName>
    <definedName name="_ftn3" localSheetId="11">'9 Azimut'!#REF!</definedName>
    <definedName name="_ftn3" localSheetId="1">CDC!#REF!</definedName>
    <definedName name="_ftn3" localSheetId="2">'RESUMEN CIRCULAR_DEC_RESOLUCION'!#REF!</definedName>
    <definedName name="_ftnref1" localSheetId="3">'1 Nápoles'!#REF!</definedName>
    <definedName name="_ftnref1" localSheetId="12">'10 Seracis'!#REF!</definedName>
    <definedName name="_ftnref1" localSheetId="13">'11 Acosta'!#REF!</definedName>
    <definedName name="_ftnref1" localSheetId="14">'12 Vipcol 2 turnos'!#REF!</definedName>
    <definedName name="_ftnref1" localSheetId="15">'12 VipcolMedios'!#REF!</definedName>
    <definedName name="_ftnref1" localSheetId="4">'2 Visan'!#REF!</definedName>
    <definedName name="_ftnref1" localSheetId="5">'3 Libertadora'!#REF!</definedName>
    <definedName name="_ftnref1" localSheetId="6">'4 Del sur'!#REF!</definedName>
    <definedName name="_ftnref1" localSheetId="7">'5 Squadra'!#REF!</definedName>
    <definedName name="_ftnref1" localSheetId="8">'6 Nueva Era'!#REF!</definedName>
    <definedName name="_ftnref1" localSheetId="9">'7 Pegaso'!#REF!</definedName>
    <definedName name="_ftnref1" localSheetId="10">'8 Buho'!#REF!</definedName>
    <definedName name="_ftnref1" localSheetId="11">'9 Azimut'!#REF!</definedName>
    <definedName name="_ftnref1" localSheetId="1">CDC!#REF!</definedName>
    <definedName name="_ftnref1" localSheetId="2">'RESUMEN CIRCULAR_DEC_RESOLUCION'!#REF!</definedName>
    <definedName name="_ftnref2" localSheetId="3">'1 Nápoles'!#REF!</definedName>
    <definedName name="_ftnref2" localSheetId="12">'10 Seracis'!#REF!</definedName>
    <definedName name="_ftnref2" localSheetId="13">'11 Acosta'!#REF!</definedName>
    <definedName name="_ftnref2" localSheetId="14">'12 Vipcol 2 turnos'!#REF!</definedName>
    <definedName name="_ftnref2" localSheetId="15">'12 VipcolMedios'!#REF!</definedName>
    <definedName name="_ftnref2" localSheetId="4">'2 Visan'!#REF!</definedName>
    <definedName name="_ftnref2" localSheetId="5">'3 Libertadora'!#REF!</definedName>
    <definedName name="_ftnref2" localSheetId="6">'4 Del sur'!#REF!</definedName>
    <definedName name="_ftnref2" localSheetId="7">'5 Squadra'!#REF!</definedName>
    <definedName name="_ftnref2" localSheetId="8">'6 Nueva Era'!#REF!</definedName>
    <definedName name="_ftnref2" localSheetId="9">'7 Pegaso'!#REF!</definedName>
    <definedName name="_ftnref2" localSheetId="10">'8 Buho'!#REF!</definedName>
    <definedName name="_ftnref2" localSheetId="11">'9 Azimut'!#REF!</definedName>
    <definedName name="_ftnref2" localSheetId="1">CDC!#REF!</definedName>
    <definedName name="_ftnref2" localSheetId="2">'RESUMEN CIRCULAR_DEC_RESOLUCION'!#REF!</definedName>
    <definedName name="_ftnref3" localSheetId="3">'1 Nápoles'!#REF!</definedName>
    <definedName name="_ftnref3" localSheetId="12">'10 Seracis'!#REF!</definedName>
    <definedName name="_ftnref3" localSheetId="13">'11 Acosta'!#REF!</definedName>
    <definedName name="_ftnref3" localSheetId="14">'12 Vipcol 2 turnos'!#REF!</definedName>
    <definedName name="_ftnref3" localSheetId="15">'12 VipcolMedios'!#REF!</definedName>
    <definedName name="_ftnref3" localSheetId="4">'2 Visan'!#REF!</definedName>
    <definedName name="_ftnref3" localSheetId="5">'3 Libertadora'!#REF!</definedName>
    <definedName name="_ftnref3" localSheetId="6">'4 Del sur'!#REF!</definedName>
    <definedName name="_ftnref3" localSheetId="7">'5 Squadra'!#REF!</definedName>
    <definedName name="_ftnref3" localSheetId="8">'6 Nueva Era'!#REF!</definedName>
    <definedName name="_ftnref3" localSheetId="9">'7 Pegaso'!#REF!</definedName>
    <definedName name="_ftnref3" localSheetId="10">'8 Buho'!#REF!</definedName>
    <definedName name="_ftnref3" localSheetId="11">'9 Azimut'!#REF!</definedName>
    <definedName name="_ftnref3" localSheetId="1">CDC!#REF!</definedName>
    <definedName name="_ftnref3" localSheetId="2">'RESUMEN CIRCULAR_DEC_RESOLUCION'!#REF!</definedName>
    <definedName name="_NDC1" localSheetId="12" hidden="1">{"'内訳表'!$B$2:$N$64"}</definedName>
    <definedName name="_NDC1" localSheetId="13" hidden="1">{"'内訳表'!$B$2:$N$64"}</definedName>
    <definedName name="_NDC1" localSheetId="14" hidden="1">{"'内訳表'!$B$2:$N$64"}</definedName>
    <definedName name="_NDC1" localSheetId="15" hidden="1">{"'内訳表'!$B$2:$N$64"}</definedName>
    <definedName name="_NDC1" localSheetId="4" hidden="1">{"'内訳表'!$B$2:$N$64"}</definedName>
    <definedName name="_NDC1" localSheetId="5" hidden="1">{"'内訳表'!$B$2:$N$64"}</definedName>
    <definedName name="_NDC1" localSheetId="6" hidden="1">{"'内訳表'!$B$2:$N$64"}</definedName>
    <definedName name="_NDC1" localSheetId="7" hidden="1">{"'内訳表'!$B$2:$N$64"}</definedName>
    <definedName name="_NDC1" localSheetId="8" hidden="1">{"'内訳表'!$B$2:$N$64"}</definedName>
    <definedName name="_NDC1" localSheetId="9" hidden="1">{"'内訳表'!$B$2:$N$64"}</definedName>
    <definedName name="_NDC1" localSheetId="10" hidden="1">{"'内訳表'!$B$2:$N$64"}</definedName>
    <definedName name="_NDC1" localSheetId="11" hidden="1">{"'内訳表'!$B$2:$N$64"}</definedName>
    <definedName name="_NDC1" localSheetId="1" hidden="1">{"'内訳表'!$B$2:$N$64"}</definedName>
    <definedName name="_NDC1" localSheetId="16" hidden="1">{"'内訳表'!$B$2:$N$64"}</definedName>
    <definedName name="_NDC1" localSheetId="2" hidden="1">{"'内訳表'!$B$2:$N$64"}</definedName>
    <definedName name="_NDC1" hidden="1">{"'内訳表'!$B$2:$N$64"}</definedName>
    <definedName name="_Order1" hidden="1">0</definedName>
    <definedName name="_Order2" hidden="1">255</definedName>
    <definedName name="_r3d" localSheetId="12" hidden="1">{#N/A,#N/A,FALSE,"POLONNA 8";#N/A,#N/A,FALSE,"POLONNA 7";#N/A,#N/A,FALSE,"POLONNA 6";#N/A,#N/A,FALSE,"POLONNA 5 ";#N/A,#N/A,FALSE,"POLONNA 3";#N/A,#N/A,FALSE,"POLONNA 4";#N/A,#N/A,FALSE,"POLONNA 2";#N/A,#N/A,FALSE,"POLONNA 1"}</definedName>
    <definedName name="_r3d" localSheetId="13" hidden="1">{#N/A,#N/A,FALSE,"POLONNA 8";#N/A,#N/A,FALSE,"POLONNA 7";#N/A,#N/A,FALSE,"POLONNA 6";#N/A,#N/A,FALSE,"POLONNA 5 ";#N/A,#N/A,FALSE,"POLONNA 3";#N/A,#N/A,FALSE,"POLONNA 4";#N/A,#N/A,FALSE,"POLONNA 2";#N/A,#N/A,FALSE,"POLONNA 1"}</definedName>
    <definedName name="_r3d" localSheetId="14" hidden="1">{#N/A,#N/A,FALSE,"POLONNA 8";#N/A,#N/A,FALSE,"POLONNA 7";#N/A,#N/A,FALSE,"POLONNA 6";#N/A,#N/A,FALSE,"POLONNA 5 ";#N/A,#N/A,FALSE,"POLONNA 3";#N/A,#N/A,FALSE,"POLONNA 4";#N/A,#N/A,FALSE,"POLONNA 2";#N/A,#N/A,FALSE,"POLONNA 1"}</definedName>
    <definedName name="_r3d" localSheetId="15" hidden="1">{#N/A,#N/A,FALSE,"POLONNA 8";#N/A,#N/A,FALSE,"POLONNA 7";#N/A,#N/A,FALSE,"POLONNA 6";#N/A,#N/A,FALSE,"POLONNA 5 ";#N/A,#N/A,FALSE,"POLONNA 3";#N/A,#N/A,FALSE,"POLONNA 4";#N/A,#N/A,FALSE,"POLONNA 2";#N/A,#N/A,FALSE,"POLONNA 1"}</definedName>
    <definedName name="_r3d" localSheetId="4" hidden="1">{#N/A,#N/A,FALSE,"POLONNA 8";#N/A,#N/A,FALSE,"POLONNA 7";#N/A,#N/A,FALSE,"POLONNA 6";#N/A,#N/A,FALSE,"POLONNA 5 ";#N/A,#N/A,FALSE,"POLONNA 3";#N/A,#N/A,FALSE,"POLONNA 4";#N/A,#N/A,FALSE,"POLONNA 2";#N/A,#N/A,FALSE,"POLONNA 1"}</definedName>
    <definedName name="_r3d" localSheetId="5" hidden="1">{#N/A,#N/A,FALSE,"POLONNA 8";#N/A,#N/A,FALSE,"POLONNA 7";#N/A,#N/A,FALSE,"POLONNA 6";#N/A,#N/A,FALSE,"POLONNA 5 ";#N/A,#N/A,FALSE,"POLONNA 3";#N/A,#N/A,FALSE,"POLONNA 4";#N/A,#N/A,FALSE,"POLONNA 2";#N/A,#N/A,FALSE,"POLONNA 1"}</definedName>
    <definedName name="_r3d" localSheetId="6" hidden="1">{#N/A,#N/A,FALSE,"POLONNA 8";#N/A,#N/A,FALSE,"POLONNA 7";#N/A,#N/A,FALSE,"POLONNA 6";#N/A,#N/A,FALSE,"POLONNA 5 ";#N/A,#N/A,FALSE,"POLONNA 3";#N/A,#N/A,FALSE,"POLONNA 4";#N/A,#N/A,FALSE,"POLONNA 2";#N/A,#N/A,FALSE,"POLONNA 1"}</definedName>
    <definedName name="_r3d" localSheetId="7" hidden="1">{#N/A,#N/A,FALSE,"POLONNA 8";#N/A,#N/A,FALSE,"POLONNA 7";#N/A,#N/A,FALSE,"POLONNA 6";#N/A,#N/A,FALSE,"POLONNA 5 ";#N/A,#N/A,FALSE,"POLONNA 3";#N/A,#N/A,FALSE,"POLONNA 4";#N/A,#N/A,FALSE,"POLONNA 2";#N/A,#N/A,FALSE,"POLONNA 1"}</definedName>
    <definedName name="_r3d" localSheetId="8" hidden="1">{#N/A,#N/A,FALSE,"POLONNA 8";#N/A,#N/A,FALSE,"POLONNA 7";#N/A,#N/A,FALSE,"POLONNA 6";#N/A,#N/A,FALSE,"POLONNA 5 ";#N/A,#N/A,FALSE,"POLONNA 3";#N/A,#N/A,FALSE,"POLONNA 4";#N/A,#N/A,FALSE,"POLONNA 2";#N/A,#N/A,FALSE,"POLONNA 1"}</definedName>
    <definedName name="_r3d" localSheetId="9" hidden="1">{#N/A,#N/A,FALSE,"POLONNA 8";#N/A,#N/A,FALSE,"POLONNA 7";#N/A,#N/A,FALSE,"POLONNA 6";#N/A,#N/A,FALSE,"POLONNA 5 ";#N/A,#N/A,FALSE,"POLONNA 3";#N/A,#N/A,FALSE,"POLONNA 4";#N/A,#N/A,FALSE,"POLONNA 2";#N/A,#N/A,FALSE,"POLONNA 1"}</definedName>
    <definedName name="_r3d" localSheetId="10" hidden="1">{#N/A,#N/A,FALSE,"POLONNA 8";#N/A,#N/A,FALSE,"POLONNA 7";#N/A,#N/A,FALSE,"POLONNA 6";#N/A,#N/A,FALSE,"POLONNA 5 ";#N/A,#N/A,FALSE,"POLONNA 3";#N/A,#N/A,FALSE,"POLONNA 4";#N/A,#N/A,FALSE,"POLONNA 2";#N/A,#N/A,FALSE,"POLONNA 1"}</definedName>
    <definedName name="_r3d" localSheetId="11" hidden="1">{#N/A,#N/A,FALSE,"POLONNA 8";#N/A,#N/A,FALSE,"POLONNA 7";#N/A,#N/A,FALSE,"POLONNA 6";#N/A,#N/A,FALSE,"POLONNA 5 ";#N/A,#N/A,FALSE,"POLONNA 3";#N/A,#N/A,FALSE,"POLONNA 4";#N/A,#N/A,FALSE,"POLONNA 2";#N/A,#N/A,FALSE,"POLONNA 1"}</definedName>
    <definedName name="_r3d" localSheetId="1" hidden="1">{#N/A,#N/A,FALSE,"POLONNA 8";#N/A,#N/A,FALSE,"POLONNA 7";#N/A,#N/A,FALSE,"POLONNA 6";#N/A,#N/A,FALSE,"POLONNA 5 ";#N/A,#N/A,FALSE,"POLONNA 3";#N/A,#N/A,FALSE,"POLONNA 4";#N/A,#N/A,FALSE,"POLONNA 2";#N/A,#N/A,FALSE,"POLONNA 1"}</definedName>
    <definedName name="_r3d" localSheetId="16" hidden="1">{#N/A,#N/A,FALSE,"POLONNA 8";#N/A,#N/A,FALSE,"POLONNA 7";#N/A,#N/A,FALSE,"POLONNA 6";#N/A,#N/A,FALSE,"POLONNA 5 ";#N/A,#N/A,FALSE,"POLONNA 3";#N/A,#N/A,FALSE,"POLONNA 4";#N/A,#N/A,FALSE,"POLONNA 2";#N/A,#N/A,FALSE,"POLONNA 1"}</definedName>
    <definedName name="_r3d" localSheetId="2" hidden="1">{#N/A,#N/A,FALSE,"POLONNA 8";#N/A,#N/A,FALSE,"POLONNA 7";#N/A,#N/A,FALSE,"POLONNA 6";#N/A,#N/A,FALSE,"POLONNA 5 ";#N/A,#N/A,FALSE,"POLONNA 3";#N/A,#N/A,FALSE,"POLONNA 4";#N/A,#N/A,FALSE,"POLONNA 2";#N/A,#N/A,FALSE,"POLONNA 1"}</definedName>
    <definedName name="_r3d" hidden="1">{#N/A,#N/A,FALSE,"POLONNA 8";#N/A,#N/A,FALSE,"POLONNA 7";#N/A,#N/A,FALSE,"POLONNA 6";#N/A,#N/A,FALSE,"POLONNA 5 ";#N/A,#N/A,FALSE,"POLONNA 3";#N/A,#N/A,FALSE,"POLONNA 4";#N/A,#N/A,FALSE,"POLONNA 2";#N/A,#N/A,FALSE,"POLONNA 1"}</definedName>
    <definedName name="a1_Y1" localSheetId="10">[2]CONFIGURACIÓN!$D$17</definedName>
    <definedName name="a1_Y1" localSheetId="16">[3]CONFIGURACIÓN!$D$17</definedName>
    <definedName name="a1_Y1">[4]CONFIGURACIÓN!$D$17</definedName>
    <definedName name="a1_Y2" localSheetId="10">[2]CONFIGURACIÓN!$E$17</definedName>
    <definedName name="a1_Y2" localSheetId="16">[3]CONFIGURACIÓN!$E$17</definedName>
    <definedName name="a1_Y2">[4]CONFIGURACIÓN!$E$17</definedName>
    <definedName name="a10_Y10" localSheetId="10">[2]CONFIGURACIÓN!$M$26</definedName>
    <definedName name="a10_Y10" localSheetId="16">[3]CONFIGURACIÓN!$M$26</definedName>
    <definedName name="a10_Y10">[4]CONFIGURACIÓN!$M$26</definedName>
    <definedName name="a10_Y11" localSheetId="10">[2]CONFIGURACIÓN!$N$26</definedName>
    <definedName name="a10_Y11" localSheetId="16">[3]CONFIGURACIÓN!$N$26</definedName>
    <definedName name="a10_Y11">[4]CONFIGURACIÓN!$N$26</definedName>
    <definedName name="a2_Y2" localSheetId="10">[2]CONFIGURACIÓN!$E$18</definedName>
    <definedName name="a2_Y2" localSheetId="16">[3]CONFIGURACIÓN!$E$18</definedName>
    <definedName name="a2_Y2">[4]CONFIGURACIÓN!$E$18</definedName>
    <definedName name="a2_Y3" localSheetId="10">[2]CONFIGURACIÓN!$F$18</definedName>
    <definedName name="a2_Y3" localSheetId="16">[3]CONFIGURACIÓN!$F$18</definedName>
    <definedName name="a2_Y3">[4]CONFIGURACIÓN!$F$18</definedName>
    <definedName name="a3_Y3" localSheetId="10">[2]CONFIGURACIÓN!$F$19</definedName>
    <definedName name="a3_Y3" localSheetId="16">[3]CONFIGURACIÓN!$F$19</definedName>
    <definedName name="a3_Y3">[4]CONFIGURACIÓN!$F$19</definedName>
    <definedName name="a3_Y4" localSheetId="10">[2]CONFIGURACIÓN!$G$19</definedName>
    <definedName name="a3_Y4" localSheetId="16">[3]CONFIGURACIÓN!$G$19</definedName>
    <definedName name="a3_Y4">[4]CONFIGURACIÓN!$G$19</definedName>
    <definedName name="a4_Y4" localSheetId="10">[2]CONFIGURACIÓN!$G$20</definedName>
    <definedName name="a4_Y4" localSheetId="16">[3]CONFIGURACIÓN!$G$20</definedName>
    <definedName name="a4_Y4">[4]CONFIGURACIÓN!$G$20</definedName>
    <definedName name="a4_Y5" localSheetId="10">[2]CONFIGURACIÓN!$H$20</definedName>
    <definedName name="a4_Y5" localSheetId="16">[3]CONFIGURACIÓN!$H$20</definedName>
    <definedName name="a4_Y5">[4]CONFIGURACIÓN!$H$20</definedName>
    <definedName name="a5_Y5" localSheetId="10">[2]CONFIGURACIÓN!$H$21</definedName>
    <definedName name="a5_Y5" localSheetId="16">[3]CONFIGURACIÓN!$H$21</definedName>
    <definedName name="a5_Y5">[4]CONFIGURACIÓN!$H$21</definedName>
    <definedName name="a5_Y6" localSheetId="10">[2]CONFIGURACIÓN!$I$21</definedName>
    <definedName name="a5_Y6" localSheetId="16">[3]CONFIGURACIÓN!$I$21</definedName>
    <definedName name="a5_Y6">[4]CONFIGURACIÓN!$I$21</definedName>
    <definedName name="a6_Y6" localSheetId="10">[2]CONFIGURACIÓN!$I$22</definedName>
    <definedName name="a6_Y6" localSheetId="16">[3]CONFIGURACIÓN!$I$22</definedName>
    <definedName name="a6_Y6">[4]CONFIGURACIÓN!$I$22</definedName>
    <definedName name="a6_Y7" localSheetId="10">[2]CONFIGURACIÓN!$J$22</definedName>
    <definedName name="a6_Y7" localSheetId="16">[3]CONFIGURACIÓN!$J$22</definedName>
    <definedName name="a6_Y7">[4]CONFIGURACIÓN!$J$22</definedName>
    <definedName name="a7_Y7" localSheetId="10">[2]CONFIGURACIÓN!$J$23</definedName>
    <definedName name="a7_Y7" localSheetId="16">[3]CONFIGURACIÓN!$J$23</definedName>
    <definedName name="a7_Y7">[4]CONFIGURACIÓN!$J$23</definedName>
    <definedName name="a7_Y8" localSheetId="10">[2]CONFIGURACIÓN!$K$23</definedName>
    <definedName name="a7_Y8" localSheetId="16">[3]CONFIGURACIÓN!$K$23</definedName>
    <definedName name="a7_Y8">[4]CONFIGURACIÓN!$K$23</definedName>
    <definedName name="a8_Y8" localSheetId="10">[2]CONFIGURACIÓN!$K$24</definedName>
    <definedName name="a8_Y8" localSheetId="16">[3]CONFIGURACIÓN!$K$24</definedName>
    <definedName name="a8_Y8">[4]CONFIGURACIÓN!$K$24</definedName>
    <definedName name="a8_Y9" localSheetId="10">[2]CONFIGURACIÓN!$L$24</definedName>
    <definedName name="a8_Y9" localSheetId="16">[3]CONFIGURACIÓN!$L$24</definedName>
    <definedName name="a8_Y9">[4]CONFIGURACIÓN!$L$24</definedName>
    <definedName name="a9_Y10" localSheetId="10">[2]CONFIGURACIÓN!$M$25</definedName>
    <definedName name="a9_Y10" localSheetId="16">[3]CONFIGURACIÓN!$M$25</definedName>
    <definedName name="a9_Y10">[4]CONFIGURACIÓN!$M$25</definedName>
    <definedName name="a9_Y9" localSheetId="10">[2]CONFIGURACIÓN!$L$25</definedName>
    <definedName name="a9_Y9" localSheetId="16">[3]CONFIGURACIÓN!$L$25</definedName>
    <definedName name="a9_Y9">[4]CONFIGURACIÓN!$L$25</definedName>
    <definedName name="aaaa" localSheetId="12" hidden="1">#REF!</definedName>
    <definedName name="aaaa" localSheetId="13" hidden="1">#REF!</definedName>
    <definedName name="aaaa" localSheetId="14" hidden="1">#REF!</definedName>
    <definedName name="aaaa" localSheetId="15" hidden="1">#REF!</definedName>
    <definedName name="aaaa" localSheetId="4" hidden="1">#REF!</definedName>
    <definedName name="aaaa" localSheetId="5" hidden="1">#REF!</definedName>
    <definedName name="aaaa" localSheetId="6" hidden="1">#REF!</definedName>
    <definedName name="aaaa" localSheetId="7" hidden="1">#REF!</definedName>
    <definedName name="aaaa" localSheetId="8" hidden="1">#REF!</definedName>
    <definedName name="aaaa" localSheetId="9" hidden="1">#REF!</definedName>
    <definedName name="aaaa" localSheetId="10" hidden="1">#REF!</definedName>
    <definedName name="aaaa" localSheetId="11" hidden="1">#REF!</definedName>
    <definedName name="aaaa" localSheetId="16" hidden="1">#REF!</definedName>
    <definedName name="aaaa" localSheetId="2" hidden="1">#REF!</definedName>
    <definedName name="aaaa" hidden="1">#REF!</definedName>
    <definedName name="ABF" localSheetId="16" hidden="1">#REF!</definedName>
    <definedName name="ABF" localSheetId="2" hidden="1">#REF!</definedName>
    <definedName name="ABF" hidden="1">#REF!</definedName>
    <definedName name="AccessDatabase" hidden="1">"C:\My Documents\New MMR\INPUT.mdb"</definedName>
    <definedName name="ACCV" localSheetId="16" hidden="1">#REF!</definedName>
    <definedName name="ACCV" localSheetId="2" hidden="1">#REF!</definedName>
    <definedName name="ACCV" hidden="1">#REF!</definedName>
    <definedName name="ADSF" localSheetId="16" hidden="1">#REF!</definedName>
    <definedName name="ADSF" localSheetId="2" hidden="1">#REF!</definedName>
    <definedName name="ADSF" hidden="1">#REF!</definedName>
    <definedName name="afdgbva" localSheetId="12" hidden="1">{#N/A,#N/A,TRUE,"Report"}</definedName>
    <definedName name="afdgbva" localSheetId="13" hidden="1">{#N/A,#N/A,TRUE,"Report"}</definedName>
    <definedName name="afdgbva" localSheetId="14" hidden="1">{#N/A,#N/A,TRUE,"Report"}</definedName>
    <definedName name="afdgbva" localSheetId="15" hidden="1">{#N/A,#N/A,TRUE,"Report"}</definedName>
    <definedName name="afdgbva" localSheetId="4" hidden="1">{#N/A,#N/A,TRUE,"Report"}</definedName>
    <definedName name="afdgbva" localSheetId="5" hidden="1">{#N/A,#N/A,TRUE,"Report"}</definedName>
    <definedName name="afdgbva" localSheetId="6" hidden="1">{#N/A,#N/A,TRUE,"Report"}</definedName>
    <definedName name="afdgbva" localSheetId="7" hidden="1">{#N/A,#N/A,TRUE,"Report"}</definedName>
    <definedName name="afdgbva" localSheetId="8" hidden="1">{#N/A,#N/A,TRUE,"Report"}</definedName>
    <definedName name="afdgbva" localSheetId="9" hidden="1">{#N/A,#N/A,TRUE,"Report"}</definedName>
    <definedName name="afdgbva" localSheetId="10" hidden="1">{#N/A,#N/A,TRUE,"Report"}</definedName>
    <definedName name="afdgbva" localSheetId="11" hidden="1">{#N/A,#N/A,TRUE,"Report"}</definedName>
    <definedName name="afdgbva" localSheetId="1" hidden="1">{#N/A,#N/A,TRUE,"Report"}</definedName>
    <definedName name="afdgbva" localSheetId="16" hidden="1">{#N/A,#N/A,TRUE,"Report"}</definedName>
    <definedName name="afdgbva" localSheetId="2" hidden="1">{#N/A,#N/A,TRUE,"Report"}</definedName>
    <definedName name="afdgbva" hidden="1">{#N/A,#N/A,TRUE,"Report"}</definedName>
    <definedName name="aga" localSheetId="12" hidden="1">{#N/A,#N/A,TRUE,"Report"}</definedName>
    <definedName name="aga" localSheetId="13" hidden="1">{#N/A,#N/A,TRUE,"Report"}</definedName>
    <definedName name="aga" localSheetId="14" hidden="1">{#N/A,#N/A,TRUE,"Report"}</definedName>
    <definedName name="aga" localSheetId="15" hidden="1">{#N/A,#N/A,TRUE,"Report"}</definedName>
    <definedName name="aga" localSheetId="4" hidden="1">{#N/A,#N/A,TRUE,"Report"}</definedName>
    <definedName name="aga" localSheetId="5" hidden="1">{#N/A,#N/A,TRUE,"Report"}</definedName>
    <definedName name="aga" localSheetId="6" hidden="1">{#N/A,#N/A,TRUE,"Report"}</definedName>
    <definedName name="aga" localSheetId="7" hidden="1">{#N/A,#N/A,TRUE,"Report"}</definedName>
    <definedName name="aga" localSheetId="8" hidden="1">{#N/A,#N/A,TRUE,"Report"}</definedName>
    <definedName name="aga" localSheetId="9" hidden="1">{#N/A,#N/A,TRUE,"Report"}</definedName>
    <definedName name="aga" localSheetId="10" hidden="1">{#N/A,#N/A,TRUE,"Report"}</definedName>
    <definedName name="aga" localSheetId="11" hidden="1">{#N/A,#N/A,TRUE,"Report"}</definedName>
    <definedName name="aga" localSheetId="1" hidden="1">{#N/A,#N/A,TRUE,"Report"}</definedName>
    <definedName name="aga" localSheetId="16" hidden="1">{#N/A,#N/A,TRUE,"Report"}</definedName>
    <definedName name="aga" localSheetId="2" hidden="1">{#N/A,#N/A,TRUE,"Report"}</definedName>
    <definedName name="aga" hidden="1">{#N/A,#N/A,TRUE,"Report"}</definedName>
    <definedName name="AGHFD" localSheetId="16" hidden="1">#REF!</definedName>
    <definedName name="AGHFD" localSheetId="2" hidden="1">#REF!</definedName>
    <definedName name="AGHFD" hidden="1">#REF!</definedName>
    <definedName name="ALMUERZO">'[5]Resumen Preparaciones'!$C$52:$C$113</definedName>
    <definedName name="almuerzocena">'[5]Resumen Preparaciones'!$C$52:$C$141</definedName>
    <definedName name="año1" localSheetId="10">[2]CONFIGURACIÓN!$F$9</definedName>
    <definedName name="año1" localSheetId="16">[3]CONFIGURACIÓN!$F$9</definedName>
    <definedName name="año1">[4]CONFIGURACIÓN!$F$9</definedName>
    <definedName name="APLICA" localSheetId="16">ENCUESTA!$BA$11:$BA$13</definedName>
    <definedName name="APLICA">#REF!</definedName>
    <definedName name="APLICA." localSheetId="16">ENCUESTA!$BB$11:$BB$13</definedName>
    <definedName name="APLICA.">#REF!</definedName>
    <definedName name="_xlnm.Print_Area" localSheetId="16">ENCUESTA!$B$2:$AP$24</definedName>
    <definedName name="ATGHH" localSheetId="16" hidden="1">#REF!</definedName>
    <definedName name="ATGHH" localSheetId="2" hidden="1">#REF!</definedName>
    <definedName name="ATGHH" hidden="1">#REF!</definedName>
    <definedName name="AVBC" localSheetId="16" hidden="1">#REF!</definedName>
    <definedName name="AVBC" localSheetId="2" hidden="1">#REF!</definedName>
    <definedName name="AVBC" hidden="1">#REF!</definedName>
    <definedName name="AXCC" localSheetId="16" hidden="1">#REF!</definedName>
    <definedName name="AXCC" localSheetId="2" hidden="1">#REF!</definedName>
    <definedName name="AXCC" hidden="1">#REF!</definedName>
    <definedName name="AXX" localSheetId="16" hidden="1">#REF!</definedName>
    <definedName name="AXX" localSheetId="2" hidden="1">#REF!</definedName>
    <definedName name="AXX" hidden="1">#REF!</definedName>
    <definedName name="Aグラフ" localSheetId="16" hidden="1">#REF!</definedName>
    <definedName name="Aグラフ" localSheetId="2" hidden="1">#REF!</definedName>
    <definedName name="Aグラフ" hidden="1">#REF!</definedName>
    <definedName name="badb" localSheetId="12" hidden="1">{"MG-2002-F1",#N/A,FALSE,"PPU-Telemig";"MG-2002-F2",#N/A,FALSE,"PPU-Telemig";"MG-2002-F3",#N/A,FALSE,"PPU-Telemig";"MG-2002-F4",#N/A,FALSE,"PPU-Telemig";"MG-2003-F1",#N/A,FALSE,"PPU-Telemig";"MG-2004-F1",#N/A,FALSE,"PPU-Telemig"}</definedName>
    <definedName name="badb" localSheetId="13" hidden="1">{"MG-2002-F1",#N/A,FALSE,"PPU-Telemig";"MG-2002-F2",#N/A,FALSE,"PPU-Telemig";"MG-2002-F3",#N/A,FALSE,"PPU-Telemig";"MG-2002-F4",#N/A,FALSE,"PPU-Telemig";"MG-2003-F1",#N/A,FALSE,"PPU-Telemig";"MG-2004-F1",#N/A,FALSE,"PPU-Telemig"}</definedName>
    <definedName name="badb" localSheetId="14" hidden="1">{"MG-2002-F1",#N/A,FALSE,"PPU-Telemig";"MG-2002-F2",#N/A,FALSE,"PPU-Telemig";"MG-2002-F3",#N/A,FALSE,"PPU-Telemig";"MG-2002-F4",#N/A,FALSE,"PPU-Telemig";"MG-2003-F1",#N/A,FALSE,"PPU-Telemig";"MG-2004-F1",#N/A,FALSE,"PPU-Telemig"}</definedName>
    <definedName name="badb" localSheetId="15" hidden="1">{"MG-2002-F1",#N/A,FALSE,"PPU-Telemig";"MG-2002-F2",#N/A,FALSE,"PPU-Telemig";"MG-2002-F3",#N/A,FALSE,"PPU-Telemig";"MG-2002-F4",#N/A,FALSE,"PPU-Telemig";"MG-2003-F1",#N/A,FALSE,"PPU-Telemig";"MG-2004-F1",#N/A,FALSE,"PPU-Telemig"}</definedName>
    <definedName name="badb" localSheetId="4" hidden="1">{"MG-2002-F1",#N/A,FALSE,"PPU-Telemig";"MG-2002-F2",#N/A,FALSE,"PPU-Telemig";"MG-2002-F3",#N/A,FALSE,"PPU-Telemig";"MG-2002-F4",#N/A,FALSE,"PPU-Telemig";"MG-2003-F1",#N/A,FALSE,"PPU-Telemig";"MG-2004-F1",#N/A,FALSE,"PPU-Telemig"}</definedName>
    <definedName name="badb" localSheetId="5" hidden="1">{"MG-2002-F1",#N/A,FALSE,"PPU-Telemig";"MG-2002-F2",#N/A,FALSE,"PPU-Telemig";"MG-2002-F3",#N/A,FALSE,"PPU-Telemig";"MG-2002-F4",#N/A,FALSE,"PPU-Telemig";"MG-2003-F1",#N/A,FALSE,"PPU-Telemig";"MG-2004-F1",#N/A,FALSE,"PPU-Telemig"}</definedName>
    <definedName name="badb" localSheetId="6" hidden="1">{"MG-2002-F1",#N/A,FALSE,"PPU-Telemig";"MG-2002-F2",#N/A,FALSE,"PPU-Telemig";"MG-2002-F3",#N/A,FALSE,"PPU-Telemig";"MG-2002-F4",#N/A,FALSE,"PPU-Telemig";"MG-2003-F1",#N/A,FALSE,"PPU-Telemig";"MG-2004-F1",#N/A,FALSE,"PPU-Telemig"}</definedName>
    <definedName name="badb" localSheetId="7" hidden="1">{"MG-2002-F1",#N/A,FALSE,"PPU-Telemig";"MG-2002-F2",#N/A,FALSE,"PPU-Telemig";"MG-2002-F3",#N/A,FALSE,"PPU-Telemig";"MG-2002-F4",#N/A,FALSE,"PPU-Telemig";"MG-2003-F1",#N/A,FALSE,"PPU-Telemig";"MG-2004-F1",#N/A,FALSE,"PPU-Telemig"}</definedName>
    <definedName name="badb" localSheetId="8" hidden="1">{"MG-2002-F1",#N/A,FALSE,"PPU-Telemig";"MG-2002-F2",#N/A,FALSE,"PPU-Telemig";"MG-2002-F3",#N/A,FALSE,"PPU-Telemig";"MG-2002-F4",#N/A,FALSE,"PPU-Telemig";"MG-2003-F1",#N/A,FALSE,"PPU-Telemig";"MG-2004-F1",#N/A,FALSE,"PPU-Telemig"}</definedName>
    <definedName name="badb" localSheetId="9" hidden="1">{"MG-2002-F1",#N/A,FALSE,"PPU-Telemig";"MG-2002-F2",#N/A,FALSE,"PPU-Telemig";"MG-2002-F3",#N/A,FALSE,"PPU-Telemig";"MG-2002-F4",#N/A,FALSE,"PPU-Telemig";"MG-2003-F1",#N/A,FALSE,"PPU-Telemig";"MG-2004-F1",#N/A,FALSE,"PPU-Telemig"}</definedName>
    <definedName name="badb" localSheetId="10" hidden="1">{"MG-2002-F1",#N/A,FALSE,"PPU-Telemig";"MG-2002-F2",#N/A,FALSE,"PPU-Telemig";"MG-2002-F3",#N/A,FALSE,"PPU-Telemig";"MG-2002-F4",#N/A,FALSE,"PPU-Telemig";"MG-2003-F1",#N/A,FALSE,"PPU-Telemig";"MG-2004-F1",#N/A,FALSE,"PPU-Telemig"}</definedName>
    <definedName name="badb" localSheetId="11" hidden="1">{"MG-2002-F1",#N/A,FALSE,"PPU-Telemig";"MG-2002-F2",#N/A,FALSE,"PPU-Telemig";"MG-2002-F3",#N/A,FALSE,"PPU-Telemig";"MG-2002-F4",#N/A,FALSE,"PPU-Telemig";"MG-2003-F1",#N/A,FALSE,"PPU-Telemig";"MG-2004-F1",#N/A,FALSE,"PPU-Telemig"}</definedName>
    <definedName name="badb" localSheetId="1" hidden="1">{"MG-2002-F1",#N/A,FALSE,"PPU-Telemig";"MG-2002-F2",#N/A,FALSE,"PPU-Telemig";"MG-2002-F3",#N/A,FALSE,"PPU-Telemig";"MG-2002-F4",#N/A,FALSE,"PPU-Telemig";"MG-2003-F1",#N/A,FALSE,"PPU-Telemig";"MG-2004-F1",#N/A,FALSE,"PPU-Telemig"}</definedName>
    <definedName name="badb" localSheetId="16" hidden="1">{"MG-2002-F1",#N/A,FALSE,"PPU-Telemig";"MG-2002-F2",#N/A,FALSE,"PPU-Telemig";"MG-2002-F3",#N/A,FALSE,"PPU-Telemig";"MG-2002-F4",#N/A,FALSE,"PPU-Telemig";"MG-2003-F1",#N/A,FALSE,"PPU-Telemig";"MG-2004-F1",#N/A,FALSE,"PPU-Telemig"}</definedName>
    <definedName name="badb" localSheetId="2" hidden="1">{"MG-2002-F1",#N/A,FALSE,"PPU-Telemig";"MG-2002-F2",#N/A,FALSE,"PPU-Telemig";"MG-2002-F3",#N/A,FALSE,"PPU-Telemig";"MG-2002-F4",#N/A,FALSE,"PPU-Telemig";"MG-2003-F1",#N/A,FALSE,"PPU-Telemig";"MG-2004-F1",#N/A,FALSE,"PPU-Telemig"}</definedName>
    <definedName name="badb" hidden="1">{"MG-2002-F1",#N/A,FALSE,"PPU-Telemig";"MG-2002-F2",#N/A,FALSE,"PPU-Telemig";"MG-2002-F3",#N/A,FALSE,"PPU-Telemig";"MG-2002-F4",#N/A,FALSE,"PPU-Telemig";"MG-2003-F1",#N/A,FALSE,"PPU-Telemig";"MG-2004-F1",#N/A,FALSE,"PPU-Telemig"}</definedName>
    <definedName name="bbb">[6]lista!$A$11:$A$13</definedName>
    <definedName name="bn" localSheetId="12" hidden="1">{"'内訳表'!$B$2:$N$64"}</definedName>
    <definedName name="bn" localSheetId="13" hidden="1">{"'内訳表'!$B$2:$N$64"}</definedName>
    <definedName name="bn" localSheetId="14" hidden="1">{"'内訳表'!$B$2:$N$64"}</definedName>
    <definedName name="bn" localSheetId="15" hidden="1">{"'内訳表'!$B$2:$N$64"}</definedName>
    <definedName name="bn" localSheetId="4" hidden="1">{"'内訳表'!$B$2:$N$64"}</definedName>
    <definedName name="bn" localSheetId="5" hidden="1">{"'内訳表'!$B$2:$N$64"}</definedName>
    <definedName name="bn" localSheetId="6" hidden="1">{"'内訳表'!$B$2:$N$64"}</definedName>
    <definedName name="bn" localSheetId="7" hidden="1">{"'内訳表'!$B$2:$N$64"}</definedName>
    <definedName name="bn" localSheetId="8" hidden="1">{"'内訳表'!$B$2:$N$64"}</definedName>
    <definedName name="bn" localSheetId="9" hidden="1">{"'内訳表'!$B$2:$N$64"}</definedName>
    <definedName name="bn" localSheetId="10" hidden="1">{"'内訳表'!$B$2:$N$64"}</definedName>
    <definedName name="bn" localSheetId="11" hidden="1">{"'内訳表'!$B$2:$N$64"}</definedName>
    <definedName name="bn" localSheetId="1" hidden="1">{"'内訳表'!$B$2:$N$64"}</definedName>
    <definedName name="bn" localSheetId="16" hidden="1">{"'内訳表'!$B$2:$N$64"}</definedName>
    <definedName name="bn" localSheetId="2" hidden="1">{"'内訳表'!$B$2:$N$64"}</definedName>
    <definedName name="bn" hidden="1">{"'内訳表'!$B$2:$N$64"}</definedName>
    <definedName name="Ｂグラフ" localSheetId="16" hidden="1">#REF!</definedName>
    <definedName name="Ｂグラフ" localSheetId="2" hidden="1">#REF!</definedName>
    <definedName name="Ｂグラフ" hidden="1">#REF!</definedName>
    <definedName name="CALENDARIO" localSheetId="10">[2]CALENDARIO!$B$6:$H$161</definedName>
    <definedName name="CALENDARIO" localSheetId="16">[3]CALENDARIO!$B$6:$H$161</definedName>
    <definedName name="CALENDARIO">[4]CALENDARIO!$B$6:$H$161</definedName>
    <definedName name="Calidad">[7]PERSONAL!$P$58</definedName>
    <definedName name="Campamento">[7]PERSONAL!$P$122</definedName>
    <definedName name="Comercio" localSheetId="16">[8]OCULTAR!$F$14:$G$17</definedName>
    <definedName name="Comercio">OCULTAR!$F$14:$G$17</definedName>
    <definedName name="Ｃグラフ" localSheetId="16" hidden="1">#REF!</definedName>
    <definedName name="Ｃグラフ" localSheetId="2" hidden="1">#REF!</definedName>
    <definedName name="Ｃグラフ" hidden="1">#REF!</definedName>
    <definedName name="dasd" localSheetId="16" hidden="1">#REF!</definedName>
    <definedName name="dasd" localSheetId="2" hidden="1">#REF!</definedName>
    <definedName name="dasd" hidden="1">#REF!</definedName>
    <definedName name="Decision" localSheetId="3">[6]lista!$A$6:$A$7</definedName>
    <definedName name="Decision" localSheetId="12">[6]lista!$A$6:$A$7</definedName>
    <definedName name="Decision" localSheetId="13">[6]lista!$A$6:$A$7</definedName>
    <definedName name="Decision" localSheetId="14">[6]lista!$A$6:$A$7</definedName>
    <definedName name="Decision" localSheetId="15">[6]lista!$A$6:$A$7</definedName>
    <definedName name="Decision" localSheetId="4">[6]lista!$A$6:$A$7</definedName>
    <definedName name="Decision" localSheetId="5">[6]lista!$A$6:$A$7</definedName>
    <definedName name="Decision" localSheetId="6">[6]lista!$A$6:$A$7</definedName>
    <definedName name="Decision" localSheetId="7">[6]lista!$A$6:$A$7</definedName>
    <definedName name="Decision" localSheetId="8">[6]lista!$A$6:$A$7</definedName>
    <definedName name="Decision" localSheetId="9">[6]lista!$A$6:$A$7</definedName>
    <definedName name="Decision" localSheetId="10">[6]lista!$A$6:$A$7</definedName>
    <definedName name="Decision" localSheetId="11">[6]lista!$A$6:$A$7</definedName>
    <definedName name="Decision" localSheetId="1">[6]lista!$A$6:$A$7</definedName>
    <definedName name="Decision" localSheetId="16">[6]lista!$A$6:$A$7</definedName>
    <definedName name="Decision" localSheetId="2">[6]lista!$A$6:$A$7</definedName>
    <definedName name="Decision">[6]lista!$A$6:$A$7</definedName>
    <definedName name="dependencia">'[9]Datos Inciales'!$B$5:$B$30</definedName>
    <definedName name="desayuno">'[5]Resumen Preparaciones'!$C$5:$C$50</definedName>
    <definedName name="DESAYUNOS">'[5]Resumen Preparaciones'!$C$5:$C$33</definedName>
    <definedName name="DFG" localSheetId="12" hidden="1">#REF!</definedName>
    <definedName name="DFG" localSheetId="13" hidden="1">#REF!</definedName>
    <definedName name="DFG" localSheetId="14" hidden="1">#REF!</definedName>
    <definedName name="DFG" localSheetId="15" hidden="1">#REF!</definedName>
    <definedName name="DFG" localSheetId="4" hidden="1">#REF!</definedName>
    <definedName name="DFG" localSheetId="5" hidden="1">#REF!</definedName>
    <definedName name="DFG" localSheetId="6" hidden="1">#REF!</definedName>
    <definedName name="DFG" localSheetId="7" hidden="1">#REF!</definedName>
    <definedName name="DFG" localSheetId="8" hidden="1">#REF!</definedName>
    <definedName name="DFG" localSheetId="9" hidden="1">#REF!</definedName>
    <definedName name="DFG" localSheetId="10" hidden="1">#REF!</definedName>
    <definedName name="DFG" localSheetId="11" hidden="1">#REF!</definedName>
    <definedName name="DFG" localSheetId="16" hidden="1">#REF!</definedName>
    <definedName name="DFG" localSheetId="2" hidden="1">#REF!</definedName>
    <definedName name="DFG" hidden="1">#REF!</definedName>
    <definedName name="dfgd56" localSheetId="12" hidden="1">{0,#N/A,FALSE,0;0,#N/A,FALSE,0;0,#N/A,FALSE,0;0,#N/A,FALSE,0;0,#N/A,FALSE,0;0,#N/A,FALSE,0}</definedName>
    <definedName name="dfgd56" localSheetId="13" hidden="1">{0,#N/A,FALSE,0;0,#N/A,FALSE,0;0,#N/A,FALSE,0;0,#N/A,FALSE,0;0,#N/A,FALSE,0;0,#N/A,FALSE,0}</definedName>
    <definedName name="dfgd56" localSheetId="14" hidden="1">{0,#N/A,FALSE,0;0,#N/A,FALSE,0;0,#N/A,FALSE,0;0,#N/A,FALSE,0;0,#N/A,FALSE,0;0,#N/A,FALSE,0}</definedName>
    <definedName name="dfgd56" localSheetId="15" hidden="1">{0,#N/A,FALSE,0;0,#N/A,FALSE,0;0,#N/A,FALSE,0;0,#N/A,FALSE,0;0,#N/A,FALSE,0;0,#N/A,FALSE,0}</definedName>
    <definedName name="dfgd56" localSheetId="4" hidden="1">{0,#N/A,FALSE,0;0,#N/A,FALSE,0;0,#N/A,FALSE,0;0,#N/A,FALSE,0;0,#N/A,FALSE,0;0,#N/A,FALSE,0}</definedName>
    <definedName name="dfgd56" localSheetId="5" hidden="1">{0,#N/A,FALSE,0;0,#N/A,FALSE,0;0,#N/A,FALSE,0;0,#N/A,FALSE,0;0,#N/A,FALSE,0;0,#N/A,FALSE,0}</definedName>
    <definedName name="dfgd56" localSheetId="6" hidden="1">{0,#N/A,FALSE,0;0,#N/A,FALSE,0;0,#N/A,FALSE,0;0,#N/A,FALSE,0;0,#N/A,FALSE,0;0,#N/A,FALSE,0}</definedName>
    <definedName name="dfgd56" localSheetId="7" hidden="1">{0,#N/A,FALSE,0;0,#N/A,FALSE,0;0,#N/A,FALSE,0;0,#N/A,FALSE,0;0,#N/A,FALSE,0;0,#N/A,FALSE,0}</definedName>
    <definedName name="dfgd56" localSheetId="8" hidden="1">{0,#N/A,FALSE,0;0,#N/A,FALSE,0;0,#N/A,FALSE,0;0,#N/A,FALSE,0;0,#N/A,FALSE,0;0,#N/A,FALSE,0}</definedName>
    <definedName name="dfgd56" localSheetId="9" hidden="1">{0,#N/A,FALSE,0;0,#N/A,FALSE,0;0,#N/A,FALSE,0;0,#N/A,FALSE,0;0,#N/A,FALSE,0;0,#N/A,FALSE,0}</definedName>
    <definedName name="dfgd56" localSheetId="10" hidden="1">{0,#N/A,FALSE,0;0,#N/A,FALSE,0;0,#N/A,FALSE,0;0,#N/A,FALSE,0;0,#N/A,FALSE,0;0,#N/A,FALSE,0}</definedName>
    <definedName name="dfgd56" localSheetId="11" hidden="1">{0,#N/A,FALSE,0;0,#N/A,FALSE,0;0,#N/A,FALSE,0;0,#N/A,FALSE,0;0,#N/A,FALSE,0;0,#N/A,FALSE,0}</definedName>
    <definedName name="dfgd56" localSheetId="1" hidden="1">{0,#N/A,FALSE,0;0,#N/A,FALSE,0;0,#N/A,FALSE,0;0,#N/A,FALSE,0;0,#N/A,FALSE,0;0,#N/A,FALSE,0}</definedName>
    <definedName name="dfgd56" localSheetId="16" hidden="1">{0,#N/A,FALSE,0;0,#N/A,FALSE,0;0,#N/A,FALSE,0;0,#N/A,FALSE,0;0,#N/A,FALSE,0;0,#N/A,FALSE,0}</definedName>
    <definedName name="dfgd56" localSheetId="2" hidden="1">{0,#N/A,FALSE,0;0,#N/A,FALSE,0;0,#N/A,FALSE,0;0,#N/A,FALSE,0;0,#N/A,FALSE,0;0,#N/A,FALSE,0}</definedName>
    <definedName name="dfgd56" hidden="1">{0,#N/A,FALSE,0;0,#N/A,FALSE,0;0,#N/A,FALSE,0;0,#N/A,FALSE,0;0,#N/A,FALSE,0;0,#N/A,FALSE,0}</definedName>
    <definedName name="DFGH" localSheetId="16" hidden="1">#REF!</definedName>
    <definedName name="DFGH" localSheetId="2" hidden="1">#REF!</definedName>
    <definedName name="DFGH" hidden="1">#REF!</definedName>
    <definedName name="DFSG" localSheetId="16" hidden="1">#REF!</definedName>
    <definedName name="DFSG" localSheetId="2" hidden="1">#REF!</definedName>
    <definedName name="DFSG" hidden="1">#REF!</definedName>
    <definedName name="dgb" localSheetId="12" hidden="1">{"'内訳表'!$B$2:$N$64"}</definedName>
    <definedName name="dgb" localSheetId="13" hidden="1">{"'内訳表'!$B$2:$N$64"}</definedName>
    <definedName name="dgb" localSheetId="14" hidden="1">{"'内訳表'!$B$2:$N$64"}</definedName>
    <definedName name="dgb" localSheetId="15" hidden="1">{"'内訳表'!$B$2:$N$64"}</definedName>
    <definedName name="dgb" localSheetId="4" hidden="1">{"'内訳表'!$B$2:$N$64"}</definedName>
    <definedName name="dgb" localSheetId="5" hidden="1">{"'内訳表'!$B$2:$N$64"}</definedName>
    <definedName name="dgb" localSheetId="6" hidden="1">{"'内訳表'!$B$2:$N$64"}</definedName>
    <definedName name="dgb" localSheetId="7" hidden="1">{"'内訳表'!$B$2:$N$64"}</definedName>
    <definedName name="dgb" localSheetId="8" hidden="1">{"'内訳表'!$B$2:$N$64"}</definedName>
    <definedName name="dgb" localSheetId="9" hidden="1">{"'内訳表'!$B$2:$N$64"}</definedName>
    <definedName name="dgb" localSheetId="10" hidden="1">{"'内訳表'!$B$2:$N$64"}</definedName>
    <definedName name="dgb" localSheetId="11" hidden="1">{"'内訳表'!$B$2:$N$64"}</definedName>
    <definedName name="dgb" localSheetId="1" hidden="1">{"'内訳表'!$B$2:$N$64"}</definedName>
    <definedName name="dgb" localSheetId="16" hidden="1">{"'内訳表'!$B$2:$N$64"}</definedName>
    <definedName name="dgb" localSheetId="2" hidden="1">{"'内訳表'!$B$2:$N$64"}</definedName>
    <definedName name="dgb" hidden="1">{"'内訳表'!$B$2:$N$64"}</definedName>
    <definedName name="dhb" localSheetId="12" hidden="1">{"'内訳表'!$B$2:$N$64"}</definedName>
    <definedName name="dhb" localSheetId="13" hidden="1">{"'内訳表'!$B$2:$N$64"}</definedName>
    <definedName name="dhb" localSheetId="14" hidden="1">{"'内訳表'!$B$2:$N$64"}</definedName>
    <definedName name="dhb" localSheetId="15" hidden="1">{"'内訳表'!$B$2:$N$64"}</definedName>
    <definedName name="dhb" localSheetId="4" hidden="1">{"'内訳表'!$B$2:$N$64"}</definedName>
    <definedName name="dhb" localSheetId="5" hidden="1">{"'内訳表'!$B$2:$N$64"}</definedName>
    <definedName name="dhb" localSheetId="6" hidden="1">{"'内訳表'!$B$2:$N$64"}</definedName>
    <definedName name="dhb" localSheetId="7" hidden="1">{"'内訳表'!$B$2:$N$64"}</definedName>
    <definedName name="dhb" localSheetId="8" hidden="1">{"'内訳表'!$B$2:$N$64"}</definedName>
    <definedName name="dhb" localSheetId="9" hidden="1">{"'内訳表'!$B$2:$N$64"}</definedName>
    <definedName name="dhb" localSheetId="10" hidden="1">{"'内訳表'!$B$2:$N$64"}</definedName>
    <definedName name="dhb" localSheetId="11" hidden="1">{"'内訳表'!$B$2:$N$64"}</definedName>
    <definedName name="dhb" localSheetId="1" hidden="1">{"'内訳表'!$B$2:$N$64"}</definedName>
    <definedName name="dhb" localSheetId="16" hidden="1">{"'内訳表'!$B$2:$N$64"}</definedName>
    <definedName name="dhb" localSheetId="2" hidden="1">{"'内訳表'!$B$2:$N$64"}</definedName>
    <definedName name="dhb" hidden="1">{"'内訳表'!$B$2:$N$64"}</definedName>
    <definedName name="dszgre" localSheetId="12" hidden="1">{"MG-2002-F1",#N/A,FALSE,"PPU-Telemig";"MG-2002-F2",#N/A,FALSE,"PPU-Telemig";"MG-2002-F3",#N/A,FALSE,"PPU-Telemig";"MG-2002-F4",#N/A,FALSE,"PPU-Telemig";"MG-2003-F1",#N/A,FALSE,"PPU-Telemig";"MG-2004-F1",#N/A,FALSE,"PPU-Telemig"}</definedName>
    <definedName name="dszgre" localSheetId="13" hidden="1">{"MG-2002-F1",#N/A,FALSE,"PPU-Telemig";"MG-2002-F2",#N/A,FALSE,"PPU-Telemig";"MG-2002-F3",#N/A,FALSE,"PPU-Telemig";"MG-2002-F4",#N/A,FALSE,"PPU-Telemig";"MG-2003-F1",#N/A,FALSE,"PPU-Telemig";"MG-2004-F1",#N/A,FALSE,"PPU-Telemig"}</definedName>
    <definedName name="dszgre" localSheetId="14" hidden="1">{"MG-2002-F1",#N/A,FALSE,"PPU-Telemig";"MG-2002-F2",#N/A,FALSE,"PPU-Telemig";"MG-2002-F3",#N/A,FALSE,"PPU-Telemig";"MG-2002-F4",#N/A,FALSE,"PPU-Telemig";"MG-2003-F1",#N/A,FALSE,"PPU-Telemig";"MG-2004-F1",#N/A,FALSE,"PPU-Telemig"}</definedName>
    <definedName name="dszgre" localSheetId="15" hidden="1">{"MG-2002-F1",#N/A,FALSE,"PPU-Telemig";"MG-2002-F2",#N/A,FALSE,"PPU-Telemig";"MG-2002-F3",#N/A,FALSE,"PPU-Telemig";"MG-2002-F4",#N/A,FALSE,"PPU-Telemig";"MG-2003-F1",#N/A,FALSE,"PPU-Telemig";"MG-2004-F1",#N/A,FALSE,"PPU-Telemig"}</definedName>
    <definedName name="dszgre" localSheetId="4" hidden="1">{"MG-2002-F1",#N/A,FALSE,"PPU-Telemig";"MG-2002-F2",#N/A,FALSE,"PPU-Telemig";"MG-2002-F3",#N/A,FALSE,"PPU-Telemig";"MG-2002-F4",#N/A,FALSE,"PPU-Telemig";"MG-2003-F1",#N/A,FALSE,"PPU-Telemig";"MG-2004-F1",#N/A,FALSE,"PPU-Telemig"}</definedName>
    <definedName name="dszgre" localSheetId="5" hidden="1">{"MG-2002-F1",#N/A,FALSE,"PPU-Telemig";"MG-2002-F2",#N/A,FALSE,"PPU-Telemig";"MG-2002-F3",#N/A,FALSE,"PPU-Telemig";"MG-2002-F4",#N/A,FALSE,"PPU-Telemig";"MG-2003-F1",#N/A,FALSE,"PPU-Telemig";"MG-2004-F1",#N/A,FALSE,"PPU-Telemig"}</definedName>
    <definedName name="dszgre" localSheetId="6" hidden="1">{"MG-2002-F1",#N/A,FALSE,"PPU-Telemig";"MG-2002-F2",#N/A,FALSE,"PPU-Telemig";"MG-2002-F3",#N/A,FALSE,"PPU-Telemig";"MG-2002-F4",#N/A,FALSE,"PPU-Telemig";"MG-2003-F1",#N/A,FALSE,"PPU-Telemig";"MG-2004-F1",#N/A,FALSE,"PPU-Telemig"}</definedName>
    <definedName name="dszgre" localSheetId="7" hidden="1">{"MG-2002-F1",#N/A,FALSE,"PPU-Telemig";"MG-2002-F2",#N/A,FALSE,"PPU-Telemig";"MG-2002-F3",#N/A,FALSE,"PPU-Telemig";"MG-2002-F4",#N/A,FALSE,"PPU-Telemig";"MG-2003-F1",#N/A,FALSE,"PPU-Telemig";"MG-2004-F1",#N/A,FALSE,"PPU-Telemig"}</definedName>
    <definedName name="dszgre" localSheetId="8" hidden="1">{"MG-2002-F1",#N/A,FALSE,"PPU-Telemig";"MG-2002-F2",#N/A,FALSE,"PPU-Telemig";"MG-2002-F3",#N/A,FALSE,"PPU-Telemig";"MG-2002-F4",#N/A,FALSE,"PPU-Telemig";"MG-2003-F1",#N/A,FALSE,"PPU-Telemig";"MG-2004-F1",#N/A,FALSE,"PPU-Telemig"}</definedName>
    <definedName name="dszgre" localSheetId="9" hidden="1">{"MG-2002-F1",#N/A,FALSE,"PPU-Telemig";"MG-2002-F2",#N/A,FALSE,"PPU-Telemig";"MG-2002-F3",#N/A,FALSE,"PPU-Telemig";"MG-2002-F4",#N/A,FALSE,"PPU-Telemig";"MG-2003-F1",#N/A,FALSE,"PPU-Telemig";"MG-2004-F1",#N/A,FALSE,"PPU-Telemig"}</definedName>
    <definedName name="dszgre" localSheetId="10" hidden="1">{"MG-2002-F1",#N/A,FALSE,"PPU-Telemig";"MG-2002-F2",#N/A,FALSE,"PPU-Telemig";"MG-2002-F3",#N/A,FALSE,"PPU-Telemig";"MG-2002-F4",#N/A,FALSE,"PPU-Telemig";"MG-2003-F1",#N/A,FALSE,"PPU-Telemig";"MG-2004-F1",#N/A,FALSE,"PPU-Telemig"}</definedName>
    <definedName name="dszgre" localSheetId="11" hidden="1">{"MG-2002-F1",#N/A,FALSE,"PPU-Telemig";"MG-2002-F2",#N/A,FALSE,"PPU-Telemig";"MG-2002-F3",#N/A,FALSE,"PPU-Telemig";"MG-2002-F4",#N/A,FALSE,"PPU-Telemig";"MG-2003-F1",#N/A,FALSE,"PPU-Telemig";"MG-2004-F1",#N/A,FALSE,"PPU-Telemig"}</definedName>
    <definedName name="dszgre" localSheetId="1" hidden="1">{"MG-2002-F1",#N/A,FALSE,"PPU-Telemig";"MG-2002-F2",#N/A,FALSE,"PPU-Telemig";"MG-2002-F3",#N/A,FALSE,"PPU-Telemig";"MG-2002-F4",#N/A,FALSE,"PPU-Telemig";"MG-2003-F1",#N/A,FALSE,"PPU-Telemig";"MG-2004-F1",#N/A,FALSE,"PPU-Telemig"}</definedName>
    <definedName name="dszgre" localSheetId="16" hidden="1">{"MG-2002-F1",#N/A,FALSE,"PPU-Telemig";"MG-2002-F2",#N/A,FALSE,"PPU-Telemig";"MG-2002-F3",#N/A,FALSE,"PPU-Telemig";"MG-2002-F4",#N/A,FALSE,"PPU-Telemig";"MG-2003-F1",#N/A,FALSE,"PPU-Telemig";"MG-2004-F1",#N/A,FALSE,"PPU-Telemig"}</definedName>
    <definedName name="dszgre" localSheetId="2" hidden="1">{"MG-2002-F1",#N/A,FALSE,"PPU-Telemig";"MG-2002-F2",#N/A,FALSE,"PPU-Telemig";"MG-2002-F3",#N/A,FALSE,"PPU-Telemig";"MG-2002-F4",#N/A,FALSE,"PPU-Telemig";"MG-2003-F1",#N/A,FALSE,"PPU-Telemig";"MG-2004-F1",#N/A,FALSE,"PPU-Telemig"}</definedName>
    <definedName name="dszgre" hidden="1">{"MG-2002-F1",#N/A,FALSE,"PPU-Telemig";"MG-2002-F2",#N/A,FALSE,"PPU-Telemig";"MG-2002-F3",#N/A,FALSE,"PPU-Telemig";"MG-2002-F4",#N/A,FALSE,"PPU-Telemig";"MG-2003-F1",#N/A,FALSE,"PPU-Telemig";"MG-2004-F1",#N/A,FALSE,"PPU-Telemig"}</definedName>
    <definedName name="dxhm" localSheetId="12" hidden="1">{"MG-2002-F1",#N/A,FALSE,"PPU-Telemig";"MG-2002-F2",#N/A,FALSE,"PPU-Telemig";"MG-2002-F3",#N/A,FALSE,"PPU-Telemig";"MG-2002-F4",#N/A,FALSE,"PPU-Telemig";"MG-2003-F1",#N/A,FALSE,"PPU-Telemig";"MG-2004-F1",#N/A,FALSE,"PPU-Telemig"}</definedName>
    <definedName name="dxhm" localSheetId="13" hidden="1">{"MG-2002-F1",#N/A,FALSE,"PPU-Telemig";"MG-2002-F2",#N/A,FALSE,"PPU-Telemig";"MG-2002-F3",#N/A,FALSE,"PPU-Telemig";"MG-2002-F4",#N/A,FALSE,"PPU-Telemig";"MG-2003-F1",#N/A,FALSE,"PPU-Telemig";"MG-2004-F1",#N/A,FALSE,"PPU-Telemig"}</definedName>
    <definedName name="dxhm" localSheetId="14" hidden="1">{"MG-2002-F1",#N/A,FALSE,"PPU-Telemig";"MG-2002-F2",#N/A,FALSE,"PPU-Telemig";"MG-2002-F3",#N/A,FALSE,"PPU-Telemig";"MG-2002-F4",#N/A,FALSE,"PPU-Telemig";"MG-2003-F1",#N/A,FALSE,"PPU-Telemig";"MG-2004-F1",#N/A,FALSE,"PPU-Telemig"}</definedName>
    <definedName name="dxhm" localSheetId="15" hidden="1">{"MG-2002-F1",#N/A,FALSE,"PPU-Telemig";"MG-2002-F2",#N/A,FALSE,"PPU-Telemig";"MG-2002-F3",#N/A,FALSE,"PPU-Telemig";"MG-2002-F4",#N/A,FALSE,"PPU-Telemig";"MG-2003-F1",#N/A,FALSE,"PPU-Telemig";"MG-2004-F1",#N/A,FALSE,"PPU-Telemig"}</definedName>
    <definedName name="dxhm" localSheetId="4" hidden="1">{"MG-2002-F1",#N/A,FALSE,"PPU-Telemig";"MG-2002-F2",#N/A,FALSE,"PPU-Telemig";"MG-2002-F3",#N/A,FALSE,"PPU-Telemig";"MG-2002-F4",#N/A,FALSE,"PPU-Telemig";"MG-2003-F1",#N/A,FALSE,"PPU-Telemig";"MG-2004-F1",#N/A,FALSE,"PPU-Telemig"}</definedName>
    <definedName name="dxhm" localSheetId="5" hidden="1">{"MG-2002-F1",#N/A,FALSE,"PPU-Telemig";"MG-2002-F2",#N/A,FALSE,"PPU-Telemig";"MG-2002-F3",#N/A,FALSE,"PPU-Telemig";"MG-2002-F4",#N/A,FALSE,"PPU-Telemig";"MG-2003-F1",#N/A,FALSE,"PPU-Telemig";"MG-2004-F1",#N/A,FALSE,"PPU-Telemig"}</definedName>
    <definedName name="dxhm" localSheetId="6" hidden="1">{"MG-2002-F1",#N/A,FALSE,"PPU-Telemig";"MG-2002-F2",#N/A,FALSE,"PPU-Telemig";"MG-2002-F3",#N/A,FALSE,"PPU-Telemig";"MG-2002-F4",#N/A,FALSE,"PPU-Telemig";"MG-2003-F1",#N/A,FALSE,"PPU-Telemig";"MG-2004-F1",#N/A,FALSE,"PPU-Telemig"}</definedName>
    <definedName name="dxhm" localSheetId="7" hidden="1">{"MG-2002-F1",#N/A,FALSE,"PPU-Telemig";"MG-2002-F2",#N/A,FALSE,"PPU-Telemig";"MG-2002-F3",#N/A,FALSE,"PPU-Telemig";"MG-2002-F4",#N/A,FALSE,"PPU-Telemig";"MG-2003-F1",#N/A,FALSE,"PPU-Telemig";"MG-2004-F1",#N/A,FALSE,"PPU-Telemig"}</definedName>
    <definedName name="dxhm" localSheetId="8" hidden="1">{"MG-2002-F1",#N/A,FALSE,"PPU-Telemig";"MG-2002-F2",#N/A,FALSE,"PPU-Telemig";"MG-2002-F3",#N/A,FALSE,"PPU-Telemig";"MG-2002-F4",#N/A,FALSE,"PPU-Telemig";"MG-2003-F1",#N/A,FALSE,"PPU-Telemig";"MG-2004-F1",#N/A,FALSE,"PPU-Telemig"}</definedName>
    <definedName name="dxhm" localSheetId="9" hidden="1">{"MG-2002-F1",#N/A,FALSE,"PPU-Telemig";"MG-2002-F2",#N/A,FALSE,"PPU-Telemig";"MG-2002-F3",#N/A,FALSE,"PPU-Telemig";"MG-2002-F4",#N/A,FALSE,"PPU-Telemig";"MG-2003-F1",#N/A,FALSE,"PPU-Telemig";"MG-2004-F1",#N/A,FALSE,"PPU-Telemig"}</definedName>
    <definedName name="dxhm" localSheetId="10" hidden="1">{"MG-2002-F1",#N/A,FALSE,"PPU-Telemig";"MG-2002-F2",#N/A,FALSE,"PPU-Telemig";"MG-2002-F3",#N/A,FALSE,"PPU-Telemig";"MG-2002-F4",#N/A,FALSE,"PPU-Telemig";"MG-2003-F1",#N/A,FALSE,"PPU-Telemig";"MG-2004-F1",#N/A,FALSE,"PPU-Telemig"}</definedName>
    <definedName name="dxhm" localSheetId="11" hidden="1">{"MG-2002-F1",#N/A,FALSE,"PPU-Telemig";"MG-2002-F2",#N/A,FALSE,"PPU-Telemig";"MG-2002-F3",#N/A,FALSE,"PPU-Telemig";"MG-2002-F4",#N/A,FALSE,"PPU-Telemig";"MG-2003-F1",#N/A,FALSE,"PPU-Telemig";"MG-2004-F1",#N/A,FALSE,"PPU-Telemig"}</definedName>
    <definedName name="dxhm" localSheetId="1" hidden="1">{"MG-2002-F1",#N/A,FALSE,"PPU-Telemig";"MG-2002-F2",#N/A,FALSE,"PPU-Telemig";"MG-2002-F3",#N/A,FALSE,"PPU-Telemig";"MG-2002-F4",#N/A,FALSE,"PPU-Telemig";"MG-2003-F1",#N/A,FALSE,"PPU-Telemig";"MG-2004-F1",#N/A,FALSE,"PPU-Telemig"}</definedName>
    <definedName name="dxhm" localSheetId="16" hidden="1">{"MG-2002-F1",#N/A,FALSE,"PPU-Telemig";"MG-2002-F2",#N/A,FALSE,"PPU-Telemig";"MG-2002-F3",#N/A,FALSE,"PPU-Telemig";"MG-2002-F4",#N/A,FALSE,"PPU-Telemig";"MG-2003-F1",#N/A,FALSE,"PPU-Telemig";"MG-2004-F1",#N/A,FALSE,"PPU-Telemig"}</definedName>
    <definedName name="dxhm" localSheetId="2" hidden="1">{"MG-2002-F1",#N/A,FALSE,"PPU-Telemig";"MG-2002-F2",#N/A,FALSE,"PPU-Telemig";"MG-2002-F3",#N/A,FALSE,"PPU-Telemig";"MG-2002-F4",#N/A,FALSE,"PPU-Telemig";"MG-2003-F1",#N/A,FALSE,"PPU-Telemig";"MG-2004-F1",#N/A,FALSE,"PPU-Telemig"}</definedName>
    <definedName name="dxhm" hidden="1">{"MG-2002-F1",#N/A,FALSE,"PPU-Telemig";"MG-2002-F2",#N/A,FALSE,"PPU-Telemig";"MG-2002-F3",#N/A,FALSE,"PPU-Telemig";"MG-2002-F4",#N/A,FALSE,"PPU-Telemig";"MG-2003-F1",#N/A,FALSE,"PPU-Telemig";"MG-2004-F1",#N/A,FALSE,"PPU-Telemig"}</definedName>
    <definedName name="Ｄグラフ" localSheetId="16" hidden="1">#REF!</definedName>
    <definedName name="Ｄグラフ" localSheetId="2" hidden="1">#REF!</definedName>
    <definedName name="Ｄグラフ" hidden="1">#REF!</definedName>
    <definedName name="eagrbve" localSheetId="12" hidden="1">{"'内訳表'!$B$2:$N$64"}</definedName>
    <definedName name="eagrbve" localSheetId="13" hidden="1">{"'内訳表'!$B$2:$N$64"}</definedName>
    <definedName name="eagrbve" localSheetId="14" hidden="1">{"'内訳表'!$B$2:$N$64"}</definedName>
    <definedName name="eagrbve" localSheetId="15" hidden="1">{"'内訳表'!$B$2:$N$64"}</definedName>
    <definedName name="eagrbve" localSheetId="4" hidden="1">{"'内訳表'!$B$2:$N$64"}</definedName>
    <definedName name="eagrbve" localSheetId="5" hidden="1">{"'内訳表'!$B$2:$N$64"}</definedName>
    <definedName name="eagrbve" localSheetId="6" hidden="1">{"'内訳表'!$B$2:$N$64"}</definedName>
    <definedName name="eagrbve" localSheetId="7" hidden="1">{"'内訳表'!$B$2:$N$64"}</definedName>
    <definedName name="eagrbve" localSheetId="8" hidden="1">{"'内訳表'!$B$2:$N$64"}</definedName>
    <definedName name="eagrbve" localSheetId="9" hidden="1">{"'内訳表'!$B$2:$N$64"}</definedName>
    <definedName name="eagrbve" localSheetId="10" hidden="1">{"'内訳表'!$B$2:$N$64"}</definedName>
    <definedName name="eagrbve" localSheetId="11" hidden="1">{"'内訳表'!$B$2:$N$64"}</definedName>
    <definedName name="eagrbve" localSheetId="1" hidden="1">{"'内訳表'!$B$2:$N$64"}</definedName>
    <definedName name="eagrbve" localSheetId="16" hidden="1">{"'内訳表'!$B$2:$N$64"}</definedName>
    <definedName name="eagrbve" localSheetId="2" hidden="1">{"'内訳表'!$B$2:$N$64"}</definedName>
    <definedName name="eagrbve" hidden="1">{"'内訳表'!$B$2:$N$64"}</definedName>
    <definedName name="eargbwrg" localSheetId="12" hidden="1">{"'内訳表'!$B$2:$N$64"}</definedName>
    <definedName name="eargbwrg" localSheetId="13" hidden="1">{"'内訳表'!$B$2:$N$64"}</definedName>
    <definedName name="eargbwrg" localSheetId="14" hidden="1">{"'内訳表'!$B$2:$N$64"}</definedName>
    <definedName name="eargbwrg" localSheetId="15" hidden="1">{"'内訳表'!$B$2:$N$64"}</definedName>
    <definedName name="eargbwrg" localSheetId="4" hidden="1">{"'内訳表'!$B$2:$N$64"}</definedName>
    <definedName name="eargbwrg" localSheetId="5" hidden="1">{"'内訳表'!$B$2:$N$64"}</definedName>
    <definedName name="eargbwrg" localSheetId="6" hidden="1">{"'内訳表'!$B$2:$N$64"}</definedName>
    <definedName name="eargbwrg" localSheetId="7" hidden="1">{"'内訳表'!$B$2:$N$64"}</definedName>
    <definedName name="eargbwrg" localSheetId="8" hidden="1">{"'内訳表'!$B$2:$N$64"}</definedName>
    <definedName name="eargbwrg" localSheetId="9" hidden="1">{"'内訳表'!$B$2:$N$64"}</definedName>
    <definedName name="eargbwrg" localSheetId="10" hidden="1">{"'内訳表'!$B$2:$N$64"}</definedName>
    <definedName name="eargbwrg" localSheetId="11" hidden="1">{"'内訳表'!$B$2:$N$64"}</definedName>
    <definedName name="eargbwrg" localSheetId="1" hidden="1">{"'内訳表'!$B$2:$N$64"}</definedName>
    <definedName name="eargbwrg" localSheetId="16" hidden="1">{"'内訳表'!$B$2:$N$64"}</definedName>
    <definedName name="eargbwrg" localSheetId="2" hidden="1">{"'内訳表'!$B$2:$N$64"}</definedName>
    <definedName name="eargbwrg" hidden="1">{"'内訳表'!$B$2:$N$64"}</definedName>
    <definedName name="EE" localSheetId="12" hidden="1">{"MG-2002-F1",#N/A,FALSE,"PPU-Telemig";"MG-2002-F2",#N/A,FALSE,"PPU-Telemig";"MG-2002-F3",#N/A,FALSE,"PPU-Telemig";"MG-2002-F4",#N/A,FALSE,"PPU-Telemig";"MG-2003-F1",#N/A,FALSE,"PPU-Telemig";"MG-2004-F1",#N/A,FALSE,"PPU-Telemig"}</definedName>
    <definedName name="EE" localSheetId="13" hidden="1">{"MG-2002-F1",#N/A,FALSE,"PPU-Telemig";"MG-2002-F2",#N/A,FALSE,"PPU-Telemig";"MG-2002-F3",#N/A,FALSE,"PPU-Telemig";"MG-2002-F4",#N/A,FALSE,"PPU-Telemig";"MG-2003-F1",#N/A,FALSE,"PPU-Telemig";"MG-2004-F1",#N/A,FALSE,"PPU-Telemig"}</definedName>
    <definedName name="EE" localSheetId="14" hidden="1">{"MG-2002-F1",#N/A,FALSE,"PPU-Telemig";"MG-2002-F2",#N/A,FALSE,"PPU-Telemig";"MG-2002-F3",#N/A,FALSE,"PPU-Telemig";"MG-2002-F4",#N/A,FALSE,"PPU-Telemig";"MG-2003-F1",#N/A,FALSE,"PPU-Telemig";"MG-2004-F1",#N/A,FALSE,"PPU-Telemig"}</definedName>
    <definedName name="EE" localSheetId="15" hidden="1">{"MG-2002-F1",#N/A,FALSE,"PPU-Telemig";"MG-2002-F2",#N/A,FALSE,"PPU-Telemig";"MG-2002-F3",#N/A,FALSE,"PPU-Telemig";"MG-2002-F4",#N/A,FALSE,"PPU-Telemig";"MG-2003-F1",#N/A,FALSE,"PPU-Telemig";"MG-2004-F1",#N/A,FALSE,"PPU-Telemig"}</definedName>
    <definedName name="EE" localSheetId="4" hidden="1">{"MG-2002-F1",#N/A,FALSE,"PPU-Telemig";"MG-2002-F2",#N/A,FALSE,"PPU-Telemig";"MG-2002-F3",#N/A,FALSE,"PPU-Telemig";"MG-2002-F4",#N/A,FALSE,"PPU-Telemig";"MG-2003-F1",#N/A,FALSE,"PPU-Telemig";"MG-2004-F1",#N/A,FALSE,"PPU-Telemig"}</definedName>
    <definedName name="EE" localSheetId="5" hidden="1">{"MG-2002-F1",#N/A,FALSE,"PPU-Telemig";"MG-2002-F2",#N/A,FALSE,"PPU-Telemig";"MG-2002-F3",#N/A,FALSE,"PPU-Telemig";"MG-2002-F4",#N/A,FALSE,"PPU-Telemig";"MG-2003-F1",#N/A,FALSE,"PPU-Telemig";"MG-2004-F1",#N/A,FALSE,"PPU-Telemig"}</definedName>
    <definedName name="EE" localSheetId="6" hidden="1">{"MG-2002-F1",#N/A,FALSE,"PPU-Telemig";"MG-2002-F2",#N/A,FALSE,"PPU-Telemig";"MG-2002-F3",#N/A,FALSE,"PPU-Telemig";"MG-2002-F4",#N/A,FALSE,"PPU-Telemig";"MG-2003-F1",#N/A,FALSE,"PPU-Telemig";"MG-2004-F1",#N/A,FALSE,"PPU-Telemig"}</definedName>
    <definedName name="EE" localSheetId="7" hidden="1">{"MG-2002-F1",#N/A,FALSE,"PPU-Telemig";"MG-2002-F2",#N/A,FALSE,"PPU-Telemig";"MG-2002-F3",#N/A,FALSE,"PPU-Telemig";"MG-2002-F4",#N/A,FALSE,"PPU-Telemig";"MG-2003-F1",#N/A,FALSE,"PPU-Telemig";"MG-2004-F1",#N/A,FALSE,"PPU-Telemig"}</definedName>
    <definedName name="EE" localSheetId="8" hidden="1">{"MG-2002-F1",#N/A,FALSE,"PPU-Telemig";"MG-2002-F2",#N/A,FALSE,"PPU-Telemig";"MG-2002-F3",#N/A,FALSE,"PPU-Telemig";"MG-2002-F4",#N/A,FALSE,"PPU-Telemig";"MG-2003-F1",#N/A,FALSE,"PPU-Telemig";"MG-2004-F1",#N/A,FALSE,"PPU-Telemig"}</definedName>
    <definedName name="EE" localSheetId="9" hidden="1">{"MG-2002-F1",#N/A,FALSE,"PPU-Telemig";"MG-2002-F2",#N/A,FALSE,"PPU-Telemig";"MG-2002-F3",#N/A,FALSE,"PPU-Telemig";"MG-2002-F4",#N/A,FALSE,"PPU-Telemig";"MG-2003-F1",#N/A,FALSE,"PPU-Telemig";"MG-2004-F1",#N/A,FALSE,"PPU-Telemig"}</definedName>
    <definedName name="EE" localSheetId="10" hidden="1">{"MG-2002-F1",#N/A,FALSE,"PPU-Telemig";"MG-2002-F2",#N/A,FALSE,"PPU-Telemig";"MG-2002-F3",#N/A,FALSE,"PPU-Telemig";"MG-2002-F4",#N/A,FALSE,"PPU-Telemig";"MG-2003-F1",#N/A,FALSE,"PPU-Telemig";"MG-2004-F1",#N/A,FALSE,"PPU-Telemig"}</definedName>
    <definedName name="EE" localSheetId="11" hidden="1">{"MG-2002-F1",#N/A,FALSE,"PPU-Telemig";"MG-2002-F2",#N/A,FALSE,"PPU-Telemig";"MG-2002-F3",#N/A,FALSE,"PPU-Telemig";"MG-2002-F4",#N/A,FALSE,"PPU-Telemig";"MG-2003-F1",#N/A,FALSE,"PPU-Telemig";"MG-2004-F1",#N/A,FALSE,"PPU-Telemig"}</definedName>
    <definedName name="EE" localSheetId="1" hidden="1">{"MG-2002-F1",#N/A,FALSE,"PPU-Telemig";"MG-2002-F2",#N/A,FALSE,"PPU-Telemig";"MG-2002-F3",#N/A,FALSE,"PPU-Telemig";"MG-2002-F4",#N/A,FALSE,"PPU-Telemig";"MG-2003-F1",#N/A,FALSE,"PPU-Telemig";"MG-2004-F1",#N/A,FALSE,"PPU-Telemig"}</definedName>
    <definedName name="EE" localSheetId="16" hidden="1">{"MG-2002-F1",#N/A,FALSE,"PPU-Telemig";"MG-2002-F2",#N/A,FALSE,"PPU-Telemig";"MG-2002-F3",#N/A,FALSE,"PPU-Telemig";"MG-2002-F4",#N/A,FALSE,"PPU-Telemig";"MG-2003-F1",#N/A,FALSE,"PPU-Telemig";"MG-2004-F1",#N/A,FALSE,"PPU-Telemig"}</definedName>
    <definedName name="EE" localSheetId="2" hidden="1">{"MG-2002-F1",#N/A,FALSE,"PPU-Telemig";"MG-2002-F2",#N/A,FALSE,"PPU-Telemig";"MG-2002-F3",#N/A,FALSE,"PPU-Telemig";"MG-2002-F4",#N/A,FALSE,"PPU-Telemig";"MG-2003-F1",#N/A,FALSE,"PPU-Telemig";"MG-2004-F1",#N/A,FALSE,"PPU-Telemig"}</definedName>
    <definedName name="EE" hidden="1">{"MG-2002-F1",#N/A,FALSE,"PPU-Telemig";"MG-2002-F2",#N/A,FALSE,"PPU-Telemig";"MG-2002-F3",#N/A,FALSE,"PPU-Telemig";"MG-2002-F4",#N/A,FALSE,"PPU-Telemig";"MG-2003-F1",#N/A,FALSE,"PPU-Telemig";"MG-2004-F1",#N/A,FALSE,"PPU-Telemig"}</definedName>
    <definedName name="Ensayos">[7]PERSONAL!$P$100</definedName>
    <definedName name="Estrategia" localSheetId="10">[10]Tablas!$F$2:$F$34</definedName>
    <definedName name="Estrategia">[11]Tablas!$F$2:$F$34</definedName>
    <definedName name="ET" localSheetId="12" hidden="1">{"MG-2002-F1",#N/A,FALSE,"PPU-Telemig";"MG-2002-F2",#N/A,FALSE,"PPU-Telemig";"MG-2002-F3",#N/A,FALSE,"PPU-Telemig";"MG-2002-F4",#N/A,FALSE,"PPU-Telemig";"MG-2003-F1",#N/A,FALSE,"PPU-Telemig";"MG-2004-F1",#N/A,FALSE,"PPU-Telemig"}</definedName>
    <definedName name="ET" localSheetId="13" hidden="1">{"MG-2002-F1",#N/A,FALSE,"PPU-Telemig";"MG-2002-F2",#N/A,FALSE,"PPU-Telemig";"MG-2002-F3",#N/A,FALSE,"PPU-Telemig";"MG-2002-F4",#N/A,FALSE,"PPU-Telemig";"MG-2003-F1",#N/A,FALSE,"PPU-Telemig";"MG-2004-F1",#N/A,FALSE,"PPU-Telemig"}</definedName>
    <definedName name="ET" localSheetId="14" hidden="1">{"MG-2002-F1",#N/A,FALSE,"PPU-Telemig";"MG-2002-F2",#N/A,FALSE,"PPU-Telemig";"MG-2002-F3",#N/A,FALSE,"PPU-Telemig";"MG-2002-F4",#N/A,FALSE,"PPU-Telemig";"MG-2003-F1",#N/A,FALSE,"PPU-Telemig";"MG-2004-F1",#N/A,FALSE,"PPU-Telemig"}</definedName>
    <definedName name="ET" localSheetId="15" hidden="1">{"MG-2002-F1",#N/A,FALSE,"PPU-Telemig";"MG-2002-F2",#N/A,FALSE,"PPU-Telemig";"MG-2002-F3",#N/A,FALSE,"PPU-Telemig";"MG-2002-F4",#N/A,FALSE,"PPU-Telemig";"MG-2003-F1",#N/A,FALSE,"PPU-Telemig";"MG-2004-F1",#N/A,FALSE,"PPU-Telemig"}</definedName>
    <definedName name="ET" localSheetId="4" hidden="1">{"MG-2002-F1",#N/A,FALSE,"PPU-Telemig";"MG-2002-F2",#N/A,FALSE,"PPU-Telemig";"MG-2002-F3",#N/A,FALSE,"PPU-Telemig";"MG-2002-F4",#N/A,FALSE,"PPU-Telemig";"MG-2003-F1",#N/A,FALSE,"PPU-Telemig";"MG-2004-F1",#N/A,FALSE,"PPU-Telemig"}</definedName>
    <definedName name="ET" localSheetId="5" hidden="1">{"MG-2002-F1",#N/A,FALSE,"PPU-Telemig";"MG-2002-F2",#N/A,FALSE,"PPU-Telemig";"MG-2002-F3",#N/A,FALSE,"PPU-Telemig";"MG-2002-F4",#N/A,FALSE,"PPU-Telemig";"MG-2003-F1",#N/A,FALSE,"PPU-Telemig";"MG-2004-F1",#N/A,FALSE,"PPU-Telemig"}</definedName>
    <definedName name="ET" localSheetId="6" hidden="1">{"MG-2002-F1",#N/A,FALSE,"PPU-Telemig";"MG-2002-F2",#N/A,FALSE,"PPU-Telemig";"MG-2002-F3",#N/A,FALSE,"PPU-Telemig";"MG-2002-F4",#N/A,FALSE,"PPU-Telemig";"MG-2003-F1",#N/A,FALSE,"PPU-Telemig";"MG-2004-F1",#N/A,FALSE,"PPU-Telemig"}</definedName>
    <definedName name="ET" localSheetId="7" hidden="1">{"MG-2002-F1",#N/A,FALSE,"PPU-Telemig";"MG-2002-F2",#N/A,FALSE,"PPU-Telemig";"MG-2002-F3",#N/A,FALSE,"PPU-Telemig";"MG-2002-F4",#N/A,FALSE,"PPU-Telemig";"MG-2003-F1",#N/A,FALSE,"PPU-Telemig";"MG-2004-F1",#N/A,FALSE,"PPU-Telemig"}</definedName>
    <definedName name="ET" localSheetId="8" hidden="1">{"MG-2002-F1",#N/A,FALSE,"PPU-Telemig";"MG-2002-F2",#N/A,FALSE,"PPU-Telemig";"MG-2002-F3",#N/A,FALSE,"PPU-Telemig";"MG-2002-F4",#N/A,FALSE,"PPU-Telemig";"MG-2003-F1",#N/A,FALSE,"PPU-Telemig";"MG-2004-F1",#N/A,FALSE,"PPU-Telemig"}</definedName>
    <definedName name="ET" localSheetId="9" hidden="1">{"MG-2002-F1",#N/A,FALSE,"PPU-Telemig";"MG-2002-F2",#N/A,FALSE,"PPU-Telemig";"MG-2002-F3",#N/A,FALSE,"PPU-Telemig";"MG-2002-F4",#N/A,FALSE,"PPU-Telemig";"MG-2003-F1",#N/A,FALSE,"PPU-Telemig";"MG-2004-F1",#N/A,FALSE,"PPU-Telemig"}</definedName>
    <definedName name="ET" localSheetId="10" hidden="1">{"MG-2002-F1",#N/A,FALSE,"PPU-Telemig";"MG-2002-F2",#N/A,FALSE,"PPU-Telemig";"MG-2002-F3",#N/A,FALSE,"PPU-Telemig";"MG-2002-F4",#N/A,FALSE,"PPU-Telemig";"MG-2003-F1",#N/A,FALSE,"PPU-Telemig";"MG-2004-F1",#N/A,FALSE,"PPU-Telemig"}</definedName>
    <definedName name="ET" localSheetId="11" hidden="1">{"MG-2002-F1",#N/A,FALSE,"PPU-Telemig";"MG-2002-F2",#N/A,FALSE,"PPU-Telemig";"MG-2002-F3",#N/A,FALSE,"PPU-Telemig";"MG-2002-F4",#N/A,FALSE,"PPU-Telemig";"MG-2003-F1",#N/A,FALSE,"PPU-Telemig";"MG-2004-F1",#N/A,FALSE,"PPU-Telemig"}</definedName>
    <definedName name="ET" localSheetId="1" hidden="1">{"MG-2002-F1",#N/A,FALSE,"PPU-Telemig";"MG-2002-F2",#N/A,FALSE,"PPU-Telemig";"MG-2002-F3",#N/A,FALSE,"PPU-Telemig";"MG-2002-F4",#N/A,FALSE,"PPU-Telemig";"MG-2003-F1",#N/A,FALSE,"PPU-Telemig";"MG-2004-F1",#N/A,FALSE,"PPU-Telemig"}</definedName>
    <definedName name="ET" localSheetId="16" hidden="1">{"MG-2002-F1",#N/A,FALSE,"PPU-Telemig";"MG-2002-F2",#N/A,FALSE,"PPU-Telemig";"MG-2002-F3",#N/A,FALSE,"PPU-Telemig";"MG-2002-F4",#N/A,FALSE,"PPU-Telemig";"MG-2003-F1",#N/A,FALSE,"PPU-Telemig";"MG-2004-F1",#N/A,FALSE,"PPU-Telemig"}</definedName>
    <definedName name="ET" localSheetId="2" hidden="1">{"MG-2002-F1",#N/A,FALSE,"PPU-Telemig";"MG-2002-F2",#N/A,FALSE,"PPU-Telemig";"MG-2002-F3",#N/A,FALSE,"PPU-Telemig";"MG-2002-F4",#N/A,FALSE,"PPU-Telemig";"MG-2003-F1",#N/A,FALSE,"PPU-Telemig";"MG-2004-F1",#N/A,FALSE,"PPU-Telemig"}</definedName>
    <definedName name="ET" hidden="1">{"MG-2002-F1",#N/A,FALSE,"PPU-Telemig";"MG-2002-F2",#N/A,FALSE,"PPU-Telemig";"MG-2002-F3",#N/A,FALSE,"PPU-Telemig";"MG-2002-F4",#N/A,FALSE,"PPU-Telemig";"MG-2003-F1",#N/A,FALSE,"PPU-Telemig";"MG-2004-F1",#N/A,FALSE,"PPU-Telemig"}</definedName>
    <definedName name="EUR" localSheetId="10">'[2]DATOS ENTRADA'!$E$2</definedName>
    <definedName name="EUR" localSheetId="16">'[3]DATOS ENTRADA'!$E$2</definedName>
    <definedName name="EUR">'[4]DATOS ENTRADA'!$E$2</definedName>
    <definedName name="Ｅグラフ" localSheetId="12" hidden="1">#REF!</definedName>
    <definedName name="Ｅグラフ" localSheetId="13" hidden="1">#REF!</definedName>
    <definedName name="Ｅグラフ" localSheetId="14" hidden="1">#REF!</definedName>
    <definedName name="Ｅグラフ" localSheetId="15" hidden="1">#REF!</definedName>
    <definedName name="Ｅグラフ" localSheetId="4" hidden="1">#REF!</definedName>
    <definedName name="Ｅグラフ" localSheetId="5" hidden="1">#REF!</definedName>
    <definedName name="Ｅグラフ" localSheetId="6" hidden="1">#REF!</definedName>
    <definedName name="Ｅグラフ" localSheetId="7" hidden="1">#REF!</definedName>
    <definedName name="Ｅグラフ" localSheetId="8" hidden="1">#REF!</definedName>
    <definedName name="Ｅグラフ" localSheetId="9" hidden="1">#REF!</definedName>
    <definedName name="Ｅグラフ" localSheetId="10" hidden="1">#REF!</definedName>
    <definedName name="Ｅグラフ" localSheetId="11" hidden="1">#REF!</definedName>
    <definedName name="Ｅグラフ" localSheetId="16" hidden="1">#REF!</definedName>
    <definedName name="Ｅグラフ" localSheetId="2" hidden="1">#REF!</definedName>
    <definedName name="Ｅグラフ" hidden="1">#REF!</definedName>
    <definedName name="fbvdv" localSheetId="12" hidden="1">{"MG-2002-F1",#N/A,FALSE,"PPU-Telemig";"MG-2002-F2",#N/A,FALSE,"PPU-Telemig";"MG-2002-F3",#N/A,FALSE,"PPU-Telemig";"MG-2002-F4",#N/A,FALSE,"PPU-Telemig";"MG-2003-F1",#N/A,FALSE,"PPU-Telemig";"MG-2004-F1",#N/A,FALSE,"PPU-Telemig"}</definedName>
    <definedName name="fbvdv" localSheetId="13" hidden="1">{"MG-2002-F1",#N/A,FALSE,"PPU-Telemig";"MG-2002-F2",#N/A,FALSE,"PPU-Telemig";"MG-2002-F3",#N/A,FALSE,"PPU-Telemig";"MG-2002-F4",#N/A,FALSE,"PPU-Telemig";"MG-2003-F1",#N/A,FALSE,"PPU-Telemig";"MG-2004-F1",#N/A,FALSE,"PPU-Telemig"}</definedName>
    <definedName name="fbvdv" localSheetId="14" hidden="1">{"MG-2002-F1",#N/A,FALSE,"PPU-Telemig";"MG-2002-F2",#N/A,FALSE,"PPU-Telemig";"MG-2002-F3",#N/A,FALSE,"PPU-Telemig";"MG-2002-F4",#N/A,FALSE,"PPU-Telemig";"MG-2003-F1",#N/A,FALSE,"PPU-Telemig";"MG-2004-F1",#N/A,FALSE,"PPU-Telemig"}</definedName>
    <definedName name="fbvdv" localSheetId="15" hidden="1">{"MG-2002-F1",#N/A,FALSE,"PPU-Telemig";"MG-2002-F2",#N/A,FALSE,"PPU-Telemig";"MG-2002-F3",#N/A,FALSE,"PPU-Telemig";"MG-2002-F4",#N/A,FALSE,"PPU-Telemig";"MG-2003-F1",#N/A,FALSE,"PPU-Telemig";"MG-2004-F1",#N/A,FALSE,"PPU-Telemig"}</definedName>
    <definedName name="fbvdv" localSheetId="4" hidden="1">{"MG-2002-F1",#N/A,FALSE,"PPU-Telemig";"MG-2002-F2",#N/A,FALSE,"PPU-Telemig";"MG-2002-F3",#N/A,FALSE,"PPU-Telemig";"MG-2002-F4",#N/A,FALSE,"PPU-Telemig";"MG-2003-F1",#N/A,FALSE,"PPU-Telemig";"MG-2004-F1",#N/A,FALSE,"PPU-Telemig"}</definedName>
    <definedName name="fbvdv" localSheetId="5" hidden="1">{"MG-2002-F1",#N/A,FALSE,"PPU-Telemig";"MG-2002-F2",#N/A,FALSE,"PPU-Telemig";"MG-2002-F3",#N/A,FALSE,"PPU-Telemig";"MG-2002-F4",#N/A,FALSE,"PPU-Telemig";"MG-2003-F1",#N/A,FALSE,"PPU-Telemig";"MG-2004-F1",#N/A,FALSE,"PPU-Telemig"}</definedName>
    <definedName name="fbvdv" localSheetId="6" hidden="1">{"MG-2002-F1",#N/A,FALSE,"PPU-Telemig";"MG-2002-F2",#N/A,FALSE,"PPU-Telemig";"MG-2002-F3",#N/A,FALSE,"PPU-Telemig";"MG-2002-F4",#N/A,FALSE,"PPU-Telemig";"MG-2003-F1",#N/A,FALSE,"PPU-Telemig";"MG-2004-F1",#N/A,FALSE,"PPU-Telemig"}</definedName>
    <definedName name="fbvdv" localSheetId="7" hidden="1">{"MG-2002-F1",#N/A,FALSE,"PPU-Telemig";"MG-2002-F2",#N/A,FALSE,"PPU-Telemig";"MG-2002-F3",#N/A,FALSE,"PPU-Telemig";"MG-2002-F4",#N/A,FALSE,"PPU-Telemig";"MG-2003-F1",#N/A,FALSE,"PPU-Telemig";"MG-2004-F1",#N/A,FALSE,"PPU-Telemig"}</definedName>
    <definedName name="fbvdv" localSheetId="8" hidden="1">{"MG-2002-F1",#N/A,FALSE,"PPU-Telemig";"MG-2002-F2",#N/A,FALSE,"PPU-Telemig";"MG-2002-F3",#N/A,FALSE,"PPU-Telemig";"MG-2002-F4",#N/A,FALSE,"PPU-Telemig";"MG-2003-F1",#N/A,FALSE,"PPU-Telemig";"MG-2004-F1",#N/A,FALSE,"PPU-Telemig"}</definedName>
    <definedName name="fbvdv" localSheetId="9" hidden="1">{"MG-2002-F1",#N/A,FALSE,"PPU-Telemig";"MG-2002-F2",#N/A,FALSE,"PPU-Telemig";"MG-2002-F3",#N/A,FALSE,"PPU-Telemig";"MG-2002-F4",#N/A,FALSE,"PPU-Telemig";"MG-2003-F1",#N/A,FALSE,"PPU-Telemig";"MG-2004-F1",#N/A,FALSE,"PPU-Telemig"}</definedName>
    <definedName name="fbvdv" localSheetId="10" hidden="1">{"MG-2002-F1",#N/A,FALSE,"PPU-Telemig";"MG-2002-F2",#N/A,FALSE,"PPU-Telemig";"MG-2002-F3",#N/A,FALSE,"PPU-Telemig";"MG-2002-F4",#N/A,FALSE,"PPU-Telemig";"MG-2003-F1",#N/A,FALSE,"PPU-Telemig";"MG-2004-F1",#N/A,FALSE,"PPU-Telemig"}</definedName>
    <definedName name="fbvdv" localSheetId="11" hidden="1">{"MG-2002-F1",#N/A,FALSE,"PPU-Telemig";"MG-2002-F2",#N/A,FALSE,"PPU-Telemig";"MG-2002-F3",#N/A,FALSE,"PPU-Telemig";"MG-2002-F4",#N/A,FALSE,"PPU-Telemig";"MG-2003-F1",#N/A,FALSE,"PPU-Telemig";"MG-2004-F1",#N/A,FALSE,"PPU-Telemig"}</definedName>
    <definedName name="fbvdv" localSheetId="1" hidden="1">{"MG-2002-F1",#N/A,FALSE,"PPU-Telemig";"MG-2002-F2",#N/A,FALSE,"PPU-Telemig";"MG-2002-F3",#N/A,FALSE,"PPU-Telemig";"MG-2002-F4",#N/A,FALSE,"PPU-Telemig";"MG-2003-F1",#N/A,FALSE,"PPU-Telemig";"MG-2004-F1",#N/A,FALSE,"PPU-Telemig"}</definedName>
    <definedName name="fbvdv" localSheetId="16" hidden="1">{"MG-2002-F1",#N/A,FALSE,"PPU-Telemig";"MG-2002-F2",#N/A,FALSE,"PPU-Telemig";"MG-2002-F3",#N/A,FALSE,"PPU-Telemig";"MG-2002-F4",#N/A,FALSE,"PPU-Telemig";"MG-2003-F1",#N/A,FALSE,"PPU-Telemig";"MG-2004-F1",#N/A,FALSE,"PPU-Telemig"}</definedName>
    <definedName name="fbvdv" localSheetId="2" hidden="1">{"MG-2002-F1",#N/A,FALSE,"PPU-Telemig";"MG-2002-F2",#N/A,FALSE,"PPU-Telemig";"MG-2002-F3",#N/A,FALSE,"PPU-Telemig";"MG-2002-F4",#N/A,FALSE,"PPU-Telemig";"MG-2003-F1",#N/A,FALSE,"PPU-Telemig";"MG-2004-F1",#N/A,FALSE,"PPU-Telemig"}</definedName>
    <definedName name="fbvdv" hidden="1">{"MG-2002-F1",#N/A,FALSE,"PPU-Telemig";"MG-2002-F2",#N/A,FALSE,"PPU-Telemig";"MG-2002-F3",#N/A,FALSE,"PPU-Telemig";"MG-2002-F4",#N/A,FALSE,"PPU-Telemig";"MG-2003-F1",#N/A,FALSE,"PPU-Telemig";"MG-2004-F1",#N/A,FALSE,"PPU-Telemig"}</definedName>
    <definedName name="fdfd" localSheetId="12" hidden="1">{"MG-2002-F1",#N/A,FALSE,"PPU-Telemig";"MG-2002-F2",#N/A,FALSE,"PPU-Telemig";"MG-2002-F3",#N/A,FALSE,"PPU-Telemig";"MG-2002-F4",#N/A,FALSE,"PPU-Telemig";"MG-2003-F1",#N/A,FALSE,"PPU-Telemig";"MG-2004-F1",#N/A,FALSE,"PPU-Telemig"}</definedName>
    <definedName name="fdfd" localSheetId="13" hidden="1">{"MG-2002-F1",#N/A,FALSE,"PPU-Telemig";"MG-2002-F2",#N/A,FALSE,"PPU-Telemig";"MG-2002-F3",#N/A,FALSE,"PPU-Telemig";"MG-2002-F4",#N/A,FALSE,"PPU-Telemig";"MG-2003-F1",#N/A,FALSE,"PPU-Telemig";"MG-2004-F1",#N/A,FALSE,"PPU-Telemig"}</definedName>
    <definedName name="fdfd" localSheetId="14" hidden="1">{"MG-2002-F1",#N/A,FALSE,"PPU-Telemig";"MG-2002-F2",#N/A,FALSE,"PPU-Telemig";"MG-2002-F3",#N/A,FALSE,"PPU-Telemig";"MG-2002-F4",#N/A,FALSE,"PPU-Telemig";"MG-2003-F1",#N/A,FALSE,"PPU-Telemig";"MG-2004-F1",#N/A,FALSE,"PPU-Telemig"}</definedName>
    <definedName name="fdfd" localSheetId="15" hidden="1">{"MG-2002-F1",#N/A,FALSE,"PPU-Telemig";"MG-2002-F2",#N/A,FALSE,"PPU-Telemig";"MG-2002-F3",#N/A,FALSE,"PPU-Telemig";"MG-2002-F4",#N/A,FALSE,"PPU-Telemig";"MG-2003-F1",#N/A,FALSE,"PPU-Telemig";"MG-2004-F1",#N/A,FALSE,"PPU-Telemig"}</definedName>
    <definedName name="fdfd" localSheetId="4" hidden="1">{"MG-2002-F1",#N/A,FALSE,"PPU-Telemig";"MG-2002-F2",#N/A,FALSE,"PPU-Telemig";"MG-2002-F3",#N/A,FALSE,"PPU-Telemig";"MG-2002-F4",#N/A,FALSE,"PPU-Telemig";"MG-2003-F1",#N/A,FALSE,"PPU-Telemig";"MG-2004-F1",#N/A,FALSE,"PPU-Telemig"}</definedName>
    <definedName name="fdfd" localSheetId="5" hidden="1">{"MG-2002-F1",#N/A,FALSE,"PPU-Telemig";"MG-2002-F2",#N/A,FALSE,"PPU-Telemig";"MG-2002-F3",#N/A,FALSE,"PPU-Telemig";"MG-2002-F4",#N/A,FALSE,"PPU-Telemig";"MG-2003-F1",#N/A,FALSE,"PPU-Telemig";"MG-2004-F1",#N/A,FALSE,"PPU-Telemig"}</definedName>
    <definedName name="fdfd" localSheetId="6" hidden="1">{"MG-2002-F1",#N/A,FALSE,"PPU-Telemig";"MG-2002-F2",#N/A,FALSE,"PPU-Telemig";"MG-2002-F3",#N/A,FALSE,"PPU-Telemig";"MG-2002-F4",#N/A,FALSE,"PPU-Telemig";"MG-2003-F1",#N/A,FALSE,"PPU-Telemig";"MG-2004-F1",#N/A,FALSE,"PPU-Telemig"}</definedName>
    <definedName name="fdfd" localSheetId="7" hidden="1">{"MG-2002-F1",#N/A,FALSE,"PPU-Telemig";"MG-2002-F2",#N/A,FALSE,"PPU-Telemig";"MG-2002-F3",#N/A,FALSE,"PPU-Telemig";"MG-2002-F4",#N/A,FALSE,"PPU-Telemig";"MG-2003-F1",#N/A,FALSE,"PPU-Telemig";"MG-2004-F1",#N/A,FALSE,"PPU-Telemig"}</definedName>
    <definedName name="fdfd" localSheetId="8" hidden="1">{"MG-2002-F1",#N/A,FALSE,"PPU-Telemig";"MG-2002-F2",#N/A,FALSE,"PPU-Telemig";"MG-2002-F3",#N/A,FALSE,"PPU-Telemig";"MG-2002-F4",#N/A,FALSE,"PPU-Telemig";"MG-2003-F1",#N/A,FALSE,"PPU-Telemig";"MG-2004-F1",#N/A,FALSE,"PPU-Telemig"}</definedName>
    <definedName name="fdfd" localSheetId="9" hidden="1">{"MG-2002-F1",#N/A,FALSE,"PPU-Telemig";"MG-2002-F2",#N/A,FALSE,"PPU-Telemig";"MG-2002-F3",#N/A,FALSE,"PPU-Telemig";"MG-2002-F4",#N/A,FALSE,"PPU-Telemig";"MG-2003-F1",#N/A,FALSE,"PPU-Telemig";"MG-2004-F1",#N/A,FALSE,"PPU-Telemig"}</definedName>
    <definedName name="fdfd" localSheetId="10" hidden="1">{"MG-2002-F1",#N/A,FALSE,"PPU-Telemig";"MG-2002-F2",#N/A,FALSE,"PPU-Telemig";"MG-2002-F3",#N/A,FALSE,"PPU-Telemig";"MG-2002-F4",#N/A,FALSE,"PPU-Telemig";"MG-2003-F1",#N/A,FALSE,"PPU-Telemig";"MG-2004-F1",#N/A,FALSE,"PPU-Telemig"}</definedName>
    <definedName name="fdfd" localSheetId="11" hidden="1">{"MG-2002-F1",#N/A,FALSE,"PPU-Telemig";"MG-2002-F2",#N/A,FALSE,"PPU-Telemig";"MG-2002-F3",#N/A,FALSE,"PPU-Telemig";"MG-2002-F4",#N/A,FALSE,"PPU-Telemig";"MG-2003-F1",#N/A,FALSE,"PPU-Telemig";"MG-2004-F1",#N/A,FALSE,"PPU-Telemig"}</definedName>
    <definedName name="fdfd" localSheetId="1" hidden="1">{"MG-2002-F1",#N/A,FALSE,"PPU-Telemig";"MG-2002-F2",#N/A,FALSE,"PPU-Telemig";"MG-2002-F3",#N/A,FALSE,"PPU-Telemig";"MG-2002-F4",#N/A,FALSE,"PPU-Telemig";"MG-2003-F1",#N/A,FALSE,"PPU-Telemig";"MG-2004-F1",#N/A,FALSE,"PPU-Telemig"}</definedName>
    <definedName name="fdfd" localSheetId="16" hidden="1">{"MG-2002-F1",#N/A,FALSE,"PPU-Telemig";"MG-2002-F2",#N/A,FALSE,"PPU-Telemig";"MG-2002-F3",#N/A,FALSE,"PPU-Telemig";"MG-2002-F4",#N/A,FALSE,"PPU-Telemig";"MG-2003-F1",#N/A,FALSE,"PPU-Telemig";"MG-2004-F1",#N/A,FALSE,"PPU-Telemig"}</definedName>
    <definedName name="fdfd" localSheetId="2" hidden="1">{"MG-2002-F1",#N/A,FALSE,"PPU-Telemig";"MG-2002-F2",#N/A,FALSE,"PPU-Telemig";"MG-2002-F3",#N/A,FALSE,"PPU-Telemig";"MG-2002-F4",#N/A,FALSE,"PPU-Telemig";"MG-2003-F1",#N/A,FALSE,"PPU-Telemig";"MG-2004-F1",#N/A,FALSE,"PPU-Telemig"}</definedName>
    <definedName name="fdfd" hidden="1">{"MG-2002-F1",#N/A,FALSE,"PPU-Telemig";"MG-2002-F2",#N/A,FALSE,"PPU-Telemig";"MG-2002-F3",#N/A,FALSE,"PPU-Telemig";"MG-2002-F4",#N/A,FALSE,"PPU-Telemig";"MG-2003-F1",#N/A,FALSE,"PPU-Telemig";"MG-2004-F1",#N/A,FALSE,"PPU-Telemig"}</definedName>
    <definedName name="FDG" localSheetId="16" hidden="1">#REF!</definedName>
    <definedName name="FDG" localSheetId="2" hidden="1">#REF!</definedName>
    <definedName name="FDG" hidden="1">#REF!</definedName>
    <definedName name="fecha_fin_servicio" localSheetId="10">[2]CONFIGURACIÓN!$C$10</definedName>
    <definedName name="fecha_fin_servicio" localSheetId="16">[3]CONFIGURACIÓN!$C$10</definedName>
    <definedName name="fecha_fin_servicio">[4]CONFIGURACIÓN!$C$10</definedName>
    <definedName name="fecha_inicio_servicio" localSheetId="10">[2]CONFIGURACIÓN!$C$9</definedName>
    <definedName name="fecha_inicio_servicio" localSheetId="16">[3]CONFIGURACIÓN!$C$9</definedName>
    <definedName name="fecha_inicio_servicio">[4]CONFIGURACIÓN!$C$9</definedName>
    <definedName name="ff" localSheetId="12" hidden="1">{#N/A,#N/A,TRUE,"Report"}</definedName>
    <definedName name="ff" localSheetId="13" hidden="1">{#N/A,#N/A,TRUE,"Report"}</definedName>
    <definedName name="ff" localSheetId="14" hidden="1">{#N/A,#N/A,TRUE,"Report"}</definedName>
    <definedName name="ff" localSheetId="15" hidden="1">{#N/A,#N/A,TRUE,"Report"}</definedName>
    <definedName name="ff" localSheetId="4" hidden="1">{#N/A,#N/A,TRUE,"Report"}</definedName>
    <definedName name="ff" localSheetId="5" hidden="1">{#N/A,#N/A,TRUE,"Report"}</definedName>
    <definedName name="ff" localSheetId="6" hidden="1">{#N/A,#N/A,TRUE,"Report"}</definedName>
    <definedName name="ff" localSheetId="7" hidden="1">{#N/A,#N/A,TRUE,"Report"}</definedName>
    <definedName name="ff" localSheetId="8" hidden="1">{#N/A,#N/A,TRUE,"Report"}</definedName>
    <definedName name="ff" localSheetId="9" hidden="1">{#N/A,#N/A,TRUE,"Report"}</definedName>
    <definedName name="ff" localSheetId="10" hidden="1">{#N/A,#N/A,TRUE,"Report"}</definedName>
    <definedName name="ff" localSheetId="11" hidden="1">{#N/A,#N/A,TRUE,"Report"}</definedName>
    <definedName name="ff" localSheetId="1" hidden="1">{#N/A,#N/A,TRUE,"Report"}</definedName>
    <definedName name="ff" localSheetId="16" hidden="1">{#N/A,#N/A,TRUE,"Report"}</definedName>
    <definedName name="ff" localSheetId="2" hidden="1">{#N/A,#N/A,TRUE,"Report"}</definedName>
    <definedName name="ff" hidden="1">{#N/A,#N/A,TRUE,"Report"}</definedName>
    <definedName name="FFF" localSheetId="12" hidden="1">{"MG-2002-F1",#N/A,FALSE,"PPU-Telemig";"MG-2002-F2",#N/A,FALSE,"PPU-Telemig";"MG-2002-F3",#N/A,FALSE,"PPU-Telemig";"MG-2002-F4",#N/A,FALSE,"PPU-Telemig";"MG-2003-F1",#N/A,FALSE,"PPU-Telemig";"MG-2004-F1",#N/A,FALSE,"PPU-Telemig"}</definedName>
    <definedName name="FFF" localSheetId="13" hidden="1">{"MG-2002-F1",#N/A,FALSE,"PPU-Telemig";"MG-2002-F2",#N/A,FALSE,"PPU-Telemig";"MG-2002-F3",#N/A,FALSE,"PPU-Telemig";"MG-2002-F4",#N/A,FALSE,"PPU-Telemig";"MG-2003-F1",#N/A,FALSE,"PPU-Telemig";"MG-2004-F1",#N/A,FALSE,"PPU-Telemig"}</definedName>
    <definedName name="FFF" localSheetId="14" hidden="1">{"MG-2002-F1",#N/A,FALSE,"PPU-Telemig";"MG-2002-F2",#N/A,FALSE,"PPU-Telemig";"MG-2002-F3",#N/A,FALSE,"PPU-Telemig";"MG-2002-F4",#N/A,FALSE,"PPU-Telemig";"MG-2003-F1",#N/A,FALSE,"PPU-Telemig";"MG-2004-F1",#N/A,FALSE,"PPU-Telemig"}</definedName>
    <definedName name="FFF" localSheetId="15" hidden="1">{"MG-2002-F1",#N/A,FALSE,"PPU-Telemig";"MG-2002-F2",#N/A,FALSE,"PPU-Telemig";"MG-2002-F3",#N/A,FALSE,"PPU-Telemig";"MG-2002-F4",#N/A,FALSE,"PPU-Telemig";"MG-2003-F1",#N/A,FALSE,"PPU-Telemig";"MG-2004-F1",#N/A,FALSE,"PPU-Telemig"}</definedName>
    <definedName name="FFF" localSheetId="4" hidden="1">{"MG-2002-F1",#N/A,FALSE,"PPU-Telemig";"MG-2002-F2",#N/A,FALSE,"PPU-Telemig";"MG-2002-F3",#N/A,FALSE,"PPU-Telemig";"MG-2002-F4",#N/A,FALSE,"PPU-Telemig";"MG-2003-F1",#N/A,FALSE,"PPU-Telemig";"MG-2004-F1",#N/A,FALSE,"PPU-Telemig"}</definedName>
    <definedName name="FFF" localSheetId="5" hidden="1">{"MG-2002-F1",#N/A,FALSE,"PPU-Telemig";"MG-2002-F2",#N/A,FALSE,"PPU-Telemig";"MG-2002-F3",#N/A,FALSE,"PPU-Telemig";"MG-2002-F4",#N/A,FALSE,"PPU-Telemig";"MG-2003-F1",#N/A,FALSE,"PPU-Telemig";"MG-2004-F1",#N/A,FALSE,"PPU-Telemig"}</definedName>
    <definedName name="FFF" localSheetId="6" hidden="1">{"MG-2002-F1",#N/A,FALSE,"PPU-Telemig";"MG-2002-F2",#N/A,FALSE,"PPU-Telemig";"MG-2002-F3",#N/A,FALSE,"PPU-Telemig";"MG-2002-F4",#N/A,FALSE,"PPU-Telemig";"MG-2003-F1",#N/A,FALSE,"PPU-Telemig";"MG-2004-F1",#N/A,FALSE,"PPU-Telemig"}</definedName>
    <definedName name="FFF" localSheetId="7" hidden="1">{"MG-2002-F1",#N/A,FALSE,"PPU-Telemig";"MG-2002-F2",#N/A,FALSE,"PPU-Telemig";"MG-2002-F3",#N/A,FALSE,"PPU-Telemig";"MG-2002-F4",#N/A,FALSE,"PPU-Telemig";"MG-2003-F1",#N/A,FALSE,"PPU-Telemig";"MG-2004-F1",#N/A,FALSE,"PPU-Telemig"}</definedName>
    <definedName name="FFF" localSheetId="8" hidden="1">{"MG-2002-F1",#N/A,FALSE,"PPU-Telemig";"MG-2002-F2",#N/A,FALSE,"PPU-Telemig";"MG-2002-F3",#N/A,FALSE,"PPU-Telemig";"MG-2002-F4",#N/A,FALSE,"PPU-Telemig";"MG-2003-F1",#N/A,FALSE,"PPU-Telemig";"MG-2004-F1",#N/A,FALSE,"PPU-Telemig"}</definedName>
    <definedName name="FFF" localSheetId="9" hidden="1">{"MG-2002-F1",#N/A,FALSE,"PPU-Telemig";"MG-2002-F2",#N/A,FALSE,"PPU-Telemig";"MG-2002-F3",#N/A,FALSE,"PPU-Telemig";"MG-2002-F4",#N/A,FALSE,"PPU-Telemig";"MG-2003-F1",#N/A,FALSE,"PPU-Telemig";"MG-2004-F1",#N/A,FALSE,"PPU-Telemig"}</definedName>
    <definedName name="FFF" localSheetId="10" hidden="1">{"MG-2002-F1",#N/A,FALSE,"PPU-Telemig";"MG-2002-F2",#N/A,FALSE,"PPU-Telemig";"MG-2002-F3",#N/A,FALSE,"PPU-Telemig";"MG-2002-F4",#N/A,FALSE,"PPU-Telemig";"MG-2003-F1",#N/A,FALSE,"PPU-Telemig";"MG-2004-F1",#N/A,FALSE,"PPU-Telemig"}</definedName>
    <definedName name="FFF" localSheetId="11" hidden="1">{"MG-2002-F1",#N/A,FALSE,"PPU-Telemig";"MG-2002-F2",#N/A,FALSE,"PPU-Telemig";"MG-2002-F3",#N/A,FALSE,"PPU-Telemig";"MG-2002-F4",#N/A,FALSE,"PPU-Telemig";"MG-2003-F1",#N/A,FALSE,"PPU-Telemig";"MG-2004-F1",#N/A,FALSE,"PPU-Telemig"}</definedName>
    <definedName name="FFF" localSheetId="1" hidden="1">{"MG-2002-F1",#N/A,FALSE,"PPU-Telemig";"MG-2002-F2",#N/A,FALSE,"PPU-Telemig";"MG-2002-F3",#N/A,FALSE,"PPU-Telemig";"MG-2002-F4",#N/A,FALSE,"PPU-Telemig";"MG-2003-F1",#N/A,FALSE,"PPU-Telemig";"MG-2004-F1",#N/A,FALSE,"PPU-Telemig"}</definedName>
    <definedName name="FFF" localSheetId="16" hidden="1">{"MG-2002-F1",#N/A,FALSE,"PPU-Telemig";"MG-2002-F2",#N/A,FALSE,"PPU-Telemig";"MG-2002-F3",#N/A,FALSE,"PPU-Telemig";"MG-2002-F4",#N/A,FALSE,"PPU-Telemig";"MG-2003-F1",#N/A,FALSE,"PPU-Telemig";"MG-2004-F1",#N/A,FALSE,"PPU-Telemig"}</definedName>
    <definedName name="FFF" localSheetId="2" hidden="1">{"MG-2002-F1",#N/A,FALSE,"PPU-Telemig";"MG-2002-F2",#N/A,FALSE,"PPU-Telemig";"MG-2002-F3",#N/A,FALSE,"PPU-Telemig";"MG-2002-F4",#N/A,FALSE,"PPU-Telemig";"MG-2003-F1",#N/A,FALSE,"PPU-Telemig";"MG-2004-F1",#N/A,FALSE,"PPU-Telemig"}</definedName>
    <definedName name="FFF" hidden="1">{"MG-2002-F1",#N/A,FALSE,"PPU-Telemig";"MG-2002-F2",#N/A,FALSE,"PPU-Telemig";"MG-2002-F3",#N/A,FALSE,"PPU-Telemig";"MG-2002-F4",#N/A,FALSE,"PPU-Telemig";"MG-2003-F1",#N/A,FALSE,"PPU-Telemig";"MG-2004-F1",#N/A,FALSE,"PPU-Telemig"}</definedName>
    <definedName name="fgsznzfd" localSheetId="12" hidden="1">{"'内訳表'!$B$2:$N$64"}</definedName>
    <definedName name="fgsznzfd" localSheetId="13" hidden="1">{"'内訳表'!$B$2:$N$64"}</definedName>
    <definedName name="fgsznzfd" localSheetId="14" hidden="1">{"'内訳表'!$B$2:$N$64"}</definedName>
    <definedName name="fgsznzfd" localSheetId="15" hidden="1">{"'内訳表'!$B$2:$N$64"}</definedName>
    <definedName name="fgsznzfd" localSheetId="4" hidden="1">{"'内訳表'!$B$2:$N$64"}</definedName>
    <definedName name="fgsznzfd" localSheetId="5" hidden="1">{"'内訳表'!$B$2:$N$64"}</definedName>
    <definedName name="fgsznzfd" localSheetId="6" hidden="1">{"'内訳表'!$B$2:$N$64"}</definedName>
    <definedName name="fgsznzfd" localSheetId="7" hidden="1">{"'内訳表'!$B$2:$N$64"}</definedName>
    <definedName name="fgsznzfd" localSheetId="8" hidden="1">{"'内訳表'!$B$2:$N$64"}</definedName>
    <definedName name="fgsznzfd" localSheetId="9" hidden="1">{"'内訳表'!$B$2:$N$64"}</definedName>
    <definedName name="fgsznzfd" localSheetId="10" hidden="1">{"'内訳表'!$B$2:$N$64"}</definedName>
    <definedName name="fgsznzfd" localSheetId="11" hidden="1">{"'内訳表'!$B$2:$N$64"}</definedName>
    <definedName name="fgsznzfd" localSheetId="1" hidden="1">{"'内訳表'!$B$2:$N$64"}</definedName>
    <definedName name="fgsznzfd" localSheetId="16" hidden="1">{"'内訳表'!$B$2:$N$64"}</definedName>
    <definedName name="fgsznzfd" localSheetId="2" hidden="1">{"'内訳表'!$B$2:$N$64"}</definedName>
    <definedName name="fgsznzfd" hidden="1">{"'内訳表'!$B$2:$N$64"}</definedName>
    <definedName name="fgxnbf" localSheetId="12" hidden="1">{"MG-2002-F1",#N/A,FALSE,"PPU-Telemig";"MG-2002-F2",#N/A,FALSE,"PPU-Telemig";"MG-2002-F3",#N/A,FALSE,"PPU-Telemig";"MG-2002-F4",#N/A,FALSE,"PPU-Telemig";"MG-2003-F1",#N/A,FALSE,"PPU-Telemig";"MG-2004-F1",#N/A,FALSE,"PPU-Telemig"}</definedName>
    <definedName name="fgxnbf" localSheetId="13" hidden="1">{"MG-2002-F1",#N/A,FALSE,"PPU-Telemig";"MG-2002-F2",#N/A,FALSE,"PPU-Telemig";"MG-2002-F3",#N/A,FALSE,"PPU-Telemig";"MG-2002-F4",#N/A,FALSE,"PPU-Telemig";"MG-2003-F1",#N/A,FALSE,"PPU-Telemig";"MG-2004-F1",#N/A,FALSE,"PPU-Telemig"}</definedName>
    <definedName name="fgxnbf" localSheetId="14" hidden="1">{"MG-2002-F1",#N/A,FALSE,"PPU-Telemig";"MG-2002-F2",#N/A,FALSE,"PPU-Telemig";"MG-2002-F3",#N/A,FALSE,"PPU-Telemig";"MG-2002-F4",#N/A,FALSE,"PPU-Telemig";"MG-2003-F1",#N/A,FALSE,"PPU-Telemig";"MG-2004-F1",#N/A,FALSE,"PPU-Telemig"}</definedName>
    <definedName name="fgxnbf" localSheetId="15" hidden="1">{"MG-2002-F1",#N/A,FALSE,"PPU-Telemig";"MG-2002-F2",#N/A,FALSE,"PPU-Telemig";"MG-2002-F3",#N/A,FALSE,"PPU-Telemig";"MG-2002-F4",#N/A,FALSE,"PPU-Telemig";"MG-2003-F1",#N/A,FALSE,"PPU-Telemig";"MG-2004-F1",#N/A,FALSE,"PPU-Telemig"}</definedName>
    <definedName name="fgxnbf" localSheetId="4" hidden="1">{"MG-2002-F1",#N/A,FALSE,"PPU-Telemig";"MG-2002-F2",#N/A,FALSE,"PPU-Telemig";"MG-2002-F3",#N/A,FALSE,"PPU-Telemig";"MG-2002-F4",#N/A,FALSE,"PPU-Telemig";"MG-2003-F1",#N/A,FALSE,"PPU-Telemig";"MG-2004-F1",#N/A,FALSE,"PPU-Telemig"}</definedName>
    <definedName name="fgxnbf" localSheetId="5" hidden="1">{"MG-2002-F1",#N/A,FALSE,"PPU-Telemig";"MG-2002-F2",#N/A,FALSE,"PPU-Telemig";"MG-2002-F3",#N/A,FALSE,"PPU-Telemig";"MG-2002-F4",#N/A,FALSE,"PPU-Telemig";"MG-2003-F1",#N/A,FALSE,"PPU-Telemig";"MG-2004-F1",#N/A,FALSE,"PPU-Telemig"}</definedName>
    <definedName name="fgxnbf" localSheetId="6" hidden="1">{"MG-2002-F1",#N/A,FALSE,"PPU-Telemig";"MG-2002-F2",#N/A,FALSE,"PPU-Telemig";"MG-2002-F3",#N/A,FALSE,"PPU-Telemig";"MG-2002-F4",#N/A,FALSE,"PPU-Telemig";"MG-2003-F1",#N/A,FALSE,"PPU-Telemig";"MG-2004-F1",#N/A,FALSE,"PPU-Telemig"}</definedName>
    <definedName name="fgxnbf" localSheetId="7" hidden="1">{"MG-2002-F1",#N/A,FALSE,"PPU-Telemig";"MG-2002-F2",#N/A,FALSE,"PPU-Telemig";"MG-2002-F3",#N/A,FALSE,"PPU-Telemig";"MG-2002-F4",#N/A,FALSE,"PPU-Telemig";"MG-2003-F1",#N/A,FALSE,"PPU-Telemig";"MG-2004-F1",#N/A,FALSE,"PPU-Telemig"}</definedName>
    <definedName name="fgxnbf" localSheetId="8" hidden="1">{"MG-2002-F1",#N/A,FALSE,"PPU-Telemig";"MG-2002-F2",#N/A,FALSE,"PPU-Telemig";"MG-2002-F3",#N/A,FALSE,"PPU-Telemig";"MG-2002-F4",#N/A,FALSE,"PPU-Telemig";"MG-2003-F1",#N/A,FALSE,"PPU-Telemig";"MG-2004-F1",#N/A,FALSE,"PPU-Telemig"}</definedName>
    <definedName name="fgxnbf" localSheetId="9" hidden="1">{"MG-2002-F1",#N/A,FALSE,"PPU-Telemig";"MG-2002-F2",#N/A,FALSE,"PPU-Telemig";"MG-2002-F3",#N/A,FALSE,"PPU-Telemig";"MG-2002-F4",#N/A,FALSE,"PPU-Telemig";"MG-2003-F1",#N/A,FALSE,"PPU-Telemig";"MG-2004-F1",#N/A,FALSE,"PPU-Telemig"}</definedName>
    <definedName name="fgxnbf" localSheetId="10" hidden="1">{"MG-2002-F1",#N/A,FALSE,"PPU-Telemig";"MG-2002-F2",#N/A,FALSE,"PPU-Telemig";"MG-2002-F3",#N/A,FALSE,"PPU-Telemig";"MG-2002-F4",#N/A,FALSE,"PPU-Telemig";"MG-2003-F1",#N/A,FALSE,"PPU-Telemig";"MG-2004-F1",#N/A,FALSE,"PPU-Telemig"}</definedName>
    <definedName name="fgxnbf" localSheetId="11" hidden="1">{"MG-2002-F1",#N/A,FALSE,"PPU-Telemig";"MG-2002-F2",#N/A,FALSE,"PPU-Telemig";"MG-2002-F3",#N/A,FALSE,"PPU-Telemig";"MG-2002-F4",#N/A,FALSE,"PPU-Telemig";"MG-2003-F1",#N/A,FALSE,"PPU-Telemig";"MG-2004-F1",#N/A,FALSE,"PPU-Telemig"}</definedName>
    <definedName name="fgxnbf" localSheetId="1" hidden="1">{"MG-2002-F1",#N/A,FALSE,"PPU-Telemig";"MG-2002-F2",#N/A,FALSE,"PPU-Telemig";"MG-2002-F3",#N/A,FALSE,"PPU-Telemig";"MG-2002-F4",#N/A,FALSE,"PPU-Telemig";"MG-2003-F1",#N/A,FALSE,"PPU-Telemig";"MG-2004-F1",#N/A,FALSE,"PPU-Telemig"}</definedName>
    <definedName name="fgxnbf" localSheetId="16" hidden="1">{"MG-2002-F1",#N/A,FALSE,"PPU-Telemig";"MG-2002-F2",#N/A,FALSE,"PPU-Telemig";"MG-2002-F3",#N/A,FALSE,"PPU-Telemig";"MG-2002-F4",#N/A,FALSE,"PPU-Telemig";"MG-2003-F1",#N/A,FALSE,"PPU-Telemig";"MG-2004-F1",#N/A,FALSE,"PPU-Telemig"}</definedName>
    <definedName name="fgxnbf" localSheetId="2" hidden="1">{"MG-2002-F1",#N/A,FALSE,"PPU-Telemig";"MG-2002-F2",#N/A,FALSE,"PPU-Telemig";"MG-2002-F3",#N/A,FALSE,"PPU-Telemig";"MG-2002-F4",#N/A,FALSE,"PPU-Telemig";"MG-2003-F1",#N/A,FALSE,"PPU-Telemig";"MG-2004-F1",#N/A,FALSE,"PPU-Telemig"}</definedName>
    <definedName name="fgxnbf" hidden="1">{"MG-2002-F1",#N/A,FALSE,"PPU-Telemig";"MG-2002-F2",#N/A,FALSE,"PPU-Telemig";"MG-2002-F3",#N/A,FALSE,"PPU-Telemig";"MG-2002-F4",#N/A,FALSE,"PPU-Telemig";"MG-2003-F1",#N/A,FALSE,"PPU-Telemig";"MG-2004-F1",#N/A,FALSE,"PPU-Telemig"}</definedName>
    <definedName name="FSDFSD" localSheetId="12" hidden="1">{0,#N/A,FALSE,0;0,#N/A,FALSE,0;0,#N/A,FALSE,0;0,#N/A,FALSE,0;0,#N/A,FALSE,0;0,#N/A,FALSE,0}</definedName>
    <definedName name="FSDFSD" localSheetId="13" hidden="1">{0,#N/A,FALSE,0;0,#N/A,FALSE,0;0,#N/A,FALSE,0;0,#N/A,FALSE,0;0,#N/A,FALSE,0;0,#N/A,FALSE,0}</definedName>
    <definedName name="FSDFSD" localSheetId="14" hidden="1">{0,#N/A,FALSE,0;0,#N/A,FALSE,0;0,#N/A,FALSE,0;0,#N/A,FALSE,0;0,#N/A,FALSE,0;0,#N/A,FALSE,0}</definedName>
    <definedName name="FSDFSD" localSheetId="15" hidden="1">{0,#N/A,FALSE,0;0,#N/A,FALSE,0;0,#N/A,FALSE,0;0,#N/A,FALSE,0;0,#N/A,FALSE,0;0,#N/A,FALSE,0}</definedName>
    <definedName name="FSDFSD" localSheetId="4" hidden="1">{0,#N/A,FALSE,0;0,#N/A,FALSE,0;0,#N/A,FALSE,0;0,#N/A,FALSE,0;0,#N/A,FALSE,0;0,#N/A,FALSE,0}</definedName>
    <definedName name="FSDFSD" localSheetId="5" hidden="1">{0,#N/A,FALSE,0;0,#N/A,FALSE,0;0,#N/A,FALSE,0;0,#N/A,FALSE,0;0,#N/A,FALSE,0;0,#N/A,FALSE,0}</definedName>
    <definedName name="FSDFSD" localSheetId="6" hidden="1">{0,#N/A,FALSE,0;0,#N/A,FALSE,0;0,#N/A,FALSE,0;0,#N/A,FALSE,0;0,#N/A,FALSE,0;0,#N/A,FALSE,0}</definedName>
    <definedName name="FSDFSD" localSheetId="7" hidden="1">{0,#N/A,FALSE,0;0,#N/A,FALSE,0;0,#N/A,FALSE,0;0,#N/A,FALSE,0;0,#N/A,FALSE,0;0,#N/A,FALSE,0}</definedName>
    <definedName name="FSDFSD" localSheetId="8" hidden="1">{0,#N/A,FALSE,0;0,#N/A,FALSE,0;0,#N/A,FALSE,0;0,#N/A,FALSE,0;0,#N/A,FALSE,0;0,#N/A,FALSE,0}</definedName>
    <definedName name="FSDFSD" localSheetId="9" hidden="1">{0,#N/A,FALSE,0;0,#N/A,FALSE,0;0,#N/A,FALSE,0;0,#N/A,FALSE,0;0,#N/A,FALSE,0;0,#N/A,FALSE,0}</definedName>
    <definedName name="FSDFSD" localSheetId="10" hidden="1">{0,#N/A,FALSE,0;0,#N/A,FALSE,0;0,#N/A,FALSE,0;0,#N/A,FALSE,0;0,#N/A,FALSE,0;0,#N/A,FALSE,0}</definedName>
    <definedName name="FSDFSD" localSheetId="11" hidden="1">{0,#N/A,FALSE,0;0,#N/A,FALSE,0;0,#N/A,FALSE,0;0,#N/A,FALSE,0;0,#N/A,FALSE,0;0,#N/A,FALSE,0}</definedName>
    <definedName name="FSDFSD" localSheetId="1" hidden="1">{0,#N/A,FALSE,0;0,#N/A,FALSE,0;0,#N/A,FALSE,0;0,#N/A,FALSE,0;0,#N/A,FALSE,0;0,#N/A,FALSE,0}</definedName>
    <definedName name="FSDFSD" localSheetId="16" hidden="1">{0,#N/A,FALSE,0;0,#N/A,FALSE,0;0,#N/A,FALSE,0;0,#N/A,FALSE,0;0,#N/A,FALSE,0;0,#N/A,FALSE,0}</definedName>
    <definedName name="FSDFSD" localSheetId="2" hidden="1">{0,#N/A,FALSE,0;0,#N/A,FALSE,0;0,#N/A,FALSE,0;0,#N/A,FALSE,0;0,#N/A,FALSE,0;0,#N/A,FALSE,0}</definedName>
    <definedName name="FSDFSD" hidden="1">{0,#N/A,FALSE,0;0,#N/A,FALSE,0;0,#N/A,FALSE,0;0,#N/A,FALSE,0;0,#N/A,FALSE,0;0,#N/A,FALSE,0}</definedName>
    <definedName name="fsmnfs" localSheetId="12" hidden="1">{"MG-2002-F1",#N/A,FALSE,"PPU-Telemig";"MG-2002-F2",#N/A,FALSE,"PPU-Telemig";"MG-2002-F3",#N/A,FALSE,"PPU-Telemig";"MG-2002-F4",#N/A,FALSE,"PPU-Telemig";"MG-2003-F1",#N/A,FALSE,"PPU-Telemig";"MG-2004-F1",#N/A,FALSE,"PPU-Telemig"}</definedName>
    <definedName name="fsmnfs" localSheetId="13" hidden="1">{"MG-2002-F1",#N/A,FALSE,"PPU-Telemig";"MG-2002-F2",#N/A,FALSE,"PPU-Telemig";"MG-2002-F3",#N/A,FALSE,"PPU-Telemig";"MG-2002-F4",#N/A,FALSE,"PPU-Telemig";"MG-2003-F1",#N/A,FALSE,"PPU-Telemig";"MG-2004-F1",#N/A,FALSE,"PPU-Telemig"}</definedName>
    <definedName name="fsmnfs" localSheetId="14" hidden="1">{"MG-2002-F1",#N/A,FALSE,"PPU-Telemig";"MG-2002-F2",#N/A,FALSE,"PPU-Telemig";"MG-2002-F3",#N/A,FALSE,"PPU-Telemig";"MG-2002-F4",#N/A,FALSE,"PPU-Telemig";"MG-2003-F1",#N/A,FALSE,"PPU-Telemig";"MG-2004-F1",#N/A,FALSE,"PPU-Telemig"}</definedName>
    <definedName name="fsmnfs" localSheetId="15" hidden="1">{"MG-2002-F1",#N/A,FALSE,"PPU-Telemig";"MG-2002-F2",#N/A,FALSE,"PPU-Telemig";"MG-2002-F3",#N/A,FALSE,"PPU-Telemig";"MG-2002-F4",#N/A,FALSE,"PPU-Telemig";"MG-2003-F1",#N/A,FALSE,"PPU-Telemig";"MG-2004-F1",#N/A,FALSE,"PPU-Telemig"}</definedName>
    <definedName name="fsmnfs" localSheetId="4" hidden="1">{"MG-2002-F1",#N/A,FALSE,"PPU-Telemig";"MG-2002-F2",#N/A,FALSE,"PPU-Telemig";"MG-2002-F3",#N/A,FALSE,"PPU-Telemig";"MG-2002-F4",#N/A,FALSE,"PPU-Telemig";"MG-2003-F1",#N/A,FALSE,"PPU-Telemig";"MG-2004-F1",#N/A,FALSE,"PPU-Telemig"}</definedName>
    <definedName name="fsmnfs" localSheetId="5" hidden="1">{"MG-2002-F1",#N/A,FALSE,"PPU-Telemig";"MG-2002-F2",#N/A,FALSE,"PPU-Telemig";"MG-2002-F3",#N/A,FALSE,"PPU-Telemig";"MG-2002-F4",#N/A,FALSE,"PPU-Telemig";"MG-2003-F1",#N/A,FALSE,"PPU-Telemig";"MG-2004-F1",#N/A,FALSE,"PPU-Telemig"}</definedName>
    <definedName name="fsmnfs" localSheetId="6" hidden="1">{"MG-2002-F1",#N/A,FALSE,"PPU-Telemig";"MG-2002-F2",#N/A,FALSE,"PPU-Telemig";"MG-2002-F3",#N/A,FALSE,"PPU-Telemig";"MG-2002-F4",#N/A,FALSE,"PPU-Telemig";"MG-2003-F1",#N/A,FALSE,"PPU-Telemig";"MG-2004-F1",#N/A,FALSE,"PPU-Telemig"}</definedName>
    <definedName name="fsmnfs" localSheetId="7" hidden="1">{"MG-2002-F1",#N/A,FALSE,"PPU-Telemig";"MG-2002-F2",#N/A,FALSE,"PPU-Telemig";"MG-2002-F3",#N/A,FALSE,"PPU-Telemig";"MG-2002-F4",#N/A,FALSE,"PPU-Telemig";"MG-2003-F1",#N/A,FALSE,"PPU-Telemig";"MG-2004-F1",#N/A,FALSE,"PPU-Telemig"}</definedName>
    <definedName name="fsmnfs" localSheetId="8" hidden="1">{"MG-2002-F1",#N/A,FALSE,"PPU-Telemig";"MG-2002-F2",#N/A,FALSE,"PPU-Telemig";"MG-2002-F3",#N/A,FALSE,"PPU-Telemig";"MG-2002-F4",#N/A,FALSE,"PPU-Telemig";"MG-2003-F1",#N/A,FALSE,"PPU-Telemig";"MG-2004-F1",#N/A,FALSE,"PPU-Telemig"}</definedName>
    <definedName name="fsmnfs" localSheetId="9" hidden="1">{"MG-2002-F1",#N/A,FALSE,"PPU-Telemig";"MG-2002-F2",#N/A,FALSE,"PPU-Telemig";"MG-2002-F3",#N/A,FALSE,"PPU-Telemig";"MG-2002-F4",#N/A,FALSE,"PPU-Telemig";"MG-2003-F1",#N/A,FALSE,"PPU-Telemig";"MG-2004-F1",#N/A,FALSE,"PPU-Telemig"}</definedName>
    <definedName name="fsmnfs" localSheetId="10" hidden="1">{"MG-2002-F1",#N/A,FALSE,"PPU-Telemig";"MG-2002-F2",#N/A,FALSE,"PPU-Telemig";"MG-2002-F3",#N/A,FALSE,"PPU-Telemig";"MG-2002-F4",#N/A,FALSE,"PPU-Telemig";"MG-2003-F1",#N/A,FALSE,"PPU-Telemig";"MG-2004-F1",#N/A,FALSE,"PPU-Telemig"}</definedName>
    <definedName name="fsmnfs" localSheetId="11" hidden="1">{"MG-2002-F1",#N/A,FALSE,"PPU-Telemig";"MG-2002-F2",#N/A,FALSE,"PPU-Telemig";"MG-2002-F3",#N/A,FALSE,"PPU-Telemig";"MG-2002-F4",#N/A,FALSE,"PPU-Telemig";"MG-2003-F1",#N/A,FALSE,"PPU-Telemig";"MG-2004-F1",#N/A,FALSE,"PPU-Telemig"}</definedName>
    <definedName name="fsmnfs" localSheetId="1" hidden="1">{"MG-2002-F1",#N/A,FALSE,"PPU-Telemig";"MG-2002-F2",#N/A,FALSE,"PPU-Telemig";"MG-2002-F3",#N/A,FALSE,"PPU-Telemig";"MG-2002-F4",#N/A,FALSE,"PPU-Telemig";"MG-2003-F1",#N/A,FALSE,"PPU-Telemig";"MG-2004-F1",#N/A,FALSE,"PPU-Telemig"}</definedName>
    <definedName name="fsmnfs" localSheetId="16" hidden="1">{"MG-2002-F1",#N/A,FALSE,"PPU-Telemig";"MG-2002-F2",#N/A,FALSE,"PPU-Telemig";"MG-2002-F3",#N/A,FALSE,"PPU-Telemig";"MG-2002-F4",#N/A,FALSE,"PPU-Telemig";"MG-2003-F1",#N/A,FALSE,"PPU-Telemig";"MG-2004-F1",#N/A,FALSE,"PPU-Telemig"}</definedName>
    <definedName name="fsmnfs" localSheetId="2" hidden="1">{"MG-2002-F1",#N/A,FALSE,"PPU-Telemig";"MG-2002-F2",#N/A,FALSE,"PPU-Telemig";"MG-2002-F3",#N/A,FALSE,"PPU-Telemig";"MG-2002-F4",#N/A,FALSE,"PPU-Telemig";"MG-2003-F1",#N/A,FALSE,"PPU-Telemig";"MG-2004-F1",#N/A,FALSE,"PPU-Telemig"}</definedName>
    <definedName name="fsmnfs" hidden="1">{"MG-2002-F1",#N/A,FALSE,"PPU-Telemig";"MG-2002-F2",#N/A,FALSE,"PPU-Telemig";"MG-2002-F3",#N/A,FALSE,"PPU-Telemig";"MG-2002-F4",#N/A,FALSE,"PPU-Telemig";"MG-2003-F1",#N/A,FALSE,"PPU-Telemig";"MG-2004-F1",#N/A,FALSE,"PPU-Telemig"}</definedName>
    <definedName name="Fuente" localSheetId="10">[10]Tablas!$D$2:$D$10</definedName>
    <definedName name="Fuente">[11]Tablas!$D$2:$D$10</definedName>
    <definedName name="FUENTES">'[9]Datos Inciales'!$B$40:$B$49</definedName>
    <definedName name="Ｆグラフ" localSheetId="12" hidden="1">#REF!</definedName>
    <definedName name="Ｆグラフ" localSheetId="13" hidden="1">#REF!</definedName>
    <definedName name="Ｆグラフ" localSheetId="14" hidden="1">#REF!</definedName>
    <definedName name="Ｆグラフ" localSheetId="15" hidden="1">#REF!</definedName>
    <definedName name="Ｆグラフ" localSheetId="4" hidden="1">#REF!</definedName>
    <definedName name="Ｆグラフ" localSheetId="5" hidden="1">#REF!</definedName>
    <definedName name="Ｆグラフ" localSheetId="6" hidden="1">#REF!</definedName>
    <definedName name="Ｆグラフ" localSheetId="7" hidden="1">#REF!</definedName>
    <definedName name="Ｆグラフ" localSheetId="8" hidden="1">#REF!</definedName>
    <definedName name="Ｆグラフ" localSheetId="9" hidden="1">#REF!</definedName>
    <definedName name="Ｆグラフ" localSheetId="10" hidden="1">#REF!</definedName>
    <definedName name="Ｆグラフ" localSheetId="11" hidden="1">#REF!</definedName>
    <definedName name="Ｆグラフ" localSheetId="16" hidden="1">#REF!</definedName>
    <definedName name="Ｆグラフ" localSheetId="2" hidden="1">#REF!</definedName>
    <definedName name="Ｆグラフ" hidden="1">#REF!</definedName>
    <definedName name="gbvREDSAb" localSheetId="12" hidden="1">{"MG-2002-F1",#N/A,FALSE,"PPU-Telemig";"MG-2002-F2",#N/A,FALSE,"PPU-Telemig";"MG-2002-F3",#N/A,FALSE,"PPU-Telemig";"MG-2002-F4",#N/A,FALSE,"PPU-Telemig";"MG-2003-F1",#N/A,FALSE,"PPU-Telemig";"MG-2004-F1",#N/A,FALSE,"PPU-Telemig"}</definedName>
    <definedName name="gbvREDSAb" localSheetId="13" hidden="1">{"MG-2002-F1",#N/A,FALSE,"PPU-Telemig";"MG-2002-F2",#N/A,FALSE,"PPU-Telemig";"MG-2002-F3",#N/A,FALSE,"PPU-Telemig";"MG-2002-F4",#N/A,FALSE,"PPU-Telemig";"MG-2003-F1",#N/A,FALSE,"PPU-Telemig";"MG-2004-F1",#N/A,FALSE,"PPU-Telemig"}</definedName>
    <definedName name="gbvREDSAb" localSheetId="14" hidden="1">{"MG-2002-F1",#N/A,FALSE,"PPU-Telemig";"MG-2002-F2",#N/A,FALSE,"PPU-Telemig";"MG-2002-F3",#N/A,FALSE,"PPU-Telemig";"MG-2002-F4",#N/A,FALSE,"PPU-Telemig";"MG-2003-F1",#N/A,FALSE,"PPU-Telemig";"MG-2004-F1",#N/A,FALSE,"PPU-Telemig"}</definedName>
    <definedName name="gbvREDSAb" localSheetId="15" hidden="1">{"MG-2002-F1",#N/A,FALSE,"PPU-Telemig";"MG-2002-F2",#N/A,FALSE,"PPU-Telemig";"MG-2002-F3",#N/A,FALSE,"PPU-Telemig";"MG-2002-F4",#N/A,FALSE,"PPU-Telemig";"MG-2003-F1",#N/A,FALSE,"PPU-Telemig";"MG-2004-F1",#N/A,FALSE,"PPU-Telemig"}</definedName>
    <definedName name="gbvREDSAb" localSheetId="4" hidden="1">{"MG-2002-F1",#N/A,FALSE,"PPU-Telemig";"MG-2002-F2",#N/A,FALSE,"PPU-Telemig";"MG-2002-F3",#N/A,FALSE,"PPU-Telemig";"MG-2002-F4",#N/A,FALSE,"PPU-Telemig";"MG-2003-F1",#N/A,FALSE,"PPU-Telemig";"MG-2004-F1",#N/A,FALSE,"PPU-Telemig"}</definedName>
    <definedName name="gbvREDSAb" localSheetId="5" hidden="1">{"MG-2002-F1",#N/A,FALSE,"PPU-Telemig";"MG-2002-F2",#N/A,FALSE,"PPU-Telemig";"MG-2002-F3",#N/A,FALSE,"PPU-Telemig";"MG-2002-F4",#N/A,FALSE,"PPU-Telemig";"MG-2003-F1",#N/A,FALSE,"PPU-Telemig";"MG-2004-F1",#N/A,FALSE,"PPU-Telemig"}</definedName>
    <definedName name="gbvREDSAb" localSheetId="6" hidden="1">{"MG-2002-F1",#N/A,FALSE,"PPU-Telemig";"MG-2002-F2",#N/A,FALSE,"PPU-Telemig";"MG-2002-F3",#N/A,FALSE,"PPU-Telemig";"MG-2002-F4",#N/A,FALSE,"PPU-Telemig";"MG-2003-F1",#N/A,FALSE,"PPU-Telemig";"MG-2004-F1",#N/A,FALSE,"PPU-Telemig"}</definedName>
    <definedName name="gbvREDSAb" localSheetId="7" hidden="1">{"MG-2002-F1",#N/A,FALSE,"PPU-Telemig";"MG-2002-F2",#N/A,FALSE,"PPU-Telemig";"MG-2002-F3",#N/A,FALSE,"PPU-Telemig";"MG-2002-F4",#N/A,FALSE,"PPU-Telemig";"MG-2003-F1",#N/A,FALSE,"PPU-Telemig";"MG-2004-F1",#N/A,FALSE,"PPU-Telemig"}</definedName>
    <definedName name="gbvREDSAb" localSheetId="8" hidden="1">{"MG-2002-F1",#N/A,FALSE,"PPU-Telemig";"MG-2002-F2",#N/A,FALSE,"PPU-Telemig";"MG-2002-F3",#N/A,FALSE,"PPU-Telemig";"MG-2002-F4",#N/A,FALSE,"PPU-Telemig";"MG-2003-F1",#N/A,FALSE,"PPU-Telemig";"MG-2004-F1",#N/A,FALSE,"PPU-Telemig"}</definedName>
    <definedName name="gbvREDSAb" localSheetId="9" hidden="1">{"MG-2002-F1",#N/A,FALSE,"PPU-Telemig";"MG-2002-F2",#N/A,FALSE,"PPU-Telemig";"MG-2002-F3",#N/A,FALSE,"PPU-Telemig";"MG-2002-F4",#N/A,FALSE,"PPU-Telemig";"MG-2003-F1",#N/A,FALSE,"PPU-Telemig";"MG-2004-F1",#N/A,FALSE,"PPU-Telemig"}</definedName>
    <definedName name="gbvREDSAb" localSheetId="10" hidden="1">{"MG-2002-F1",#N/A,FALSE,"PPU-Telemig";"MG-2002-F2",#N/A,FALSE,"PPU-Telemig";"MG-2002-F3",#N/A,FALSE,"PPU-Telemig";"MG-2002-F4",#N/A,FALSE,"PPU-Telemig";"MG-2003-F1",#N/A,FALSE,"PPU-Telemig";"MG-2004-F1",#N/A,FALSE,"PPU-Telemig"}</definedName>
    <definedName name="gbvREDSAb" localSheetId="11" hidden="1">{"MG-2002-F1",#N/A,FALSE,"PPU-Telemig";"MG-2002-F2",#N/A,FALSE,"PPU-Telemig";"MG-2002-F3",#N/A,FALSE,"PPU-Telemig";"MG-2002-F4",#N/A,FALSE,"PPU-Telemig";"MG-2003-F1",#N/A,FALSE,"PPU-Telemig";"MG-2004-F1",#N/A,FALSE,"PPU-Telemig"}</definedName>
    <definedName name="gbvREDSAb" localSheetId="1" hidden="1">{"MG-2002-F1",#N/A,FALSE,"PPU-Telemig";"MG-2002-F2",#N/A,FALSE,"PPU-Telemig";"MG-2002-F3",#N/A,FALSE,"PPU-Telemig";"MG-2002-F4",#N/A,FALSE,"PPU-Telemig";"MG-2003-F1",#N/A,FALSE,"PPU-Telemig";"MG-2004-F1",#N/A,FALSE,"PPU-Telemig"}</definedName>
    <definedName name="gbvREDSAb" localSheetId="16" hidden="1">{"MG-2002-F1",#N/A,FALSE,"PPU-Telemig";"MG-2002-F2",#N/A,FALSE,"PPU-Telemig";"MG-2002-F3",#N/A,FALSE,"PPU-Telemig";"MG-2002-F4",#N/A,FALSE,"PPU-Telemig";"MG-2003-F1",#N/A,FALSE,"PPU-Telemig";"MG-2004-F1",#N/A,FALSE,"PPU-Telemig"}</definedName>
    <definedName name="gbvREDSAb" localSheetId="2" hidden="1">{"MG-2002-F1",#N/A,FALSE,"PPU-Telemig";"MG-2002-F2",#N/A,FALSE,"PPU-Telemig";"MG-2002-F3",#N/A,FALSE,"PPU-Telemig";"MG-2002-F4",#N/A,FALSE,"PPU-Telemig";"MG-2003-F1",#N/A,FALSE,"PPU-Telemig";"MG-2004-F1",#N/A,FALSE,"PPU-Telemig"}</definedName>
    <definedName name="gbvREDSAb" hidden="1">{"MG-2002-F1",#N/A,FALSE,"PPU-Telemig";"MG-2002-F2",#N/A,FALSE,"PPU-Telemig";"MG-2002-F3",#N/A,FALSE,"PPU-Telemig";"MG-2002-F4",#N/A,FALSE,"PPU-Telemig";"MG-2003-F1",#N/A,FALSE,"PPU-Telemig";"MG-2004-F1",#N/A,FALSE,"PPU-Telemig"}</definedName>
    <definedName name="geral" localSheetId="12" hidden="1">{"MG-2002-F1",#N/A,FALSE,"PPU-Telemig";"MG-2002-F2",#N/A,FALSE,"PPU-Telemig";"MG-2002-F3",#N/A,FALSE,"PPU-Telemig";"MG-2002-F4",#N/A,FALSE,"PPU-Telemig";"MG-2003-F1",#N/A,FALSE,"PPU-Telemig";"MG-2004-F1",#N/A,FALSE,"PPU-Telemig"}</definedName>
    <definedName name="geral" localSheetId="13" hidden="1">{"MG-2002-F1",#N/A,FALSE,"PPU-Telemig";"MG-2002-F2",#N/A,FALSE,"PPU-Telemig";"MG-2002-F3",#N/A,FALSE,"PPU-Telemig";"MG-2002-F4",#N/A,FALSE,"PPU-Telemig";"MG-2003-F1",#N/A,FALSE,"PPU-Telemig";"MG-2004-F1",#N/A,FALSE,"PPU-Telemig"}</definedName>
    <definedName name="geral" localSheetId="14" hidden="1">{"MG-2002-F1",#N/A,FALSE,"PPU-Telemig";"MG-2002-F2",#N/A,FALSE,"PPU-Telemig";"MG-2002-F3",#N/A,FALSE,"PPU-Telemig";"MG-2002-F4",#N/A,FALSE,"PPU-Telemig";"MG-2003-F1",#N/A,FALSE,"PPU-Telemig";"MG-2004-F1",#N/A,FALSE,"PPU-Telemig"}</definedName>
    <definedName name="geral" localSheetId="15" hidden="1">{"MG-2002-F1",#N/A,FALSE,"PPU-Telemig";"MG-2002-F2",#N/A,FALSE,"PPU-Telemig";"MG-2002-F3",#N/A,FALSE,"PPU-Telemig";"MG-2002-F4",#N/A,FALSE,"PPU-Telemig";"MG-2003-F1",#N/A,FALSE,"PPU-Telemig";"MG-2004-F1",#N/A,FALSE,"PPU-Telemig"}</definedName>
    <definedName name="geral" localSheetId="4" hidden="1">{"MG-2002-F1",#N/A,FALSE,"PPU-Telemig";"MG-2002-F2",#N/A,FALSE,"PPU-Telemig";"MG-2002-F3",#N/A,FALSE,"PPU-Telemig";"MG-2002-F4",#N/A,FALSE,"PPU-Telemig";"MG-2003-F1",#N/A,FALSE,"PPU-Telemig";"MG-2004-F1",#N/A,FALSE,"PPU-Telemig"}</definedName>
    <definedName name="geral" localSheetId="5" hidden="1">{"MG-2002-F1",#N/A,FALSE,"PPU-Telemig";"MG-2002-F2",#N/A,FALSE,"PPU-Telemig";"MG-2002-F3",#N/A,FALSE,"PPU-Telemig";"MG-2002-F4",#N/A,FALSE,"PPU-Telemig";"MG-2003-F1",#N/A,FALSE,"PPU-Telemig";"MG-2004-F1",#N/A,FALSE,"PPU-Telemig"}</definedName>
    <definedName name="geral" localSheetId="6" hidden="1">{"MG-2002-F1",#N/A,FALSE,"PPU-Telemig";"MG-2002-F2",#N/A,FALSE,"PPU-Telemig";"MG-2002-F3",#N/A,FALSE,"PPU-Telemig";"MG-2002-F4",#N/A,FALSE,"PPU-Telemig";"MG-2003-F1",#N/A,FALSE,"PPU-Telemig";"MG-2004-F1",#N/A,FALSE,"PPU-Telemig"}</definedName>
    <definedName name="geral" localSheetId="7" hidden="1">{"MG-2002-F1",#N/A,FALSE,"PPU-Telemig";"MG-2002-F2",#N/A,FALSE,"PPU-Telemig";"MG-2002-F3",#N/A,FALSE,"PPU-Telemig";"MG-2002-F4",#N/A,FALSE,"PPU-Telemig";"MG-2003-F1",#N/A,FALSE,"PPU-Telemig";"MG-2004-F1",#N/A,FALSE,"PPU-Telemig"}</definedName>
    <definedName name="geral" localSheetId="8" hidden="1">{"MG-2002-F1",#N/A,FALSE,"PPU-Telemig";"MG-2002-F2",#N/A,FALSE,"PPU-Telemig";"MG-2002-F3",#N/A,FALSE,"PPU-Telemig";"MG-2002-F4",#N/A,FALSE,"PPU-Telemig";"MG-2003-F1",#N/A,FALSE,"PPU-Telemig";"MG-2004-F1",#N/A,FALSE,"PPU-Telemig"}</definedName>
    <definedName name="geral" localSheetId="9" hidden="1">{"MG-2002-F1",#N/A,FALSE,"PPU-Telemig";"MG-2002-F2",#N/A,FALSE,"PPU-Telemig";"MG-2002-F3",#N/A,FALSE,"PPU-Telemig";"MG-2002-F4",#N/A,FALSE,"PPU-Telemig";"MG-2003-F1",#N/A,FALSE,"PPU-Telemig";"MG-2004-F1",#N/A,FALSE,"PPU-Telemig"}</definedName>
    <definedName name="geral" localSheetId="10" hidden="1">{"MG-2002-F1",#N/A,FALSE,"PPU-Telemig";"MG-2002-F2",#N/A,FALSE,"PPU-Telemig";"MG-2002-F3",#N/A,FALSE,"PPU-Telemig";"MG-2002-F4",#N/A,FALSE,"PPU-Telemig";"MG-2003-F1",#N/A,FALSE,"PPU-Telemig";"MG-2004-F1",#N/A,FALSE,"PPU-Telemig"}</definedName>
    <definedName name="geral" localSheetId="11" hidden="1">{"MG-2002-F1",#N/A,FALSE,"PPU-Telemig";"MG-2002-F2",#N/A,FALSE,"PPU-Telemig";"MG-2002-F3",#N/A,FALSE,"PPU-Telemig";"MG-2002-F4",#N/A,FALSE,"PPU-Telemig";"MG-2003-F1",#N/A,FALSE,"PPU-Telemig";"MG-2004-F1",#N/A,FALSE,"PPU-Telemig"}</definedName>
    <definedName name="geral" localSheetId="1" hidden="1">{"MG-2002-F1",#N/A,FALSE,"PPU-Telemig";"MG-2002-F2",#N/A,FALSE,"PPU-Telemig";"MG-2002-F3",#N/A,FALSE,"PPU-Telemig";"MG-2002-F4",#N/A,FALSE,"PPU-Telemig";"MG-2003-F1",#N/A,FALSE,"PPU-Telemig";"MG-2004-F1",#N/A,FALSE,"PPU-Telemig"}</definedName>
    <definedName name="geral" localSheetId="16" hidden="1">{"MG-2002-F1",#N/A,FALSE,"PPU-Telemig";"MG-2002-F2",#N/A,FALSE,"PPU-Telemig";"MG-2002-F3",#N/A,FALSE,"PPU-Telemig";"MG-2002-F4",#N/A,FALSE,"PPU-Telemig";"MG-2003-F1",#N/A,FALSE,"PPU-Telemig";"MG-2004-F1",#N/A,FALSE,"PPU-Telemig"}</definedName>
    <definedName name="geral" localSheetId="2" hidden="1">{"MG-2002-F1",#N/A,FALSE,"PPU-Telemig";"MG-2002-F2",#N/A,FALSE,"PPU-Telemig";"MG-2002-F3",#N/A,FALSE,"PPU-Telemig";"MG-2002-F4",#N/A,FALSE,"PPU-Telemig";"MG-2003-F1",#N/A,FALSE,"PPU-Telemig";"MG-2004-F1",#N/A,FALSE,"PPU-Telemig"}</definedName>
    <definedName name="geral" hidden="1">{"MG-2002-F1",#N/A,FALSE,"PPU-Telemig";"MG-2002-F2",#N/A,FALSE,"PPU-Telemig";"MG-2002-F3",#N/A,FALSE,"PPU-Telemig";"MG-2002-F4",#N/A,FALSE,"PPU-Telemig";"MG-2003-F1",#N/A,FALSE,"PPU-Telemig";"MG-2004-F1",#N/A,FALSE,"PPU-Telemig"}</definedName>
    <definedName name="GFH" localSheetId="16" hidden="1">#REF!</definedName>
    <definedName name="GFH" localSheetId="2" hidden="1">#REF!</definedName>
    <definedName name="GFH" hidden="1">#REF!</definedName>
    <definedName name="GRUPO" localSheetId="16">ENCUESTA!$AX$11:$AX$13</definedName>
    <definedName name="GRUPO">#REF!</definedName>
    <definedName name="hhjn" localSheetId="12" hidden="1">{"MG-2002-F1",#N/A,FALSE,"PPU-Telemig";"MG-2002-F2",#N/A,FALSE,"PPU-Telemig";"MG-2002-F3",#N/A,FALSE,"PPU-Telemig";"MG-2002-F4",#N/A,FALSE,"PPU-Telemig";"MG-2003-F1",#N/A,FALSE,"PPU-Telemig";"MG-2004-F1",#N/A,FALSE,"PPU-Telemig"}</definedName>
    <definedName name="hhjn" localSheetId="13" hidden="1">{"MG-2002-F1",#N/A,FALSE,"PPU-Telemig";"MG-2002-F2",#N/A,FALSE,"PPU-Telemig";"MG-2002-F3",#N/A,FALSE,"PPU-Telemig";"MG-2002-F4",#N/A,FALSE,"PPU-Telemig";"MG-2003-F1",#N/A,FALSE,"PPU-Telemig";"MG-2004-F1",#N/A,FALSE,"PPU-Telemig"}</definedName>
    <definedName name="hhjn" localSheetId="14" hidden="1">{"MG-2002-F1",#N/A,FALSE,"PPU-Telemig";"MG-2002-F2",#N/A,FALSE,"PPU-Telemig";"MG-2002-F3",#N/A,FALSE,"PPU-Telemig";"MG-2002-F4",#N/A,FALSE,"PPU-Telemig";"MG-2003-F1",#N/A,FALSE,"PPU-Telemig";"MG-2004-F1",#N/A,FALSE,"PPU-Telemig"}</definedName>
    <definedName name="hhjn" localSheetId="15" hidden="1">{"MG-2002-F1",#N/A,FALSE,"PPU-Telemig";"MG-2002-F2",#N/A,FALSE,"PPU-Telemig";"MG-2002-F3",#N/A,FALSE,"PPU-Telemig";"MG-2002-F4",#N/A,FALSE,"PPU-Telemig";"MG-2003-F1",#N/A,FALSE,"PPU-Telemig";"MG-2004-F1",#N/A,FALSE,"PPU-Telemig"}</definedName>
    <definedName name="hhjn" localSheetId="4" hidden="1">{"MG-2002-F1",#N/A,FALSE,"PPU-Telemig";"MG-2002-F2",#N/A,FALSE,"PPU-Telemig";"MG-2002-F3",#N/A,FALSE,"PPU-Telemig";"MG-2002-F4",#N/A,FALSE,"PPU-Telemig";"MG-2003-F1",#N/A,FALSE,"PPU-Telemig";"MG-2004-F1",#N/A,FALSE,"PPU-Telemig"}</definedName>
    <definedName name="hhjn" localSheetId="5" hidden="1">{"MG-2002-F1",#N/A,FALSE,"PPU-Telemig";"MG-2002-F2",#N/A,FALSE,"PPU-Telemig";"MG-2002-F3",#N/A,FALSE,"PPU-Telemig";"MG-2002-F4",#N/A,FALSE,"PPU-Telemig";"MG-2003-F1",#N/A,FALSE,"PPU-Telemig";"MG-2004-F1",#N/A,FALSE,"PPU-Telemig"}</definedName>
    <definedName name="hhjn" localSheetId="6" hidden="1">{"MG-2002-F1",#N/A,FALSE,"PPU-Telemig";"MG-2002-F2",#N/A,FALSE,"PPU-Telemig";"MG-2002-F3",#N/A,FALSE,"PPU-Telemig";"MG-2002-F4",#N/A,FALSE,"PPU-Telemig";"MG-2003-F1",#N/A,FALSE,"PPU-Telemig";"MG-2004-F1",#N/A,FALSE,"PPU-Telemig"}</definedName>
    <definedName name="hhjn" localSheetId="7" hidden="1">{"MG-2002-F1",#N/A,FALSE,"PPU-Telemig";"MG-2002-F2",#N/A,FALSE,"PPU-Telemig";"MG-2002-F3",#N/A,FALSE,"PPU-Telemig";"MG-2002-F4",#N/A,FALSE,"PPU-Telemig";"MG-2003-F1",#N/A,FALSE,"PPU-Telemig";"MG-2004-F1",#N/A,FALSE,"PPU-Telemig"}</definedName>
    <definedName name="hhjn" localSheetId="8" hidden="1">{"MG-2002-F1",#N/A,FALSE,"PPU-Telemig";"MG-2002-F2",#N/A,FALSE,"PPU-Telemig";"MG-2002-F3",#N/A,FALSE,"PPU-Telemig";"MG-2002-F4",#N/A,FALSE,"PPU-Telemig";"MG-2003-F1",#N/A,FALSE,"PPU-Telemig";"MG-2004-F1",#N/A,FALSE,"PPU-Telemig"}</definedName>
    <definedName name="hhjn" localSheetId="9" hidden="1">{"MG-2002-F1",#N/A,FALSE,"PPU-Telemig";"MG-2002-F2",#N/A,FALSE,"PPU-Telemig";"MG-2002-F3",#N/A,FALSE,"PPU-Telemig";"MG-2002-F4",#N/A,FALSE,"PPU-Telemig";"MG-2003-F1",#N/A,FALSE,"PPU-Telemig";"MG-2004-F1",#N/A,FALSE,"PPU-Telemig"}</definedName>
    <definedName name="hhjn" localSheetId="10" hidden="1">{"MG-2002-F1",#N/A,FALSE,"PPU-Telemig";"MG-2002-F2",#N/A,FALSE,"PPU-Telemig";"MG-2002-F3",#N/A,FALSE,"PPU-Telemig";"MG-2002-F4",#N/A,FALSE,"PPU-Telemig";"MG-2003-F1",#N/A,FALSE,"PPU-Telemig";"MG-2004-F1",#N/A,FALSE,"PPU-Telemig"}</definedName>
    <definedName name="hhjn" localSheetId="11" hidden="1">{"MG-2002-F1",#N/A,FALSE,"PPU-Telemig";"MG-2002-F2",#N/A,FALSE,"PPU-Telemig";"MG-2002-F3",#N/A,FALSE,"PPU-Telemig";"MG-2002-F4",#N/A,FALSE,"PPU-Telemig";"MG-2003-F1",#N/A,FALSE,"PPU-Telemig";"MG-2004-F1",#N/A,FALSE,"PPU-Telemig"}</definedName>
    <definedName name="hhjn" localSheetId="1" hidden="1">{"MG-2002-F1",#N/A,FALSE,"PPU-Telemig";"MG-2002-F2",#N/A,FALSE,"PPU-Telemig";"MG-2002-F3",#N/A,FALSE,"PPU-Telemig";"MG-2002-F4",#N/A,FALSE,"PPU-Telemig";"MG-2003-F1",#N/A,FALSE,"PPU-Telemig";"MG-2004-F1",#N/A,FALSE,"PPU-Telemig"}</definedName>
    <definedName name="hhjn" localSheetId="16" hidden="1">{"MG-2002-F1",#N/A,FALSE,"PPU-Telemig";"MG-2002-F2",#N/A,FALSE,"PPU-Telemig";"MG-2002-F3",#N/A,FALSE,"PPU-Telemig";"MG-2002-F4",#N/A,FALSE,"PPU-Telemig";"MG-2003-F1",#N/A,FALSE,"PPU-Telemig";"MG-2004-F1",#N/A,FALSE,"PPU-Telemig"}</definedName>
    <definedName name="hhjn" localSheetId="2" hidden="1">{"MG-2002-F1",#N/A,FALSE,"PPU-Telemig";"MG-2002-F2",#N/A,FALSE,"PPU-Telemig";"MG-2002-F3",#N/A,FALSE,"PPU-Telemig";"MG-2002-F4",#N/A,FALSE,"PPU-Telemig";"MG-2003-F1",#N/A,FALSE,"PPU-Telemig";"MG-2004-F1",#N/A,FALSE,"PPU-Telemig"}</definedName>
    <definedName name="hhjn" hidden="1">{"MG-2002-F1",#N/A,FALSE,"PPU-Telemig";"MG-2002-F2",#N/A,FALSE,"PPU-Telemig";"MG-2002-F3",#N/A,FALSE,"PPU-Telemig";"MG-2002-F4",#N/A,FALSE,"PPU-Telemig";"MG-2003-F1",#N/A,FALSE,"PPU-Telemig";"MG-2004-F1",#N/A,FALSE,"PPU-Telemig"}</definedName>
    <definedName name="hjgmyjk" localSheetId="12"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localSheetId="13"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localSheetId="14"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localSheetId="15"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localSheetId="4"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localSheetId="5"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localSheetId="6"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localSheetId="7"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localSheetId="8"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localSheetId="9"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localSheetId="1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localSheetId="11"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localSheetId="1"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localSheetId="16"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localSheetId="2"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m" localSheetId="12" hidden="1">{#N/A,#N/A,FALSE,"KEGELLE 1 (3)";#N/A,#N/A,FALSE,"KEGELLE 2 (3)";#N/A,#N/A,FALSE,"KEGELLE 3 (3)";#N/A,#N/A,FALSE,"KEGELLE 4 (3)";#N/A,#N/A,FALSE,"KEGELLE 5 (3)";#N/A,#N/A,FALSE,"KEGELLE 6 (3)";#N/A,#N/A,FALSE,"KEGELLE 7 (3)"}</definedName>
    <definedName name="hjm" localSheetId="13" hidden="1">{#N/A,#N/A,FALSE,"KEGELLE 1 (3)";#N/A,#N/A,FALSE,"KEGELLE 2 (3)";#N/A,#N/A,FALSE,"KEGELLE 3 (3)";#N/A,#N/A,FALSE,"KEGELLE 4 (3)";#N/A,#N/A,FALSE,"KEGELLE 5 (3)";#N/A,#N/A,FALSE,"KEGELLE 6 (3)";#N/A,#N/A,FALSE,"KEGELLE 7 (3)"}</definedName>
    <definedName name="hjm" localSheetId="14" hidden="1">{#N/A,#N/A,FALSE,"KEGELLE 1 (3)";#N/A,#N/A,FALSE,"KEGELLE 2 (3)";#N/A,#N/A,FALSE,"KEGELLE 3 (3)";#N/A,#N/A,FALSE,"KEGELLE 4 (3)";#N/A,#N/A,FALSE,"KEGELLE 5 (3)";#N/A,#N/A,FALSE,"KEGELLE 6 (3)";#N/A,#N/A,FALSE,"KEGELLE 7 (3)"}</definedName>
    <definedName name="hjm" localSheetId="15" hidden="1">{#N/A,#N/A,FALSE,"KEGELLE 1 (3)";#N/A,#N/A,FALSE,"KEGELLE 2 (3)";#N/A,#N/A,FALSE,"KEGELLE 3 (3)";#N/A,#N/A,FALSE,"KEGELLE 4 (3)";#N/A,#N/A,FALSE,"KEGELLE 5 (3)";#N/A,#N/A,FALSE,"KEGELLE 6 (3)";#N/A,#N/A,FALSE,"KEGELLE 7 (3)"}</definedName>
    <definedName name="hjm" localSheetId="4" hidden="1">{#N/A,#N/A,FALSE,"KEGELLE 1 (3)";#N/A,#N/A,FALSE,"KEGELLE 2 (3)";#N/A,#N/A,FALSE,"KEGELLE 3 (3)";#N/A,#N/A,FALSE,"KEGELLE 4 (3)";#N/A,#N/A,FALSE,"KEGELLE 5 (3)";#N/A,#N/A,FALSE,"KEGELLE 6 (3)";#N/A,#N/A,FALSE,"KEGELLE 7 (3)"}</definedName>
    <definedName name="hjm" localSheetId="5" hidden="1">{#N/A,#N/A,FALSE,"KEGELLE 1 (3)";#N/A,#N/A,FALSE,"KEGELLE 2 (3)";#N/A,#N/A,FALSE,"KEGELLE 3 (3)";#N/A,#N/A,FALSE,"KEGELLE 4 (3)";#N/A,#N/A,FALSE,"KEGELLE 5 (3)";#N/A,#N/A,FALSE,"KEGELLE 6 (3)";#N/A,#N/A,FALSE,"KEGELLE 7 (3)"}</definedName>
    <definedName name="hjm" localSheetId="6" hidden="1">{#N/A,#N/A,FALSE,"KEGELLE 1 (3)";#N/A,#N/A,FALSE,"KEGELLE 2 (3)";#N/A,#N/A,FALSE,"KEGELLE 3 (3)";#N/A,#N/A,FALSE,"KEGELLE 4 (3)";#N/A,#N/A,FALSE,"KEGELLE 5 (3)";#N/A,#N/A,FALSE,"KEGELLE 6 (3)";#N/A,#N/A,FALSE,"KEGELLE 7 (3)"}</definedName>
    <definedName name="hjm" localSheetId="7" hidden="1">{#N/A,#N/A,FALSE,"KEGELLE 1 (3)";#N/A,#N/A,FALSE,"KEGELLE 2 (3)";#N/A,#N/A,FALSE,"KEGELLE 3 (3)";#N/A,#N/A,FALSE,"KEGELLE 4 (3)";#N/A,#N/A,FALSE,"KEGELLE 5 (3)";#N/A,#N/A,FALSE,"KEGELLE 6 (3)";#N/A,#N/A,FALSE,"KEGELLE 7 (3)"}</definedName>
    <definedName name="hjm" localSheetId="8" hidden="1">{#N/A,#N/A,FALSE,"KEGELLE 1 (3)";#N/A,#N/A,FALSE,"KEGELLE 2 (3)";#N/A,#N/A,FALSE,"KEGELLE 3 (3)";#N/A,#N/A,FALSE,"KEGELLE 4 (3)";#N/A,#N/A,FALSE,"KEGELLE 5 (3)";#N/A,#N/A,FALSE,"KEGELLE 6 (3)";#N/A,#N/A,FALSE,"KEGELLE 7 (3)"}</definedName>
    <definedName name="hjm" localSheetId="9" hidden="1">{#N/A,#N/A,FALSE,"KEGELLE 1 (3)";#N/A,#N/A,FALSE,"KEGELLE 2 (3)";#N/A,#N/A,FALSE,"KEGELLE 3 (3)";#N/A,#N/A,FALSE,"KEGELLE 4 (3)";#N/A,#N/A,FALSE,"KEGELLE 5 (3)";#N/A,#N/A,FALSE,"KEGELLE 6 (3)";#N/A,#N/A,FALSE,"KEGELLE 7 (3)"}</definedName>
    <definedName name="hjm" localSheetId="10" hidden="1">{#N/A,#N/A,FALSE,"KEGELLE 1 (3)";#N/A,#N/A,FALSE,"KEGELLE 2 (3)";#N/A,#N/A,FALSE,"KEGELLE 3 (3)";#N/A,#N/A,FALSE,"KEGELLE 4 (3)";#N/A,#N/A,FALSE,"KEGELLE 5 (3)";#N/A,#N/A,FALSE,"KEGELLE 6 (3)";#N/A,#N/A,FALSE,"KEGELLE 7 (3)"}</definedName>
    <definedName name="hjm" localSheetId="11" hidden="1">{#N/A,#N/A,FALSE,"KEGELLE 1 (3)";#N/A,#N/A,FALSE,"KEGELLE 2 (3)";#N/A,#N/A,FALSE,"KEGELLE 3 (3)";#N/A,#N/A,FALSE,"KEGELLE 4 (3)";#N/A,#N/A,FALSE,"KEGELLE 5 (3)";#N/A,#N/A,FALSE,"KEGELLE 6 (3)";#N/A,#N/A,FALSE,"KEGELLE 7 (3)"}</definedName>
    <definedName name="hjm" localSheetId="1" hidden="1">{#N/A,#N/A,FALSE,"KEGELLE 1 (3)";#N/A,#N/A,FALSE,"KEGELLE 2 (3)";#N/A,#N/A,FALSE,"KEGELLE 3 (3)";#N/A,#N/A,FALSE,"KEGELLE 4 (3)";#N/A,#N/A,FALSE,"KEGELLE 5 (3)";#N/A,#N/A,FALSE,"KEGELLE 6 (3)";#N/A,#N/A,FALSE,"KEGELLE 7 (3)"}</definedName>
    <definedName name="hjm" localSheetId="16" hidden="1">{#N/A,#N/A,FALSE,"KEGELLE 1 (3)";#N/A,#N/A,FALSE,"KEGELLE 2 (3)";#N/A,#N/A,FALSE,"KEGELLE 3 (3)";#N/A,#N/A,FALSE,"KEGELLE 4 (3)";#N/A,#N/A,FALSE,"KEGELLE 5 (3)";#N/A,#N/A,FALSE,"KEGELLE 6 (3)";#N/A,#N/A,FALSE,"KEGELLE 7 (3)"}</definedName>
    <definedName name="hjm" localSheetId="2" hidden="1">{#N/A,#N/A,FALSE,"KEGELLE 1 (3)";#N/A,#N/A,FALSE,"KEGELLE 2 (3)";#N/A,#N/A,FALSE,"KEGELLE 3 (3)";#N/A,#N/A,FALSE,"KEGELLE 4 (3)";#N/A,#N/A,FALSE,"KEGELLE 5 (3)";#N/A,#N/A,FALSE,"KEGELLE 6 (3)";#N/A,#N/A,FALSE,"KEGELLE 7 (3)"}</definedName>
    <definedName name="hjm" hidden="1">{#N/A,#N/A,FALSE,"KEGELLE 1 (3)";#N/A,#N/A,FALSE,"KEGELLE 2 (3)";#N/A,#N/A,FALSE,"KEGELLE 3 (3)";#N/A,#N/A,FALSE,"KEGELLE 4 (3)";#N/A,#N/A,FALSE,"KEGELLE 5 (3)";#N/A,#N/A,FALSE,"KEGELLE 6 (3)";#N/A,#N/A,FALSE,"KEGELLE 7 (3)"}</definedName>
    <definedName name="hjmhg" localSheetId="12" hidden="1">{#N/A,#N/A,FALSE,"KEGELLE 1 (2)";#N/A,#N/A,FALSE,"KEGELLE 2 (2)";#N/A,#N/A,FALSE,"KEGELLE 3 (2)";#N/A,#N/A,FALSE,"KEGELLE 4 (2)";#N/A,#N/A,FALSE,"KEGELLE 5 (2)";#N/A,#N/A,FALSE,"KEGELLE 6 (2)";#N/A,#N/A,FALSE,"KEGELLE 7 (2)"}</definedName>
    <definedName name="hjmhg" localSheetId="13" hidden="1">{#N/A,#N/A,FALSE,"KEGELLE 1 (2)";#N/A,#N/A,FALSE,"KEGELLE 2 (2)";#N/A,#N/A,FALSE,"KEGELLE 3 (2)";#N/A,#N/A,FALSE,"KEGELLE 4 (2)";#N/A,#N/A,FALSE,"KEGELLE 5 (2)";#N/A,#N/A,FALSE,"KEGELLE 6 (2)";#N/A,#N/A,FALSE,"KEGELLE 7 (2)"}</definedName>
    <definedName name="hjmhg" localSheetId="14" hidden="1">{#N/A,#N/A,FALSE,"KEGELLE 1 (2)";#N/A,#N/A,FALSE,"KEGELLE 2 (2)";#N/A,#N/A,FALSE,"KEGELLE 3 (2)";#N/A,#N/A,FALSE,"KEGELLE 4 (2)";#N/A,#N/A,FALSE,"KEGELLE 5 (2)";#N/A,#N/A,FALSE,"KEGELLE 6 (2)";#N/A,#N/A,FALSE,"KEGELLE 7 (2)"}</definedName>
    <definedName name="hjmhg" localSheetId="15" hidden="1">{#N/A,#N/A,FALSE,"KEGELLE 1 (2)";#N/A,#N/A,FALSE,"KEGELLE 2 (2)";#N/A,#N/A,FALSE,"KEGELLE 3 (2)";#N/A,#N/A,FALSE,"KEGELLE 4 (2)";#N/A,#N/A,FALSE,"KEGELLE 5 (2)";#N/A,#N/A,FALSE,"KEGELLE 6 (2)";#N/A,#N/A,FALSE,"KEGELLE 7 (2)"}</definedName>
    <definedName name="hjmhg" localSheetId="4" hidden="1">{#N/A,#N/A,FALSE,"KEGELLE 1 (2)";#N/A,#N/A,FALSE,"KEGELLE 2 (2)";#N/A,#N/A,FALSE,"KEGELLE 3 (2)";#N/A,#N/A,FALSE,"KEGELLE 4 (2)";#N/A,#N/A,FALSE,"KEGELLE 5 (2)";#N/A,#N/A,FALSE,"KEGELLE 6 (2)";#N/A,#N/A,FALSE,"KEGELLE 7 (2)"}</definedName>
    <definedName name="hjmhg" localSheetId="5" hidden="1">{#N/A,#N/A,FALSE,"KEGELLE 1 (2)";#N/A,#N/A,FALSE,"KEGELLE 2 (2)";#N/A,#N/A,FALSE,"KEGELLE 3 (2)";#N/A,#N/A,FALSE,"KEGELLE 4 (2)";#N/A,#N/A,FALSE,"KEGELLE 5 (2)";#N/A,#N/A,FALSE,"KEGELLE 6 (2)";#N/A,#N/A,FALSE,"KEGELLE 7 (2)"}</definedName>
    <definedName name="hjmhg" localSheetId="6" hidden="1">{#N/A,#N/A,FALSE,"KEGELLE 1 (2)";#N/A,#N/A,FALSE,"KEGELLE 2 (2)";#N/A,#N/A,FALSE,"KEGELLE 3 (2)";#N/A,#N/A,FALSE,"KEGELLE 4 (2)";#N/A,#N/A,FALSE,"KEGELLE 5 (2)";#N/A,#N/A,FALSE,"KEGELLE 6 (2)";#N/A,#N/A,FALSE,"KEGELLE 7 (2)"}</definedName>
    <definedName name="hjmhg" localSheetId="7" hidden="1">{#N/A,#N/A,FALSE,"KEGELLE 1 (2)";#N/A,#N/A,FALSE,"KEGELLE 2 (2)";#N/A,#N/A,FALSE,"KEGELLE 3 (2)";#N/A,#N/A,FALSE,"KEGELLE 4 (2)";#N/A,#N/A,FALSE,"KEGELLE 5 (2)";#N/A,#N/A,FALSE,"KEGELLE 6 (2)";#N/A,#N/A,FALSE,"KEGELLE 7 (2)"}</definedName>
    <definedName name="hjmhg" localSheetId="8" hidden="1">{#N/A,#N/A,FALSE,"KEGELLE 1 (2)";#N/A,#N/A,FALSE,"KEGELLE 2 (2)";#N/A,#N/A,FALSE,"KEGELLE 3 (2)";#N/A,#N/A,FALSE,"KEGELLE 4 (2)";#N/A,#N/A,FALSE,"KEGELLE 5 (2)";#N/A,#N/A,FALSE,"KEGELLE 6 (2)";#N/A,#N/A,FALSE,"KEGELLE 7 (2)"}</definedName>
    <definedName name="hjmhg" localSheetId="9" hidden="1">{#N/A,#N/A,FALSE,"KEGELLE 1 (2)";#N/A,#N/A,FALSE,"KEGELLE 2 (2)";#N/A,#N/A,FALSE,"KEGELLE 3 (2)";#N/A,#N/A,FALSE,"KEGELLE 4 (2)";#N/A,#N/A,FALSE,"KEGELLE 5 (2)";#N/A,#N/A,FALSE,"KEGELLE 6 (2)";#N/A,#N/A,FALSE,"KEGELLE 7 (2)"}</definedName>
    <definedName name="hjmhg" localSheetId="10" hidden="1">{#N/A,#N/A,FALSE,"KEGELLE 1 (2)";#N/A,#N/A,FALSE,"KEGELLE 2 (2)";#N/A,#N/A,FALSE,"KEGELLE 3 (2)";#N/A,#N/A,FALSE,"KEGELLE 4 (2)";#N/A,#N/A,FALSE,"KEGELLE 5 (2)";#N/A,#N/A,FALSE,"KEGELLE 6 (2)";#N/A,#N/A,FALSE,"KEGELLE 7 (2)"}</definedName>
    <definedName name="hjmhg" localSheetId="11" hidden="1">{#N/A,#N/A,FALSE,"KEGELLE 1 (2)";#N/A,#N/A,FALSE,"KEGELLE 2 (2)";#N/A,#N/A,FALSE,"KEGELLE 3 (2)";#N/A,#N/A,FALSE,"KEGELLE 4 (2)";#N/A,#N/A,FALSE,"KEGELLE 5 (2)";#N/A,#N/A,FALSE,"KEGELLE 6 (2)";#N/A,#N/A,FALSE,"KEGELLE 7 (2)"}</definedName>
    <definedName name="hjmhg" localSheetId="1" hidden="1">{#N/A,#N/A,FALSE,"KEGELLE 1 (2)";#N/A,#N/A,FALSE,"KEGELLE 2 (2)";#N/A,#N/A,FALSE,"KEGELLE 3 (2)";#N/A,#N/A,FALSE,"KEGELLE 4 (2)";#N/A,#N/A,FALSE,"KEGELLE 5 (2)";#N/A,#N/A,FALSE,"KEGELLE 6 (2)";#N/A,#N/A,FALSE,"KEGELLE 7 (2)"}</definedName>
    <definedName name="hjmhg" localSheetId="16" hidden="1">{#N/A,#N/A,FALSE,"KEGELLE 1 (2)";#N/A,#N/A,FALSE,"KEGELLE 2 (2)";#N/A,#N/A,FALSE,"KEGELLE 3 (2)";#N/A,#N/A,FALSE,"KEGELLE 4 (2)";#N/A,#N/A,FALSE,"KEGELLE 5 (2)";#N/A,#N/A,FALSE,"KEGELLE 6 (2)";#N/A,#N/A,FALSE,"KEGELLE 7 (2)"}</definedName>
    <definedName name="hjmhg" localSheetId="2" hidden="1">{#N/A,#N/A,FALSE,"KEGELLE 1 (2)";#N/A,#N/A,FALSE,"KEGELLE 2 (2)";#N/A,#N/A,FALSE,"KEGELLE 3 (2)";#N/A,#N/A,FALSE,"KEGELLE 4 (2)";#N/A,#N/A,FALSE,"KEGELLE 5 (2)";#N/A,#N/A,FALSE,"KEGELLE 6 (2)";#N/A,#N/A,FALSE,"KEGELLE 7 (2)"}</definedName>
    <definedName name="hjmhg" hidden="1">{#N/A,#N/A,FALSE,"KEGELLE 1 (2)";#N/A,#N/A,FALSE,"KEGELLE 2 (2)";#N/A,#N/A,FALSE,"KEGELLE 3 (2)";#N/A,#N/A,FALSE,"KEGELLE 4 (2)";#N/A,#N/A,FALSE,"KEGELLE 5 (2)";#N/A,#N/A,FALSE,"KEGELLE 6 (2)";#N/A,#N/A,FALSE,"KEGELLE 7 (2)"}</definedName>
    <definedName name="hmstj" localSheetId="12" hidden="1">{#N/A,#N/A,TRUE,"Report"}</definedName>
    <definedName name="hmstj" localSheetId="13" hidden="1">{#N/A,#N/A,TRUE,"Report"}</definedName>
    <definedName name="hmstj" localSheetId="14" hidden="1">{#N/A,#N/A,TRUE,"Report"}</definedName>
    <definedName name="hmstj" localSheetId="15" hidden="1">{#N/A,#N/A,TRUE,"Report"}</definedName>
    <definedName name="hmstj" localSheetId="4" hidden="1">{#N/A,#N/A,TRUE,"Report"}</definedName>
    <definedName name="hmstj" localSheetId="5" hidden="1">{#N/A,#N/A,TRUE,"Report"}</definedName>
    <definedName name="hmstj" localSheetId="6" hidden="1">{#N/A,#N/A,TRUE,"Report"}</definedName>
    <definedName name="hmstj" localSheetId="7" hidden="1">{#N/A,#N/A,TRUE,"Report"}</definedName>
    <definedName name="hmstj" localSheetId="8" hidden="1">{#N/A,#N/A,TRUE,"Report"}</definedName>
    <definedName name="hmstj" localSheetId="9" hidden="1">{#N/A,#N/A,TRUE,"Report"}</definedName>
    <definedName name="hmstj" localSheetId="10" hidden="1">{#N/A,#N/A,TRUE,"Report"}</definedName>
    <definedName name="hmstj" localSheetId="11" hidden="1">{#N/A,#N/A,TRUE,"Report"}</definedName>
    <definedName name="hmstj" localSheetId="1" hidden="1">{#N/A,#N/A,TRUE,"Report"}</definedName>
    <definedName name="hmstj" localSheetId="16" hidden="1">{#N/A,#N/A,TRUE,"Report"}</definedName>
    <definedName name="hmstj" localSheetId="2" hidden="1">{#N/A,#N/A,TRUE,"Report"}</definedName>
    <definedName name="hmstj" hidden="1">{#N/A,#N/A,TRUE,"Report"}</definedName>
    <definedName name="hnfg" localSheetId="12" hidden="1">{"MG-2002-F1",#N/A,FALSE,"PPU-Telemig";"MG-2002-F2",#N/A,FALSE,"PPU-Telemig";"MG-2002-F3",#N/A,FALSE,"PPU-Telemig";"MG-2002-F4",#N/A,FALSE,"PPU-Telemig";"MG-2003-F1",#N/A,FALSE,"PPU-Telemig";"MG-2004-F1",#N/A,FALSE,"PPU-Telemig"}</definedName>
    <definedName name="hnfg" localSheetId="13" hidden="1">{"MG-2002-F1",#N/A,FALSE,"PPU-Telemig";"MG-2002-F2",#N/A,FALSE,"PPU-Telemig";"MG-2002-F3",#N/A,FALSE,"PPU-Telemig";"MG-2002-F4",#N/A,FALSE,"PPU-Telemig";"MG-2003-F1",#N/A,FALSE,"PPU-Telemig";"MG-2004-F1",#N/A,FALSE,"PPU-Telemig"}</definedName>
    <definedName name="hnfg" localSheetId="14" hidden="1">{"MG-2002-F1",#N/A,FALSE,"PPU-Telemig";"MG-2002-F2",#N/A,FALSE,"PPU-Telemig";"MG-2002-F3",#N/A,FALSE,"PPU-Telemig";"MG-2002-F4",#N/A,FALSE,"PPU-Telemig";"MG-2003-F1",#N/A,FALSE,"PPU-Telemig";"MG-2004-F1",#N/A,FALSE,"PPU-Telemig"}</definedName>
    <definedName name="hnfg" localSheetId="15" hidden="1">{"MG-2002-F1",#N/A,FALSE,"PPU-Telemig";"MG-2002-F2",#N/A,FALSE,"PPU-Telemig";"MG-2002-F3",#N/A,FALSE,"PPU-Telemig";"MG-2002-F4",#N/A,FALSE,"PPU-Telemig";"MG-2003-F1",#N/A,FALSE,"PPU-Telemig";"MG-2004-F1",#N/A,FALSE,"PPU-Telemig"}</definedName>
    <definedName name="hnfg" localSheetId="4" hidden="1">{"MG-2002-F1",#N/A,FALSE,"PPU-Telemig";"MG-2002-F2",#N/A,FALSE,"PPU-Telemig";"MG-2002-F3",#N/A,FALSE,"PPU-Telemig";"MG-2002-F4",#N/A,FALSE,"PPU-Telemig";"MG-2003-F1",#N/A,FALSE,"PPU-Telemig";"MG-2004-F1",#N/A,FALSE,"PPU-Telemig"}</definedName>
    <definedName name="hnfg" localSheetId="5" hidden="1">{"MG-2002-F1",#N/A,FALSE,"PPU-Telemig";"MG-2002-F2",#N/A,FALSE,"PPU-Telemig";"MG-2002-F3",#N/A,FALSE,"PPU-Telemig";"MG-2002-F4",#N/A,FALSE,"PPU-Telemig";"MG-2003-F1",#N/A,FALSE,"PPU-Telemig";"MG-2004-F1",#N/A,FALSE,"PPU-Telemig"}</definedName>
    <definedName name="hnfg" localSheetId="6" hidden="1">{"MG-2002-F1",#N/A,FALSE,"PPU-Telemig";"MG-2002-F2",#N/A,FALSE,"PPU-Telemig";"MG-2002-F3",#N/A,FALSE,"PPU-Telemig";"MG-2002-F4",#N/A,FALSE,"PPU-Telemig";"MG-2003-F1",#N/A,FALSE,"PPU-Telemig";"MG-2004-F1",#N/A,FALSE,"PPU-Telemig"}</definedName>
    <definedName name="hnfg" localSheetId="7" hidden="1">{"MG-2002-F1",#N/A,FALSE,"PPU-Telemig";"MG-2002-F2",#N/A,FALSE,"PPU-Telemig";"MG-2002-F3",#N/A,FALSE,"PPU-Telemig";"MG-2002-F4",#N/A,FALSE,"PPU-Telemig";"MG-2003-F1",#N/A,FALSE,"PPU-Telemig";"MG-2004-F1",#N/A,FALSE,"PPU-Telemig"}</definedName>
    <definedName name="hnfg" localSheetId="8" hidden="1">{"MG-2002-F1",#N/A,FALSE,"PPU-Telemig";"MG-2002-F2",#N/A,FALSE,"PPU-Telemig";"MG-2002-F3",#N/A,FALSE,"PPU-Telemig";"MG-2002-F4",#N/A,FALSE,"PPU-Telemig";"MG-2003-F1",#N/A,FALSE,"PPU-Telemig";"MG-2004-F1",#N/A,FALSE,"PPU-Telemig"}</definedName>
    <definedName name="hnfg" localSheetId="9" hidden="1">{"MG-2002-F1",#N/A,FALSE,"PPU-Telemig";"MG-2002-F2",#N/A,FALSE,"PPU-Telemig";"MG-2002-F3",#N/A,FALSE,"PPU-Telemig";"MG-2002-F4",#N/A,FALSE,"PPU-Telemig";"MG-2003-F1",#N/A,FALSE,"PPU-Telemig";"MG-2004-F1",#N/A,FALSE,"PPU-Telemig"}</definedName>
    <definedName name="hnfg" localSheetId="10" hidden="1">{"MG-2002-F1",#N/A,FALSE,"PPU-Telemig";"MG-2002-F2",#N/A,FALSE,"PPU-Telemig";"MG-2002-F3",#N/A,FALSE,"PPU-Telemig";"MG-2002-F4",#N/A,FALSE,"PPU-Telemig";"MG-2003-F1",#N/A,FALSE,"PPU-Telemig";"MG-2004-F1",#N/A,FALSE,"PPU-Telemig"}</definedName>
    <definedName name="hnfg" localSheetId="11" hidden="1">{"MG-2002-F1",#N/A,FALSE,"PPU-Telemig";"MG-2002-F2",#N/A,FALSE,"PPU-Telemig";"MG-2002-F3",#N/A,FALSE,"PPU-Telemig";"MG-2002-F4",#N/A,FALSE,"PPU-Telemig";"MG-2003-F1",#N/A,FALSE,"PPU-Telemig";"MG-2004-F1",#N/A,FALSE,"PPU-Telemig"}</definedName>
    <definedName name="hnfg" localSheetId="1" hidden="1">{"MG-2002-F1",#N/A,FALSE,"PPU-Telemig";"MG-2002-F2",#N/A,FALSE,"PPU-Telemig";"MG-2002-F3",#N/A,FALSE,"PPU-Telemig";"MG-2002-F4",#N/A,FALSE,"PPU-Telemig";"MG-2003-F1",#N/A,FALSE,"PPU-Telemig";"MG-2004-F1",#N/A,FALSE,"PPU-Telemig"}</definedName>
    <definedName name="hnfg" localSheetId="16" hidden="1">{"MG-2002-F1",#N/A,FALSE,"PPU-Telemig";"MG-2002-F2",#N/A,FALSE,"PPU-Telemig";"MG-2002-F3",#N/A,FALSE,"PPU-Telemig";"MG-2002-F4",#N/A,FALSE,"PPU-Telemig";"MG-2003-F1",#N/A,FALSE,"PPU-Telemig";"MG-2004-F1",#N/A,FALSE,"PPU-Telemig"}</definedName>
    <definedName name="hnfg" localSheetId="2" hidden="1">{"MG-2002-F1",#N/A,FALSE,"PPU-Telemig";"MG-2002-F2",#N/A,FALSE,"PPU-Telemig";"MG-2002-F3",#N/A,FALSE,"PPU-Telemig";"MG-2002-F4",#N/A,FALSE,"PPU-Telemig";"MG-2003-F1",#N/A,FALSE,"PPU-Telemig";"MG-2004-F1",#N/A,FALSE,"PPU-Telemig"}</definedName>
    <definedName name="hnfg" hidden="1">{"MG-2002-F1",#N/A,FALSE,"PPU-Telemig";"MG-2002-F2",#N/A,FALSE,"PPU-Telemig";"MG-2002-F3",#N/A,FALSE,"PPU-Telemig";"MG-2002-F4",#N/A,FALSE,"PPU-Telemig";"MG-2003-F1",#N/A,FALSE,"PPU-Telemig";"MG-2004-F1",#N/A,FALSE,"PPU-Telemig"}</definedName>
    <definedName name="horas_jornada" localSheetId="10">[2]CONFIGURACIÓN!$C$12</definedName>
    <definedName name="horas_jornada" localSheetId="16">[3]CONFIGURACIÓN!$C$12</definedName>
    <definedName name="horas_jornada">[4]CONFIGURACIÓN!$C$12</definedName>
    <definedName name="horas_ubicacion1" localSheetId="10">[2]CONFIGURACIÓN!$C$47</definedName>
    <definedName name="horas_ubicacion1" localSheetId="16">[3]CONFIGURACIÓN!$C$47</definedName>
    <definedName name="horas_ubicacion1">[4]CONFIGURACIÓN!$C$47</definedName>
    <definedName name="horas_ubicacion2" localSheetId="10">[2]CONFIGURACIÓN!$C$48</definedName>
    <definedName name="horas_ubicacion2" localSheetId="16">[3]CONFIGURACIÓN!$C$48</definedName>
    <definedName name="horas_ubicacion2">[4]CONFIGURACIÓN!$C$48</definedName>
    <definedName name="horas_ubicacion3" localSheetId="10">[2]CONFIGURACIÓN!$C$49</definedName>
    <definedName name="horas_ubicacion3" localSheetId="16">[3]CONFIGURACIÓN!$C$49</definedName>
    <definedName name="horas_ubicacion3">[4]CONFIGURACIÓN!$C$49</definedName>
    <definedName name="horas_ubicacion4" localSheetId="10">[2]CONFIGURACIÓN!$C$50</definedName>
    <definedName name="horas_ubicacion4" localSheetId="16">[3]CONFIGURACIÓN!$C$50</definedName>
    <definedName name="horas_ubicacion4">[4]CONFIGURACIÓN!$C$50</definedName>
    <definedName name="horas_ubicacion5" localSheetId="10">[2]CONFIGURACIÓN!$C$51</definedName>
    <definedName name="horas_ubicacion5" localSheetId="16">[3]CONFIGURACIÓN!$C$51</definedName>
    <definedName name="horas_ubicacion5">[4]CONFIGURACIÓN!$C$51</definedName>
    <definedName name="horas_ubicacion6" localSheetId="10">[2]CONFIGURACIÓN!$C$52</definedName>
    <definedName name="horas_ubicacion6" localSheetId="16">[3]CONFIGURACIÓN!$C$52</definedName>
    <definedName name="horas_ubicacion6">[4]CONFIGURACIÓN!$C$52</definedName>
    <definedName name="horas_ubicacion7" localSheetId="10">[2]CONFIGURACIÓN!$C$53</definedName>
    <definedName name="horas_ubicacion7" localSheetId="16">[3]CONFIGURACIÓN!$C$53</definedName>
    <definedName name="horas_ubicacion7">[4]CONFIGURACIÓN!$C$53</definedName>
    <definedName name="hsf" localSheetId="12" hidden="1">{"'内訳表'!$B$2:$N$64"}</definedName>
    <definedName name="hsf" localSheetId="13" hidden="1">{"'内訳表'!$B$2:$N$64"}</definedName>
    <definedName name="hsf" localSheetId="14" hidden="1">{"'内訳表'!$B$2:$N$64"}</definedName>
    <definedName name="hsf" localSheetId="15" hidden="1">{"'内訳表'!$B$2:$N$64"}</definedName>
    <definedName name="hsf" localSheetId="4" hidden="1">{"'内訳表'!$B$2:$N$64"}</definedName>
    <definedName name="hsf" localSheetId="5" hidden="1">{"'内訳表'!$B$2:$N$64"}</definedName>
    <definedName name="hsf" localSheetId="6" hidden="1">{"'内訳表'!$B$2:$N$64"}</definedName>
    <definedName name="hsf" localSheetId="7" hidden="1">{"'内訳表'!$B$2:$N$64"}</definedName>
    <definedName name="hsf" localSheetId="8" hidden="1">{"'内訳表'!$B$2:$N$64"}</definedName>
    <definedName name="hsf" localSheetId="9" hidden="1">{"'内訳表'!$B$2:$N$64"}</definedName>
    <definedName name="hsf" localSheetId="10" hidden="1">{"'内訳表'!$B$2:$N$64"}</definedName>
    <definedName name="hsf" localSheetId="11" hidden="1">{"'内訳表'!$B$2:$N$64"}</definedName>
    <definedName name="hsf" localSheetId="1" hidden="1">{"'内訳表'!$B$2:$N$64"}</definedName>
    <definedName name="hsf" localSheetId="16" hidden="1">{"'内訳表'!$B$2:$N$64"}</definedName>
    <definedName name="hsf" localSheetId="2" hidden="1">{"'内訳表'!$B$2:$N$64"}</definedName>
    <definedName name="hsf" hidden="1">{"'内訳表'!$B$2:$N$64"}</definedName>
    <definedName name="HTML_CodePage" localSheetId="16" hidden="1">1252</definedName>
    <definedName name="HTML_CodePage" hidden="1">932</definedName>
    <definedName name="HTML_Control" localSheetId="12" hidden="1">{"'内訳表'!$B$2:$N$64"}</definedName>
    <definedName name="HTML_Control" localSheetId="13" hidden="1">{"'内訳表'!$B$2:$N$64"}</definedName>
    <definedName name="HTML_Control" localSheetId="14" hidden="1">{"'内訳表'!$B$2:$N$64"}</definedName>
    <definedName name="HTML_Control" localSheetId="15" hidden="1">{"'内訳表'!$B$2:$N$64"}</definedName>
    <definedName name="HTML_Control" localSheetId="4" hidden="1">{"'内訳表'!$B$2:$N$64"}</definedName>
    <definedName name="HTML_Control" localSheetId="5" hidden="1">{"'内訳表'!$B$2:$N$64"}</definedName>
    <definedName name="HTML_Control" localSheetId="6" hidden="1">{"'内訳表'!$B$2:$N$64"}</definedName>
    <definedName name="HTML_Control" localSheetId="7" hidden="1">{"'内訳表'!$B$2:$N$64"}</definedName>
    <definedName name="HTML_Control" localSheetId="8" hidden="1">{"'内訳表'!$B$2:$N$64"}</definedName>
    <definedName name="HTML_Control" localSheetId="9" hidden="1">{"'内訳表'!$B$2:$N$64"}</definedName>
    <definedName name="HTML_Control" localSheetId="10" hidden="1">{"'内訳表'!$B$2:$N$64"}</definedName>
    <definedName name="HTML_Control" localSheetId="11" hidden="1">{"'内訳表'!$B$2:$N$64"}</definedName>
    <definedName name="HTML_Control" localSheetId="1" hidden="1">{"'内訳表'!$B$2:$N$64"}</definedName>
    <definedName name="HTML_Control" localSheetId="16" hidden="1">{"'Planner Cell based'!$A$1:$H$142"}</definedName>
    <definedName name="HTML_Control" localSheetId="2" hidden="1">{"'内訳表'!$B$2:$N$64"}</definedName>
    <definedName name="HTML_Control" hidden="1">{"'内訳表'!$B$2:$N$64"}</definedName>
    <definedName name="HTML_Description" hidden="1">""</definedName>
    <definedName name="HTML_Email" hidden="1">""</definedName>
    <definedName name="HTML_Header" localSheetId="16" hidden="1">"Planner Cell based"</definedName>
    <definedName name="HTML_Header" hidden="1">"内訳表"</definedName>
    <definedName name="HTML_LastUpdate" localSheetId="16" hidden="1">"24.08.2001"</definedName>
    <definedName name="HTML_LastUpdate" hidden="1">"99/12/27"</definedName>
    <definedName name="HTML_LineAfter" hidden="1">FALSE</definedName>
    <definedName name="HTML_LineBefore" hidden="1">FALSE</definedName>
    <definedName name="HTML_Name" localSheetId="16" hidden="1">"OEN NT-Netz"</definedName>
    <definedName name="HTML_Name" hidden="1">"Kenji Fujimori"</definedName>
    <definedName name="HTML_OBDlg2" hidden="1">TRUE</definedName>
    <definedName name="HTML_OBDlg4" hidden="1">TRUE</definedName>
    <definedName name="HTML_OS" hidden="1">0</definedName>
    <definedName name="HTML_PathFile" localSheetId="16" hidden="1">"F:\TV 4\Ebner\MeinHTML.htm"</definedName>
    <definedName name="HTML_PathFile" hidden="1">"A:\My Documents\MyHTML.htm"</definedName>
    <definedName name="HTML_Title" localSheetId="16" hidden="1">"Ang-ACI8-CB_neu230801 TDM"</definedName>
    <definedName name="HTML_Title" hidden="1">"BT21Rev4"</definedName>
    <definedName name="ii" localSheetId="12" hidden="1">{"'内訳表'!$B$2:$N$64"}</definedName>
    <definedName name="ii" localSheetId="13" hidden="1">{"'内訳表'!$B$2:$N$64"}</definedName>
    <definedName name="ii" localSheetId="14" hidden="1">{"'内訳表'!$B$2:$N$64"}</definedName>
    <definedName name="ii" localSheetId="15" hidden="1">{"'内訳表'!$B$2:$N$64"}</definedName>
    <definedName name="ii" localSheetId="4" hidden="1">{"'内訳表'!$B$2:$N$64"}</definedName>
    <definedName name="ii" localSheetId="5" hidden="1">{"'内訳表'!$B$2:$N$64"}</definedName>
    <definedName name="ii" localSheetId="6" hidden="1">{"'内訳表'!$B$2:$N$64"}</definedName>
    <definedName name="ii" localSheetId="7" hidden="1">{"'内訳表'!$B$2:$N$64"}</definedName>
    <definedName name="ii" localSheetId="8" hidden="1">{"'内訳表'!$B$2:$N$64"}</definedName>
    <definedName name="ii" localSheetId="9" hidden="1">{"'内訳表'!$B$2:$N$64"}</definedName>
    <definedName name="ii" localSheetId="10" hidden="1">{"'内訳表'!$B$2:$N$64"}</definedName>
    <definedName name="ii" localSheetId="11" hidden="1">{"'内訳表'!$B$2:$N$64"}</definedName>
    <definedName name="ii" localSheetId="1" hidden="1">{"'内訳表'!$B$2:$N$64"}</definedName>
    <definedName name="ii" localSheetId="16" hidden="1">{"'内訳表'!$B$2:$N$64"}</definedName>
    <definedName name="ii" localSheetId="2" hidden="1">{"'内訳表'!$B$2:$N$64"}</definedName>
    <definedName name="ii" hidden="1">{"'内訳表'!$B$2:$N$64"}</definedName>
    <definedName name="Info_Prazo_do_contrato" localSheetId="10">[12]Seletor!$C$13</definedName>
    <definedName name="Info_Prazo_do_contrato" localSheetId="16">[13]Seletor!$C$13</definedName>
    <definedName name="Info_Prazo_do_contrato">[14]Seletor!$C$13</definedName>
    <definedName name="IVASobreUtilidad">[7]IMPUESTOS!$E$16</definedName>
    <definedName name="JGJ" localSheetId="12" hidden="1">{0,#N/A,FALSE,0;0,#N/A,FALSE,0;0,#N/A,FALSE,0;0,#N/A,FALSE,0;0,#N/A,FALSE,0;0,#N/A,FALSE,0}</definedName>
    <definedName name="JGJ" localSheetId="13" hidden="1">{0,#N/A,FALSE,0;0,#N/A,FALSE,0;0,#N/A,FALSE,0;0,#N/A,FALSE,0;0,#N/A,FALSE,0;0,#N/A,FALSE,0}</definedName>
    <definedName name="JGJ" localSheetId="14" hidden="1">{0,#N/A,FALSE,0;0,#N/A,FALSE,0;0,#N/A,FALSE,0;0,#N/A,FALSE,0;0,#N/A,FALSE,0;0,#N/A,FALSE,0}</definedName>
    <definedName name="JGJ" localSheetId="15" hidden="1">{0,#N/A,FALSE,0;0,#N/A,FALSE,0;0,#N/A,FALSE,0;0,#N/A,FALSE,0;0,#N/A,FALSE,0;0,#N/A,FALSE,0}</definedName>
    <definedName name="JGJ" localSheetId="4" hidden="1">{0,#N/A,FALSE,0;0,#N/A,FALSE,0;0,#N/A,FALSE,0;0,#N/A,FALSE,0;0,#N/A,FALSE,0;0,#N/A,FALSE,0}</definedName>
    <definedName name="JGJ" localSheetId="5" hidden="1">{0,#N/A,FALSE,0;0,#N/A,FALSE,0;0,#N/A,FALSE,0;0,#N/A,FALSE,0;0,#N/A,FALSE,0;0,#N/A,FALSE,0}</definedName>
    <definedName name="JGJ" localSheetId="6" hidden="1">{0,#N/A,FALSE,0;0,#N/A,FALSE,0;0,#N/A,FALSE,0;0,#N/A,FALSE,0;0,#N/A,FALSE,0;0,#N/A,FALSE,0}</definedName>
    <definedName name="JGJ" localSheetId="7" hidden="1">{0,#N/A,FALSE,0;0,#N/A,FALSE,0;0,#N/A,FALSE,0;0,#N/A,FALSE,0;0,#N/A,FALSE,0;0,#N/A,FALSE,0}</definedName>
    <definedName name="JGJ" localSheetId="8" hidden="1">{0,#N/A,FALSE,0;0,#N/A,FALSE,0;0,#N/A,FALSE,0;0,#N/A,FALSE,0;0,#N/A,FALSE,0;0,#N/A,FALSE,0}</definedName>
    <definedName name="JGJ" localSheetId="9" hidden="1">{0,#N/A,FALSE,0;0,#N/A,FALSE,0;0,#N/A,FALSE,0;0,#N/A,FALSE,0;0,#N/A,FALSE,0;0,#N/A,FALSE,0}</definedName>
    <definedName name="JGJ" localSheetId="10" hidden="1">{0,#N/A,FALSE,0;0,#N/A,FALSE,0;0,#N/A,FALSE,0;0,#N/A,FALSE,0;0,#N/A,FALSE,0;0,#N/A,FALSE,0}</definedName>
    <definedName name="JGJ" localSheetId="11" hidden="1">{0,#N/A,FALSE,0;0,#N/A,FALSE,0;0,#N/A,FALSE,0;0,#N/A,FALSE,0;0,#N/A,FALSE,0;0,#N/A,FALSE,0}</definedName>
    <definedName name="JGJ" localSheetId="1" hidden="1">{0,#N/A,FALSE,0;0,#N/A,FALSE,0;0,#N/A,FALSE,0;0,#N/A,FALSE,0;0,#N/A,FALSE,0;0,#N/A,FALSE,0}</definedName>
    <definedName name="JGJ" localSheetId="16" hidden="1">{0,#N/A,FALSE,0;0,#N/A,FALSE,0;0,#N/A,FALSE,0;0,#N/A,FALSE,0;0,#N/A,FALSE,0;0,#N/A,FALSE,0}</definedName>
    <definedName name="JGJ" localSheetId="2" hidden="1">{0,#N/A,FALSE,0;0,#N/A,FALSE,0;0,#N/A,FALSE,0;0,#N/A,FALSE,0;0,#N/A,FALSE,0;0,#N/A,FALSE,0}</definedName>
    <definedName name="JGJ" hidden="1">{0,#N/A,FALSE,0;0,#N/A,FALSE,0;0,#N/A,FALSE,0;0,#N/A,FALSE,0;0,#N/A,FALSE,0;0,#N/A,FALSE,0}</definedName>
    <definedName name="l" localSheetId="12" hidden="1">{"MG-2002-F1",#N/A,FALSE,"PPU-Telemig";"MG-2002-F2",#N/A,FALSE,"PPU-Telemig";"MG-2002-F3",#N/A,FALSE,"PPU-Telemig";"MG-2002-F4",#N/A,FALSE,"PPU-Telemig";"MG-2003-F1",#N/A,FALSE,"PPU-Telemig";"MG-2004-F1",#N/A,FALSE,"PPU-Telemig"}</definedName>
    <definedName name="l" localSheetId="13" hidden="1">{"MG-2002-F1",#N/A,FALSE,"PPU-Telemig";"MG-2002-F2",#N/A,FALSE,"PPU-Telemig";"MG-2002-F3",#N/A,FALSE,"PPU-Telemig";"MG-2002-F4",#N/A,FALSE,"PPU-Telemig";"MG-2003-F1",#N/A,FALSE,"PPU-Telemig";"MG-2004-F1",#N/A,FALSE,"PPU-Telemig"}</definedName>
    <definedName name="l" localSheetId="14" hidden="1">{"MG-2002-F1",#N/A,FALSE,"PPU-Telemig";"MG-2002-F2",#N/A,FALSE,"PPU-Telemig";"MG-2002-F3",#N/A,FALSE,"PPU-Telemig";"MG-2002-F4",#N/A,FALSE,"PPU-Telemig";"MG-2003-F1",#N/A,FALSE,"PPU-Telemig";"MG-2004-F1",#N/A,FALSE,"PPU-Telemig"}</definedName>
    <definedName name="l" localSheetId="15" hidden="1">{"MG-2002-F1",#N/A,FALSE,"PPU-Telemig";"MG-2002-F2",#N/A,FALSE,"PPU-Telemig";"MG-2002-F3",#N/A,FALSE,"PPU-Telemig";"MG-2002-F4",#N/A,FALSE,"PPU-Telemig";"MG-2003-F1",#N/A,FALSE,"PPU-Telemig";"MG-2004-F1",#N/A,FALSE,"PPU-Telemig"}</definedName>
    <definedName name="l" localSheetId="4" hidden="1">{"MG-2002-F1",#N/A,FALSE,"PPU-Telemig";"MG-2002-F2",#N/A,FALSE,"PPU-Telemig";"MG-2002-F3",#N/A,FALSE,"PPU-Telemig";"MG-2002-F4",#N/A,FALSE,"PPU-Telemig";"MG-2003-F1",#N/A,FALSE,"PPU-Telemig";"MG-2004-F1",#N/A,FALSE,"PPU-Telemig"}</definedName>
    <definedName name="l" localSheetId="5" hidden="1">{"MG-2002-F1",#N/A,FALSE,"PPU-Telemig";"MG-2002-F2",#N/A,FALSE,"PPU-Telemig";"MG-2002-F3",#N/A,FALSE,"PPU-Telemig";"MG-2002-F4",#N/A,FALSE,"PPU-Telemig";"MG-2003-F1",#N/A,FALSE,"PPU-Telemig";"MG-2004-F1",#N/A,FALSE,"PPU-Telemig"}</definedName>
    <definedName name="l" localSheetId="6" hidden="1">{"MG-2002-F1",#N/A,FALSE,"PPU-Telemig";"MG-2002-F2",#N/A,FALSE,"PPU-Telemig";"MG-2002-F3",#N/A,FALSE,"PPU-Telemig";"MG-2002-F4",#N/A,FALSE,"PPU-Telemig";"MG-2003-F1",#N/A,FALSE,"PPU-Telemig";"MG-2004-F1",#N/A,FALSE,"PPU-Telemig"}</definedName>
    <definedName name="l" localSheetId="7" hidden="1">{"MG-2002-F1",#N/A,FALSE,"PPU-Telemig";"MG-2002-F2",#N/A,FALSE,"PPU-Telemig";"MG-2002-F3",#N/A,FALSE,"PPU-Telemig";"MG-2002-F4",#N/A,FALSE,"PPU-Telemig";"MG-2003-F1",#N/A,FALSE,"PPU-Telemig";"MG-2004-F1",#N/A,FALSE,"PPU-Telemig"}</definedName>
    <definedName name="l" localSheetId="8" hidden="1">{"MG-2002-F1",#N/A,FALSE,"PPU-Telemig";"MG-2002-F2",#N/A,FALSE,"PPU-Telemig";"MG-2002-F3",#N/A,FALSE,"PPU-Telemig";"MG-2002-F4",#N/A,FALSE,"PPU-Telemig";"MG-2003-F1",#N/A,FALSE,"PPU-Telemig";"MG-2004-F1",#N/A,FALSE,"PPU-Telemig"}</definedName>
    <definedName name="l" localSheetId="9" hidden="1">{"MG-2002-F1",#N/A,FALSE,"PPU-Telemig";"MG-2002-F2",#N/A,FALSE,"PPU-Telemig";"MG-2002-F3",#N/A,FALSE,"PPU-Telemig";"MG-2002-F4",#N/A,FALSE,"PPU-Telemig";"MG-2003-F1",#N/A,FALSE,"PPU-Telemig";"MG-2004-F1",#N/A,FALSE,"PPU-Telemig"}</definedName>
    <definedName name="l" localSheetId="10" hidden="1">{"MG-2002-F1",#N/A,FALSE,"PPU-Telemig";"MG-2002-F2",#N/A,FALSE,"PPU-Telemig";"MG-2002-F3",#N/A,FALSE,"PPU-Telemig";"MG-2002-F4",#N/A,FALSE,"PPU-Telemig";"MG-2003-F1",#N/A,FALSE,"PPU-Telemig";"MG-2004-F1",#N/A,FALSE,"PPU-Telemig"}</definedName>
    <definedName name="l" localSheetId="11" hidden="1">{"MG-2002-F1",#N/A,FALSE,"PPU-Telemig";"MG-2002-F2",#N/A,FALSE,"PPU-Telemig";"MG-2002-F3",#N/A,FALSE,"PPU-Telemig";"MG-2002-F4",#N/A,FALSE,"PPU-Telemig";"MG-2003-F1",#N/A,FALSE,"PPU-Telemig";"MG-2004-F1",#N/A,FALSE,"PPU-Telemig"}</definedName>
    <definedName name="l" localSheetId="1" hidden="1">{"MG-2002-F1",#N/A,FALSE,"PPU-Telemig";"MG-2002-F2",#N/A,FALSE,"PPU-Telemig";"MG-2002-F3",#N/A,FALSE,"PPU-Telemig";"MG-2002-F4",#N/A,FALSE,"PPU-Telemig";"MG-2003-F1",#N/A,FALSE,"PPU-Telemig";"MG-2004-F1",#N/A,FALSE,"PPU-Telemig"}</definedName>
    <definedName name="l" localSheetId="16" hidden="1">{"MG-2002-F1",#N/A,FALSE,"PPU-Telemig";"MG-2002-F2",#N/A,FALSE,"PPU-Telemig";"MG-2002-F3",#N/A,FALSE,"PPU-Telemig";"MG-2002-F4",#N/A,FALSE,"PPU-Telemig";"MG-2003-F1",#N/A,FALSE,"PPU-Telemig";"MG-2004-F1",#N/A,FALSE,"PPU-Telemig"}</definedName>
    <definedName name="l" localSheetId="2" hidden="1">{"MG-2002-F1",#N/A,FALSE,"PPU-Telemig";"MG-2002-F2",#N/A,FALSE,"PPU-Telemig";"MG-2002-F3",#N/A,FALSE,"PPU-Telemig";"MG-2002-F4",#N/A,FALSE,"PPU-Telemig";"MG-2003-F1",#N/A,FALSE,"PPU-Telemig";"MG-2004-F1",#N/A,FALSE,"PPU-Telemig"}</definedName>
    <definedName name="l" hidden="1">{"MG-2002-F1",#N/A,FALSE,"PPU-Telemig";"MG-2002-F2",#N/A,FALSE,"PPU-Telemig";"MG-2002-F3",#N/A,FALSE,"PPU-Telemig";"MG-2002-F4",#N/A,FALSE,"PPU-Telemig";"MG-2003-F1",#N/A,FALSE,"PPU-Telemig";"MG-2004-F1",#N/A,FALSE,"PPU-Telemig"}</definedName>
    <definedName name="lista_hnp" localSheetId="10">'[2]COSTES NO SSPP'!$B$24:$B$33</definedName>
    <definedName name="lista_hnp" localSheetId="16">'[3]COSTES NO SSPP'!$B$24:$B$33</definedName>
    <definedName name="lista_hnp">'[4]COSTES NO SSPP'!$B$24:$B$33</definedName>
    <definedName name="lista_lineas_reparto" localSheetId="10">'[2]HW&amp;SW'!$C$314:$C$324</definedName>
    <definedName name="lista_lineas_reparto" localSheetId="16">'[3]HW&amp;SW'!$C$314:$C$324</definedName>
    <definedName name="lista_lineas_reparto">'[4]HW&amp;SW'!$C$314:$C$324</definedName>
    <definedName name="lista_localizaciones" localSheetId="10">[2]CONFIGURACIÓN!$B$47:$B$53</definedName>
    <definedName name="lista_localizaciones" localSheetId="16">[3]CONFIGURACIÓN!$B$47:$B$53</definedName>
    <definedName name="lista_localizaciones">[4]CONFIGURACIÓN!$B$47:$B$53</definedName>
    <definedName name="lista_paises" localSheetId="10">'[2]DATOS MAESTROS'!$B$13:$B$39</definedName>
    <definedName name="lista_paises" localSheetId="16">'[3]DATOS MAESTROS'!$B$13:$B$39</definedName>
    <definedName name="lista_paises">'[4]DATOS MAESTROS'!$B$13:$B$39</definedName>
    <definedName name="lista_perfiles_esp" localSheetId="10">[2]TASAS!$D$7:$D$198</definedName>
    <definedName name="lista_perfiles_esp" localSheetId="16">[3]TASAS!$D$7:$D$198</definedName>
    <definedName name="lista_perfiles_esp">[4]TASAS!$D$7:$D$198</definedName>
    <definedName name="lista_perfiles_resto" localSheetId="10">[2]TASAS!$B$330:$B$450</definedName>
    <definedName name="lista_perfiles_resto" localSheetId="16">[3]TASAS!$B$330:$B$450</definedName>
    <definedName name="lista_perfiles_resto">[4]TASAS!$B$330:$B$450</definedName>
    <definedName name="M" localSheetId="16">[8]OCULTAR!$B$14:$B$17</definedName>
    <definedName name="M">OCULTAR!$B$14:$B$17</definedName>
    <definedName name="Manufacturero" localSheetId="16">[8]OCULTAR!$B$14:$C$17</definedName>
    <definedName name="Manufacturero">OCULTAR!$B$14:$C$17</definedName>
    <definedName name="margen" localSheetId="10">'[2]Cash Flow (COP)'!$O$68</definedName>
    <definedName name="margen" localSheetId="16">'[3]Cash Flow (COP)'!$O$68</definedName>
    <definedName name="margen">'[4]Cash Flow (COP)'!$O$68</definedName>
    <definedName name="markup_infra" localSheetId="10">[2]DASHBOARD!$D$20</definedName>
    <definedName name="markup_infra" localSheetId="16">[3]DASHBOARD!$D$20</definedName>
    <definedName name="markup_infra">[4]DASHBOARD!$D$20</definedName>
    <definedName name="mdgh" localSheetId="12" hidden="1">{"'内訳表'!$B$2:$N$64"}</definedName>
    <definedName name="mdgh" localSheetId="13" hidden="1">{"'内訳表'!$B$2:$N$64"}</definedName>
    <definedName name="mdgh" localSheetId="14" hidden="1">{"'内訳表'!$B$2:$N$64"}</definedName>
    <definedName name="mdgh" localSheetId="15" hidden="1">{"'内訳表'!$B$2:$N$64"}</definedName>
    <definedName name="mdgh" localSheetId="4" hidden="1">{"'内訳表'!$B$2:$N$64"}</definedName>
    <definedName name="mdgh" localSheetId="5" hidden="1">{"'内訳表'!$B$2:$N$64"}</definedName>
    <definedName name="mdgh" localSheetId="6" hidden="1">{"'内訳表'!$B$2:$N$64"}</definedName>
    <definedName name="mdgh" localSheetId="7" hidden="1">{"'内訳表'!$B$2:$N$64"}</definedName>
    <definedName name="mdgh" localSheetId="8" hidden="1">{"'内訳表'!$B$2:$N$64"}</definedName>
    <definedName name="mdgh" localSheetId="9" hidden="1">{"'内訳表'!$B$2:$N$64"}</definedName>
    <definedName name="mdgh" localSheetId="10" hidden="1">{"'内訳表'!$B$2:$N$64"}</definedName>
    <definedName name="mdgh" localSheetId="11" hidden="1">{"'内訳表'!$B$2:$N$64"}</definedName>
    <definedName name="mdgh" localSheetId="1" hidden="1">{"'内訳表'!$B$2:$N$64"}</definedName>
    <definedName name="mdgh" localSheetId="16" hidden="1">{"'内訳表'!$B$2:$N$64"}</definedName>
    <definedName name="mdgh" localSheetId="2" hidden="1">{"'内訳表'!$B$2:$N$64"}</definedName>
    <definedName name="mdgh" hidden="1">{"'内訳表'!$B$2:$N$64"}</definedName>
    <definedName name="mes_inicio_servicio" localSheetId="10">MONTH([2]CONFIGURACIÓN!$C$9)</definedName>
    <definedName name="mes_inicio_servicio" localSheetId="16">MONTH([3]CONFIGURACIÓN!$C$9)</definedName>
    <definedName name="mes_inicio_servicio">MONTH([4]CONFIGURACIÓN!$C$9)</definedName>
    <definedName name="meses_a1" localSheetId="10">[2]CONFIGURACIÓN!$D$29</definedName>
    <definedName name="meses_a1" localSheetId="16">[3]CONFIGURACIÓN!$D$29</definedName>
    <definedName name="meses_a1">[4]CONFIGURACIÓN!$D$29</definedName>
    <definedName name="meses_a10" localSheetId="10">[2]CONFIGURACIÓN!$M$29</definedName>
    <definedName name="meses_a10" localSheetId="16">[3]CONFIGURACIÓN!$M$29</definedName>
    <definedName name="meses_a10">[4]CONFIGURACIÓN!$M$29</definedName>
    <definedName name="meses_a11" localSheetId="10">[2]CONFIGURACIÓN!$N$29</definedName>
    <definedName name="meses_a11" localSheetId="16">[3]CONFIGURACIÓN!$N$29</definedName>
    <definedName name="meses_a11">[4]CONFIGURACIÓN!$N$29</definedName>
    <definedName name="meses_a2" localSheetId="10">[2]CONFIGURACIÓN!$E$29</definedName>
    <definedName name="meses_a2" localSheetId="16">[3]CONFIGURACIÓN!$E$29</definedName>
    <definedName name="meses_a2">[4]CONFIGURACIÓN!$E$29</definedName>
    <definedName name="meses_a3" localSheetId="10">[2]CONFIGURACIÓN!$F$29</definedName>
    <definedName name="meses_a3" localSheetId="16">[3]CONFIGURACIÓN!$F$29</definedName>
    <definedName name="meses_a3">[4]CONFIGURACIÓN!$F$29</definedName>
    <definedName name="meses_a4" localSheetId="10">[2]CONFIGURACIÓN!$G$29</definedName>
    <definedName name="meses_a4" localSheetId="16">[3]CONFIGURACIÓN!$G$29</definedName>
    <definedName name="meses_a4">[4]CONFIGURACIÓN!$G$29</definedName>
    <definedName name="meses_a5" localSheetId="10">[2]CONFIGURACIÓN!$H$29</definedName>
    <definedName name="meses_a5" localSheetId="16">[3]CONFIGURACIÓN!$H$29</definedName>
    <definedName name="meses_a5">[4]CONFIGURACIÓN!$H$29</definedName>
    <definedName name="meses_a6" localSheetId="10">[2]CONFIGURACIÓN!$I$29</definedName>
    <definedName name="meses_a6" localSheetId="16">[3]CONFIGURACIÓN!$I$29</definedName>
    <definedName name="meses_a6">[4]CONFIGURACIÓN!$I$29</definedName>
    <definedName name="meses_a7" localSheetId="10">[2]CONFIGURACIÓN!$J$29</definedName>
    <definedName name="meses_a7" localSheetId="16">[3]CONFIGURACIÓN!$J$29</definedName>
    <definedName name="meses_a7">[4]CONFIGURACIÓN!$J$29</definedName>
    <definedName name="meses_a8" localSheetId="10">[2]CONFIGURACIÓN!$K$29</definedName>
    <definedName name="meses_a8" localSheetId="16">[3]CONFIGURACIÓN!$K$29</definedName>
    <definedName name="meses_a8">[4]CONFIGURACIÓN!$K$29</definedName>
    <definedName name="meses_a9" localSheetId="10">[2]CONFIGURACIÓN!$L$29</definedName>
    <definedName name="meses_a9" localSheetId="16">[3]CONFIGURACIÓN!$L$29</definedName>
    <definedName name="meses_a9">[4]CONFIGURACIÓN!$L$29</definedName>
    <definedName name="meses_servicio" localSheetId="10">[2]CONFIGURACIÓN!$C$8</definedName>
    <definedName name="meses_servicio" localSheetId="16">[3]CONFIGURACIÓN!$C$8</definedName>
    <definedName name="meses_servicio">[4]CONFIGURACIÓN!$C$8</definedName>
    <definedName name="mfhjgjhg" localSheetId="12"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localSheetId="13"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localSheetId="14"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localSheetId="15"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localSheetId="4"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localSheetId="5"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localSheetId="6"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localSheetId="7"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localSheetId="8"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localSheetId="9"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localSheetId="10"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localSheetId="11"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localSheetId="1"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localSheetId="16"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localSheetId="2"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mExcelLinker_A12B55A7_9F67_4A31_8ABE_1C1F4218B5AF" localSheetId="12">BASE DE [15]DATOS!$B$2:$B$2</definedName>
    <definedName name="MmExcelLinker_A12B55A7_9F67_4A31_8ABE_1C1F4218B5AF" localSheetId="13">BASE DE [15]DATOS!$B$2:$B$2</definedName>
    <definedName name="MmExcelLinker_A12B55A7_9F67_4A31_8ABE_1C1F4218B5AF" localSheetId="14">BASE DE [15]DATOS!$B$2:$B$2</definedName>
    <definedName name="MmExcelLinker_A12B55A7_9F67_4A31_8ABE_1C1F4218B5AF" localSheetId="15">BASE DE [15]DATOS!$B$2:$B$2</definedName>
    <definedName name="MmExcelLinker_A12B55A7_9F67_4A31_8ABE_1C1F4218B5AF" localSheetId="4">BASE DE [15]DATOS!$B$2:$B$2</definedName>
    <definedName name="MmExcelLinker_A12B55A7_9F67_4A31_8ABE_1C1F4218B5AF" localSheetId="5">BASE DE [15]DATOS!$B$2:$B$2</definedName>
    <definedName name="MmExcelLinker_A12B55A7_9F67_4A31_8ABE_1C1F4218B5AF" localSheetId="6">BASE DE [15]DATOS!$B$2:$B$2</definedName>
    <definedName name="MmExcelLinker_A12B55A7_9F67_4A31_8ABE_1C1F4218B5AF" localSheetId="7">BASE DE [15]DATOS!$B$2:$B$2</definedName>
    <definedName name="MmExcelLinker_A12B55A7_9F67_4A31_8ABE_1C1F4218B5AF" localSheetId="8">BASE DE [15]DATOS!$B$2:$B$2</definedName>
    <definedName name="MmExcelLinker_A12B55A7_9F67_4A31_8ABE_1C1F4218B5AF" localSheetId="9">BASE DE [15]DATOS!$B$2:$B$2</definedName>
    <definedName name="MmExcelLinker_A12B55A7_9F67_4A31_8ABE_1C1F4218B5AF" localSheetId="10">BASE DE [15]DATOS!$B$2:$B$2</definedName>
    <definedName name="MmExcelLinker_A12B55A7_9F67_4A31_8ABE_1C1F4218B5AF" localSheetId="11">BASE DE [15]DATOS!$B$2:$B$2</definedName>
    <definedName name="MmExcelLinker_A12B55A7_9F67_4A31_8ABE_1C1F4218B5AF" localSheetId="1">BASE DE [15]DATOS!$B$2:$B$2</definedName>
    <definedName name="MmExcelLinker_A12B55A7_9F67_4A31_8ABE_1C1F4218B5AF" localSheetId="16">BASE DE [15]DATOS!$B$2:$B$2</definedName>
    <definedName name="MmExcelLinker_A12B55A7_9F67_4A31_8ABE_1C1F4218B5AF" localSheetId="2">BASE DE [15]DATOS!$B$2:$B$2</definedName>
    <definedName name="MmExcelLinker_A12B55A7_9F67_4A31_8ABE_1C1F4218B5AF">BASE DE [15]DATOS!$B$2:$B$2</definedName>
    <definedName name="mmm" localSheetId="12" hidden="1">{"MG-2002-F1",#N/A,FALSE,"PPU-Telemig";"MG-2002-F2",#N/A,FALSE,"PPU-Telemig";"MG-2002-F3",#N/A,FALSE,"PPU-Telemig";"MG-2002-F4",#N/A,FALSE,"PPU-Telemig";"MG-2003-F1",#N/A,FALSE,"PPU-Telemig";"MG-2004-F1",#N/A,FALSE,"PPU-Telemig"}</definedName>
    <definedName name="mmm" localSheetId="13" hidden="1">{"MG-2002-F1",#N/A,FALSE,"PPU-Telemig";"MG-2002-F2",#N/A,FALSE,"PPU-Telemig";"MG-2002-F3",#N/A,FALSE,"PPU-Telemig";"MG-2002-F4",#N/A,FALSE,"PPU-Telemig";"MG-2003-F1",#N/A,FALSE,"PPU-Telemig";"MG-2004-F1",#N/A,FALSE,"PPU-Telemig"}</definedName>
    <definedName name="mmm" localSheetId="14" hidden="1">{"MG-2002-F1",#N/A,FALSE,"PPU-Telemig";"MG-2002-F2",#N/A,FALSE,"PPU-Telemig";"MG-2002-F3",#N/A,FALSE,"PPU-Telemig";"MG-2002-F4",#N/A,FALSE,"PPU-Telemig";"MG-2003-F1",#N/A,FALSE,"PPU-Telemig";"MG-2004-F1",#N/A,FALSE,"PPU-Telemig"}</definedName>
    <definedName name="mmm" localSheetId="15" hidden="1">{"MG-2002-F1",#N/A,FALSE,"PPU-Telemig";"MG-2002-F2",#N/A,FALSE,"PPU-Telemig";"MG-2002-F3",#N/A,FALSE,"PPU-Telemig";"MG-2002-F4",#N/A,FALSE,"PPU-Telemig";"MG-2003-F1",#N/A,FALSE,"PPU-Telemig";"MG-2004-F1",#N/A,FALSE,"PPU-Telemig"}</definedName>
    <definedName name="mmm" localSheetId="4" hidden="1">{"MG-2002-F1",#N/A,FALSE,"PPU-Telemig";"MG-2002-F2",#N/A,FALSE,"PPU-Telemig";"MG-2002-F3",#N/A,FALSE,"PPU-Telemig";"MG-2002-F4",#N/A,FALSE,"PPU-Telemig";"MG-2003-F1",#N/A,FALSE,"PPU-Telemig";"MG-2004-F1",#N/A,FALSE,"PPU-Telemig"}</definedName>
    <definedName name="mmm" localSheetId="5" hidden="1">{"MG-2002-F1",#N/A,FALSE,"PPU-Telemig";"MG-2002-F2",#N/A,FALSE,"PPU-Telemig";"MG-2002-F3",#N/A,FALSE,"PPU-Telemig";"MG-2002-F4",#N/A,FALSE,"PPU-Telemig";"MG-2003-F1",#N/A,FALSE,"PPU-Telemig";"MG-2004-F1",#N/A,FALSE,"PPU-Telemig"}</definedName>
    <definedName name="mmm" localSheetId="6" hidden="1">{"MG-2002-F1",#N/A,FALSE,"PPU-Telemig";"MG-2002-F2",#N/A,FALSE,"PPU-Telemig";"MG-2002-F3",#N/A,FALSE,"PPU-Telemig";"MG-2002-F4",#N/A,FALSE,"PPU-Telemig";"MG-2003-F1",#N/A,FALSE,"PPU-Telemig";"MG-2004-F1",#N/A,FALSE,"PPU-Telemig"}</definedName>
    <definedName name="mmm" localSheetId="7" hidden="1">{"MG-2002-F1",#N/A,FALSE,"PPU-Telemig";"MG-2002-F2",#N/A,FALSE,"PPU-Telemig";"MG-2002-F3",#N/A,FALSE,"PPU-Telemig";"MG-2002-F4",#N/A,FALSE,"PPU-Telemig";"MG-2003-F1",#N/A,FALSE,"PPU-Telemig";"MG-2004-F1",#N/A,FALSE,"PPU-Telemig"}</definedName>
    <definedName name="mmm" localSheetId="8" hidden="1">{"MG-2002-F1",#N/A,FALSE,"PPU-Telemig";"MG-2002-F2",#N/A,FALSE,"PPU-Telemig";"MG-2002-F3",#N/A,FALSE,"PPU-Telemig";"MG-2002-F4",#N/A,FALSE,"PPU-Telemig";"MG-2003-F1",#N/A,FALSE,"PPU-Telemig";"MG-2004-F1",#N/A,FALSE,"PPU-Telemig"}</definedName>
    <definedName name="mmm" localSheetId="9" hidden="1">{"MG-2002-F1",#N/A,FALSE,"PPU-Telemig";"MG-2002-F2",#N/A,FALSE,"PPU-Telemig";"MG-2002-F3",#N/A,FALSE,"PPU-Telemig";"MG-2002-F4",#N/A,FALSE,"PPU-Telemig";"MG-2003-F1",#N/A,FALSE,"PPU-Telemig";"MG-2004-F1",#N/A,FALSE,"PPU-Telemig"}</definedName>
    <definedName name="mmm" localSheetId="10" hidden="1">{"MG-2002-F1",#N/A,FALSE,"PPU-Telemig";"MG-2002-F2",#N/A,FALSE,"PPU-Telemig";"MG-2002-F3",#N/A,FALSE,"PPU-Telemig";"MG-2002-F4",#N/A,FALSE,"PPU-Telemig";"MG-2003-F1",#N/A,FALSE,"PPU-Telemig";"MG-2004-F1",#N/A,FALSE,"PPU-Telemig"}</definedName>
    <definedName name="mmm" localSheetId="11" hidden="1">{"MG-2002-F1",#N/A,FALSE,"PPU-Telemig";"MG-2002-F2",#N/A,FALSE,"PPU-Telemig";"MG-2002-F3",#N/A,FALSE,"PPU-Telemig";"MG-2002-F4",#N/A,FALSE,"PPU-Telemig";"MG-2003-F1",#N/A,FALSE,"PPU-Telemig";"MG-2004-F1",#N/A,FALSE,"PPU-Telemig"}</definedName>
    <definedName name="mmm" localSheetId="1" hidden="1">{"MG-2002-F1",#N/A,FALSE,"PPU-Telemig";"MG-2002-F2",#N/A,FALSE,"PPU-Telemig";"MG-2002-F3",#N/A,FALSE,"PPU-Telemig";"MG-2002-F4",#N/A,FALSE,"PPU-Telemig";"MG-2003-F1",#N/A,FALSE,"PPU-Telemig";"MG-2004-F1",#N/A,FALSE,"PPU-Telemig"}</definedName>
    <definedName name="mmm" localSheetId="16" hidden="1">{"MG-2002-F1",#N/A,FALSE,"PPU-Telemig";"MG-2002-F2",#N/A,FALSE,"PPU-Telemig";"MG-2002-F3",#N/A,FALSE,"PPU-Telemig";"MG-2002-F4",#N/A,FALSE,"PPU-Telemig";"MG-2003-F1",#N/A,FALSE,"PPU-Telemig";"MG-2004-F1",#N/A,FALSE,"PPU-Telemig"}</definedName>
    <definedName name="mmm" localSheetId="2" hidden="1">{"MG-2002-F1",#N/A,FALSE,"PPU-Telemig";"MG-2002-F2",#N/A,FALSE,"PPU-Telemig";"MG-2002-F3",#N/A,FALSE,"PPU-Telemig";"MG-2002-F4",#N/A,FALSE,"PPU-Telemig";"MG-2003-F1",#N/A,FALSE,"PPU-Telemig";"MG-2004-F1",#N/A,FALSE,"PPU-Telemig"}</definedName>
    <definedName name="mmm" hidden="1">{"MG-2002-F1",#N/A,FALSE,"PPU-Telemig";"MG-2002-F2",#N/A,FALSE,"PPU-Telemig";"MG-2002-F3",#N/A,FALSE,"PPU-Telemig";"MG-2002-F4",#N/A,FALSE,"PPU-Telemig";"MG-2003-F1",#N/A,FALSE,"PPU-Telemig";"MG-2004-F1",#N/A,FALSE,"PPU-Telemig"}</definedName>
    <definedName name="mnhgd" localSheetId="12" hidden="1">{"MG-2002-F1",#N/A,FALSE,"PPU-Telemig";"MG-2002-F2",#N/A,FALSE,"PPU-Telemig";"MG-2002-F3",#N/A,FALSE,"PPU-Telemig";"MG-2002-F4",#N/A,FALSE,"PPU-Telemig";"MG-2003-F1",#N/A,FALSE,"PPU-Telemig";"MG-2004-F1",#N/A,FALSE,"PPU-Telemig"}</definedName>
    <definedName name="mnhgd" localSheetId="13" hidden="1">{"MG-2002-F1",#N/A,FALSE,"PPU-Telemig";"MG-2002-F2",#N/A,FALSE,"PPU-Telemig";"MG-2002-F3",#N/A,FALSE,"PPU-Telemig";"MG-2002-F4",#N/A,FALSE,"PPU-Telemig";"MG-2003-F1",#N/A,FALSE,"PPU-Telemig";"MG-2004-F1",#N/A,FALSE,"PPU-Telemig"}</definedName>
    <definedName name="mnhgd" localSheetId="14" hidden="1">{"MG-2002-F1",#N/A,FALSE,"PPU-Telemig";"MG-2002-F2",#N/A,FALSE,"PPU-Telemig";"MG-2002-F3",#N/A,FALSE,"PPU-Telemig";"MG-2002-F4",#N/A,FALSE,"PPU-Telemig";"MG-2003-F1",#N/A,FALSE,"PPU-Telemig";"MG-2004-F1",#N/A,FALSE,"PPU-Telemig"}</definedName>
    <definedName name="mnhgd" localSheetId="15" hidden="1">{"MG-2002-F1",#N/A,FALSE,"PPU-Telemig";"MG-2002-F2",#N/A,FALSE,"PPU-Telemig";"MG-2002-F3",#N/A,FALSE,"PPU-Telemig";"MG-2002-F4",#N/A,FALSE,"PPU-Telemig";"MG-2003-F1",#N/A,FALSE,"PPU-Telemig";"MG-2004-F1",#N/A,FALSE,"PPU-Telemig"}</definedName>
    <definedName name="mnhgd" localSheetId="4" hidden="1">{"MG-2002-F1",#N/A,FALSE,"PPU-Telemig";"MG-2002-F2",#N/A,FALSE,"PPU-Telemig";"MG-2002-F3",#N/A,FALSE,"PPU-Telemig";"MG-2002-F4",#N/A,FALSE,"PPU-Telemig";"MG-2003-F1",#N/A,FALSE,"PPU-Telemig";"MG-2004-F1",#N/A,FALSE,"PPU-Telemig"}</definedName>
    <definedName name="mnhgd" localSheetId="5" hidden="1">{"MG-2002-F1",#N/A,FALSE,"PPU-Telemig";"MG-2002-F2",#N/A,FALSE,"PPU-Telemig";"MG-2002-F3",#N/A,FALSE,"PPU-Telemig";"MG-2002-F4",#N/A,FALSE,"PPU-Telemig";"MG-2003-F1",#N/A,FALSE,"PPU-Telemig";"MG-2004-F1",#N/A,FALSE,"PPU-Telemig"}</definedName>
    <definedName name="mnhgd" localSheetId="6" hidden="1">{"MG-2002-F1",#N/A,FALSE,"PPU-Telemig";"MG-2002-F2",#N/A,FALSE,"PPU-Telemig";"MG-2002-F3",#N/A,FALSE,"PPU-Telemig";"MG-2002-F4",#N/A,FALSE,"PPU-Telemig";"MG-2003-F1",#N/A,FALSE,"PPU-Telemig";"MG-2004-F1",#N/A,FALSE,"PPU-Telemig"}</definedName>
    <definedName name="mnhgd" localSheetId="7" hidden="1">{"MG-2002-F1",#N/A,FALSE,"PPU-Telemig";"MG-2002-F2",#N/A,FALSE,"PPU-Telemig";"MG-2002-F3",#N/A,FALSE,"PPU-Telemig";"MG-2002-F4",#N/A,FALSE,"PPU-Telemig";"MG-2003-F1",#N/A,FALSE,"PPU-Telemig";"MG-2004-F1",#N/A,FALSE,"PPU-Telemig"}</definedName>
    <definedName name="mnhgd" localSheetId="8" hidden="1">{"MG-2002-F1",#N/A,FALSE,"PPU-Telemig";"MG-2002-F2",#N/A,FALSE,"PPU-Telemig";"MG-2002-F3",#N/A,FALSE,"PPU-Telemig";"MG-2002-F4",#N/A,FALSE,"PPU-Telemig";"MG-2003-F1",#N/A,FALSE,"PPU-Telemig";"MG-2004-F1",#N/A,FALSE,"PPU-Telemig"}</definedName>
    <definedName name="mnhgd" localSheetId="9" hidden="1">{"MG-2002-F1",#N/A,FALSE,"PPU-Telemig";"MG-2002-F2",#N/A,FALSE,"PPU-Telemig";"MG-2002-F3",#N/A,FALSE,"PPU-Telemig";"MG-2002-F4",#N/A,FALSE,"PPU-Telemig";"MG-2003-F1",#N/A,FALSE,"PPU-Telemig";"MG-2004-F1",#N/A,FALSE,"PPU-Telemig"}</definedName>
    <definedName name="mnhgd" localSheetId="10" hidden="1">{"MG-2002-F1",#N/A,FALSE,"PPU-Telemig";"MG-2002-F2",#N/A,FALSE,"PPU-Telemig";"MG-2002-F3",#N/A,FALSE,"PPU-Telemig";"MG-2002-F4",#N/A,FALSE,"PPU-Telemig";"MG-2003-F1",#N/A,FALSE,"PPU-Telemig";"MG-2004-F1",#N/A,FALSE,"PPU-Telemig"}</definedName>
    <definedName name="mnhgd" localSheetId="11" hidden="1">{"MG-2002-F1",#N/A,FALSE,"PPU-Telemig";"MG-2002-F2",#N/A,FALSE,"PPU-Telemig";"MG-2002-F3",#N/A,FALSE,"PPU-Telemig";"MG-2002-F4",#N/A,FALSE,"PPU-Telemig";"MG-2003-F1",#N/A,FALSE,"PPU-Telemig";"MG-2004-F1",#N/A,FALSE,"PPU-Telemig"}</definedName>
    <definedName name="mnhgd" localSheetId="1" hidden="1">{"MG-2002-F1",#N/A,FALSE,"PPU-Telemig";"MG-2002-F2",#N/A,FALSE,"PPU-Telemig";"MG-2002-F3",#N/A,FALSE,"PPU-Telemig";"MG-2002-F4",#N/A,FALSE,"PPU-Telemig";"MG-2003-F1",#N/A,FALSE,"PPU-Telemig";"MG-2004-F1",#N/A,FALSE,"PPU-Telemig"}</definedName>
    <definedName name="mnhgd" localSheetId="16" hidden="1">{"MG-2002-F1",#N/A,FALSE,"PPU-Telemig";"MG-2002-F2",#N/A,FALSE,"PPU-Telemig";"MG-2002-F3",#N/A,FALSE,"PPU-Telemig";"MG-2002-F4",#N/A,FALSE,"PPU-Telemig";"MG-2003-F1",#N/A,FALSE,"PPU-Telemig";"MG-2004-F1",#N/A,FALSE,"PPU-Telemig"}</definedName>
    <definedName name="mnhgd" localSheetId="2" hidden="1">{"MG-2002-F1",#N/A,FALSE,"PPU-Telemig";"MG-2002-F2",#N/A,FALSE,"PPU-Telemig";"MG-2002-F3",#N/A,FALSE,"PPU-Telemig";"MG-2002-F4",#N/A,FALSE,"PPU-Telemig";"MG-2003-F1",#N/A,FALSE,"PPU-Telemig";"MG-2004-F1",#N/A,FALSE,"PPU-Telemig"}</definedName>
    <definedName name="mnhgd" hidden="1">{"MG-2002-F1",#N/A,FALSE,"PPU-Telemig";"MG-2002-F2",#N/A,FALSE,"PPU-Telemig";"MG-2002-F3",#N/A,FALSE,"PPU-Telemig";"MG-2002-F4",#N/A,FALSE,"PPU-Telemig";"MG-2003-F1",#N/A,FALSE,"PPU-Telemig";"MG-2004-F1",#N/A,FALSE,"PPU-Telemig"}</definedName>
    <definedName name="MTC" localSheetId="10">'[16]Cons Cotizac - Examenes médicos'!$M$12:$R$12</definedName>
    <definedName name="MTC">'[17]Cons Cotizac - Examenes médicos'!$M$12:$R$12</definedName>
    <definedName name="ndc" localSheetId="12" hidden="1">{"'内訳表'!$B$2:$N$64"}</definedName>
    <definedName name="ndc" localSheetId="13" hidden="1">{"'内訳表'!$B$2:$N$64"}</definedName>
    <definedName name="ndc" localSheetId="14" hidden="1">{"'内訳表'!$B$2:$N$64"}</definedName>
    <definedName name="ndc" localSheetId="15" hidden="1">{"'内訳表'!$B$2:$N$64"}</definedName>
    <definedName name="ndc" localSheetId="4" hidden="1">{"'内訳表'!$B$2:$N$64"}</definedName>
    <definedName name="ndc" localSheetId="5" hidden="1">{"'内訳表'!$B$2:$N$64"}</definedName>
    <definedName name="ndc" localSheetId="6" hidden="1">{"'内訳表'!$B$2:$N$64"}</definedName>
    <definedName name="ndc" localSheetId="7" hidden="1">{"'内訳表'!$B$2:$N$64"}</definedName>
    <definedName name="ndc" localSheetId="8" hidden="1">{"'内訳表'!$B$2:$N$64"}</definedName>
    <definedName name="ndc" localSheetId="9" hidden="1">{"'内訳表'!$B$2:$N$64"}</definedName>
    <definedName name="ndc" localSheetId="10" hidden="1">{"'内訳表'!$B$2:$N$64"}</definedName>
    <definedName name="ndc" localSheetId="11" hidden="1">{"'内訳表'!$B$2:$N$64"}</definedName>
    <definedName name="ndc" localSheetId="1" hidden="1">{"'内訳表'!$B$2:$N$64"}</definedName>
    <definedName name="ndc" localSheetId="16" hidden="1">{"'内訳表'!$B$2:$N$64"}</definedName>
    <definedName name="ndc" localSheetId="2" hidden="1">{"'内訳表'!$B$2:$N$64"}</definedName>
    <definedName name="ndc" hidden="1">{"'内訳表'!$B$2:$N$64"}</definedName>
    <definedName name="NO_APLICA" localSheetId="16">ENCUESTA!$AZ$11:$AZ$13</definedName>
    <definedName name="NO_APLICA">#REF!</definedName>
    <definedName name="NoFacturable">[7]PERSONAL!$P$46</definedName>
    <definedName name="normal" localSheetId="12" hidden="1">#REF!</definedName>
    <definedName name="normal" localSheetId="13" hidden="1">#REF!</definedName>
    <definedName name="normal" localSheetId="14" hidden="1">#REF!</definedName>
    <definedName name="normal" localSheetId="15" hidden="1">#REF!</definedName>
    <definedName name="normal" localSheetId="4" hidden="1">#REF!</definedName>
    <definedName name="normal" localSheetId="5" hidden="1">#REF!</definedName>
    <definedName name="normal" localSheetId="6" hidden="1">#REF!</definedName>
    <definedName name="normal" localSheetId="7" hidden="1">#REF!</definedName>
    <definedName name="normal" localSheetId="8" hidden="1">#REF!</definedName>
    <definedName name="normal" localSheetId="9" hidden="1">#REF!</definedName>
    <definedName name="normal" localSheetId="10" hidden="1">#REF!</definedName>
    <definedName name="normal" localSheetId="11" hidden="1">#REF!</definedName>
    <definedName name="normal" localSheetId="16" hidden="1">#REF!</definedName>
    <definedName name="normal" localSheetId="2" hidden="1">#REF!</definedName>
    <definedName name="normal" hidden="1">#REF!</definedName>
    <definedName name="normal2" localSheetId="16" hidden="1">#REF!</definedName>
    <definedName name="normal2" localSheetId="2" hidden="1">#REF!</definedName>
    <definedName name="normal2" hidden="1">#REF!</definedName>
    <definedName name="normal3" localSheetId="16" hidden="1">#REF!</definedName>
    <definedName name="normal3" localSheetId="2" hidden="1">#REF!</definedName>
    <definedName name="normal3" hidden="1">#REF!</definedName>
    <definedName name="normal4" localSheetId="16" hidden="1">#REF!</definedName>
    <definedName name="normal4" localSheetId="2" hidden="1">#REF!</definedName>
    <definedName name="normal4" hidden="1">#REF!</definedName>
    <definedName name="normal5" localSheetId="16" hidden="1">#REF!</definedName>
    <definedName name="normal5" localSheetId="2" hidden="1">#REF!</definedName>
    <definedName name="normal5" hidden="1">#REF!</definedName>
    <definedName name="normal6" localSheetId="16" hidden="1">#REF!</definedName>
    <definedName name="normal6" localSheetId="2" hidden="1">#REF!</definedName>
    <definedName name="normal6" hidden="1">#REF!</definedName>
    <definedName name="nueva">[6]lista!$A$2:$A$3</definedName>
    <definedName name="O" localSheetId="16">[8]OCULTAR!$F$14:$F$17</definedName>
    <definedName name="O">OCULTAR!$F$14:$F$17</definedName>
    <definedName name="Objetivos" localSheetId="10">[10]Tablas!$E$2:$E$17</definedName>
    <definedName name="Objetivos">[11]Tablas!$E$2:$E$17</definedName>
    <definedName name="Oficina">[7]PERSONAL!$P$69</definedName>
    <definedName name="oo" localSheetId="12" hidden="1">{"'内訳表'!$B$2:$N$64"}</definedName>
    <definedName name="oo" localSheetId="13" hidden="1">{"'内訳表'!$B$2:$N$64"}</definedName>
    <definedName name="oo" localSheetId="14" hidden="1">{"'内訳表'!$B$2:$N$64"}</definedName>
    <definedName name="oo" localSheetId="15" hidden="1">{"'内訳表'!$B$2:$N$64"}</definedName>
    <definedName name="oo" localSheetId="4" hidden="1">{"'内訳表'!$B$2:$N$64"}</definedName>
    <definedName name="oo" localSheetId="5" hidden="1">{"'内訳表'!$B$2:$N$64"}</definedName>
    <definedName name="oo" localSheetId="6" hidden="1">{"'内訳表'!$B$2:$N$64"}</definedName>
    <definedName name="oo" localSheetId="7" hidden="1">{"'内訳表'!$B$2:$N$64"}</definedName>
    <definedName name="oo" localSheetId="8" hidden="1">{"'内訳表'!$B$2:$N$64"}</definedName>
    <definedName name="oo" localSheetId="9" hidden="1">{"'内訳表'!$B$2:$N$64"}</definedName>
    <definedName name="oo" localSheetId="10" hidden="1">{"'内訳表'!$B$2:$N$64"}</definedName>
    <definedName name="oo" localSheetId="11" hidden="1">{"'内訳表'!$B$2:$N$64"}</definedName>
    <definedName name="oo" localSheetId="1" hidden="1">{"'内訳表'!$B$2:$N$64"}</definedName>
    <definedName name="oo" localSheetId="16" hidden="1">{"'内訳表'!$B$2:$N$64"}</definedName>
    <definedName name="oo" localSheetId="2" hidden="1">{"'内訳表'!$B$2:$N$64"}</definedName>
    <definedName name="oo" hidden="1">{"'内訳表'!$B$2:$N$64"}</definedName>
    <definedName name="PARTICIPACION" localSheetId="3">[6]lista!$A$15:$A$17</definedName>
    <definedName name="PARTICIPACION" localSheetId="12">[6]lista!$A$15:$A$17</definedName>
    <definedName name="PARTICIPACION" localSheetId="13">[6]lista!$A$15:$A$17</definedName>
    <definedName name="PARTICIPACION" localSheetId="14">[6]lista!$A$15:$A$17</definedName>
    <definedName name="PARTICIPACION" localSheetId="15">[6]lista!$A$15:$A$17</definedName>
    <definedName name="PARTICIPACION" localSheetId="4">[6]lista!$A$15:$A$17</definedName>
    <definedName name="PARTICIPACION" localSheetId="5">[6]lista!$A$15:$A$17</definedName>
    <definedName name="PARTICIPACION" localSheetId="6">[6]lista!$A$15:$A$17</definedName>
    <definedName name="PARTICIPACION" localSheetId="7">[6]lista!$A$15:$A$17</definedName>
    <definedName name="PARTICIPACION" localSheetId="8">[6]lista!$A$15:$A$17</definedName>
    <definedName name="PARTICIPACION" localSheetId="9">[6]lista!$A$15:$A$17</definedName>
    <definedName name="PARTICIPACION" localSheetId="10">[6]lista!$A$15:$A$17</definedName>
    <definedName name="PARTICIPACION" localSheetId="11">[6]lista!$A$15:$A$17</definedName>
    <definedName name="PARTICIPACION" localSheetId="1">[6]lista!$A$15:$A$17</definedName>
    <definedName name="PARTICIPACION" localSheetId="16">[6]lista!$A$15:$A$17</definedName>
    <definedName name="PARTICIPACION" localSheetId="2">[6]lista!$A$15:$A$17</definedName>
    <definedName name="PARTICIPACION">[6]lista!$A$15:$A$17</definedName>
    <definedName name="penal_1" localSheetId="10">[2]PARÁMETROS!$C$70</definedName>
    <definedName name="penal_1" localSheetId="16">[3]PARÁMETROS!$C$70</definedName>
    <definedName name="penal_1">[4]PARÁMETROS!$C$70</definedName>
    <definedName name="penal_10" localSheetId="10">[2]PARÁMETROS!$C$79</definedName>
    <definedName name="penal_10" localSheetId="16">[3]PARÁMETROS!$C$79</definedName>
    <definedName name="penal_10">[4]PARÁMETROS!$C$79</definedName>
    <definedName name="penal_2" localSheetId="10">[2]PARÁMETROS!$C$71</definedName>
    <definedName name="penal_2" localSheetId="16">[3]PARÁMETROS!$C$71</definedName>
    <definedName name="penal_2">[4]PARÁMETROS!$C$71</definedName>
    <definedName name="penal_3" localSheetId="10">[2]PARÁMETROS!$C$72</definedName>
    <definedName name="penal_3" localSheetId="16">[3]PARÁMETROS!$C$72</definedName>
    <definedName name="penal_3">[4]PARÁMETROS!$C$72</definedName>
    <definedName name="penal_4" localSheetId="10">[2]PARÁMETROS!$C$73</definedName>
    <definedName name="penal_4" localSheetId="16">[3]PARÁMETROS!$C$73</definedName>
    <definedName name="penal_4">[4]PARÁMETROS!$C$73</definedName>
    <definedName name="penal_5" localSheetId="10">[2]PARÁMETROS!$C$74</definedName>
    <definedName name="penal_5" localSheetId="16">[3]PARÁMETROS!$C$74</definedName>
    <definedName name="penal_5">[4]PARÁMETROS!$C$74</definedName>
    <definedName name="penal_6" localSheetId="10">[2]PARÁMETROS!$C$75</definedName>
    <definedName name="penal_6" localSheetId="16">[3]PARÁMETROS!$C$75</definedName>
    <definedName name="penal_6">[4]PARÁMETROS!$C$75</definedName>
    <definedName name="penal_7" localSheetId="10">[2]PARÁMETROS!$C$76</definedName>
    <definedName name="penal_7" localSheetId="16">[3]PARÁMETROS!$C$76</definedName>
    <definedName name="penal_7">[4]PARÁMETROS!$C$76</definedName>
    <definedName name="penal_8" localSheetId="10">[2]PARÁMETROS!$C$77</definedName>
    <definedName name="penal_8" localSheetId="16">[3]PARÁMETROS!$C$77</definedName>
    <definedName name="penal_8">[4]PARÁMETROS!$C$77</definedName>
    <definedName name="penal_9" localSheetId="10">[2]PARÁMETROS!$C$78</definedName>
    <definedName name="penal_9" localSheetId="16">[3]PARÁMETROS!$C$78</definedName>
    <definedName name="penal_9">[4]PARÁMETROS!$C$78</definedName>
    <definedName name="penal_global" localSheetId="10">[2]PARÁMETROS!$D$80</definedName>
    <definedName name="penal_global" localSheetId="16">[3]PARÁMETROS!$D$80</definedName>
    <definedName name="penal_global">[4]PARÁMETROS!$D$80</definedName>
    <definedName name="perfil">'[18]SALARIO DE REFERENCIA'!$B$7:$B$121</definedName>
    <definedName name="perfiles">'[19]SALARIO DE REFERENCIA'!$B$7:$B$121</definedName>
    <definedName name="pilares" localSheetId="10">[10]Tablas!$G$2:$G$6</definedName>
    <definedName name="pilares">[11]Tablas!$G$2:$G$6</definedName>
    <definedName name="Procedencia" localSheetId="3">[6]lista!$A$2:$A$3</definedName>
    <definedName name="Procedencia" localSheetId="12">[6]lista!$A$2:$A$3</definedName>
    <definedName name="Procedencia" localSheetId="13">[6]lista!$A$2:$A$3</definedName>
    <definedName name="Procedencia" localSheetId="14">[6]lista!$A$2:$A$3</definedName>
    <definedName name="Procedencia" localSheetId="15">[6]lista!$A$2:$A$3</definedName>
    <definedName name="Procedencia" localSheetId="4">[6]lista!$A$2:$A$3</definedName>
    <definedName name="Procedencia" localSheetId="5">[6]lista!$A$2:$A$3</definedName>
    <definedName name="Procedencia" localSheetId="6">[6]lista!$A$2:$A$3</definedName>
    <definedName name="Procedencia" localSheetId="7">[6]lista!$A$2:$A$3</definedName>
    <definedName name="Procedencia" localSheetId="8">[6]lista!$A$2:$A$3</definedName>
    <definedName name="Procedencia" localSheetId="9">[6]lista!$A$2:$A$3</definedName>
    <definedName name="Procedencia" localSheetId="10">[6]lista!$A$2:$A$3</definedName>
    <definedName name="Procedencia" localSheetId="11">[6]lista!$A$2:$A$3</definedName>
    <definedName name="Procedencia" localSheetId="1">[6]lista!$A$2:$A$3</definedName>
    <definedName name="Procedencia" localSheetId="16">[6]lista!$A$2:$A$3</definedName>
    <definedName name="Procedencia" localSheetId="2">[6]lista!$A$2:$A$3</definedName>
    <definedName name="Procedencia">[6]lista!$A$2:$A$3</definedName>
    <definedName name="productosdef">'[5]Precios Alimentos'!$A$5031:$A$5730</definedName>
    <definedName name="Profesional">[7]PERSONAL!$P$12</definedName>
    <definedName name="reahgbaerg" localSheetId="12" hidden="1">{"'内訳表'!$B$2:$N$64"}</definedName>
    <definedName name="reahgbaerg" localSheetId="13" hidden="1">{"'内訳表'!$B$2:$N$64"}</definedName>
    <definedName name="reahgbaerg" localSheetId="14" hidden="1">{"'内訳表'!$B$2:$N$64"}</definedName>
    <definedName name="reahgbaerg" localSheetId="15" hidden="1">{"'内訳表'!$B$2:$N$64"}</definedName>
    <definedName name="reahgbaerg" localSheetId="4" hidden="1">{"'内訳表'!$B$2:$N$64"}</definedName>
    <definedName name="reahgbaerg" localSheetId="5" hidden="1">{"'内訳表'!$B$2:$N$64"}</definedName>
    <definedName name="reahgbaerg" localSheetId="6" hidden="1">{"'内訳表'!$B$2:$N$64"}</definedName>
    <definedName name="reahgbaerg" localSheetId="7" hidden="1">{"'内訳表'!$B$2:$N$64"}</definedName>
    <definedName name="reahgbaerg" localSheetId="8" hidden="1">{"'内訳表'!$B$2:$N$64"}</definedName>
    <definedName name="reahgbaerg" localSheetId="9" hidden="1">{"'内訳表'!$B$2:$N$64"}</definedName>
    <definedName name="reahgbaerg" localSheetId="10" hidden="1">{"'内訳表'!$B$2:$N$64"}</definedName>
    <definedName name="reahgbaerg" localSheetId="11" hidden="1">{"'内訳表'!$B$2:$N$64"}</definedName>
    <definedName name="reahgbaerg" localSheetId="1" hidden="1">{"'内訳表'!$B$2:$N$64"}</definedName>
    <definedName name="reahgbaerg" localSheetId="16" hidden="1">{"'内訳表'!$B$2:$N$64"}</definedName>
    <definedName name="reahgbaerg" localSheetId="2" hidden="1">{"'内訳表'!$B$2:$N$64"}</definedName>
    <definedName name="reahgbaerg" hidden="1">{"'内訳表'!$B$2:$N$64"}</definedName>
    <definedName name="res" localSheetId="12" hidden="1">{"MG-2002-F1",#N/A,FALSE,"PPU-Telemig";"MG-2002-F2",#N/A,FALSE,"PPU-Telemig";"MG-2002-F3",#N/A,FALSE,"PPU-Telemig";"MG-2002-F4",#N/A,FALSE,"PPU-Telemig";"MG-2003-F1",#N/A,FALSE,"PPU-Telemig";"MG-2004-F1",#N/A,FALSE,"PPU-Telemig"}</definedName>
    <definedName name="res" localSheetId="13" hidden="1">{"MG-2002-F1",#N/A,FALSE,"PPU-Telemig";"MG-2002-F2",#N/A,FALSE,"PPU-Telemig";"MG-2002-F3",#N/A,FALSE,"PPU-Telemig";"MG-2002-F4",#N/A,FALSE,"PPU-Telemig";"MG-2003-F1",#N/A,FALSE,"PPU-Telemig";"MG-2004-F1",#N/A,FALSE,"PPU-Telemig"}</definedName>
    <definedName name="res" localSheetId="14" hidden="1">{"MG-2002-F1",#N/A,FALSE,"PPU-Telemig";"MG-2002-F2",#N/A,FALSE,"PPU-Telemig";"MG-2002-F3",#N/A,FALSE,"PPU-Telemig";"MG-2002-F4",#N/A,FALSE,"PPU-Telemig";"MG-2003-F1",#N/A,FALSE,"PPU-Telemig";"MG-2004-F1",#N/A,FALSE,"PPU-Telemig"}</definedName>
    <definedName name="res" localSheetId="15" hidden="1">{"MG-2002-F1",#N/A,FALSE,"PPU-Telemig";"MG-2002-F2",#N/A,FALSE,"PPU-Telemig";"MG-2002-F3",#N/A,FALSE,"PPU-Telemig";"MG-2002-F4",#N/A,FALSE,"PPU-Telemig";"MG-2003-F1",#N/A,FALSE,"PPU-Telemig";"MG-2004-F1",#N/A,FALSE,"PPU-Telemig"}</definedName>
    <definedName name="res" localSheetId="4" hidden="1">{"MG-2002-F1",#N/A,FALSE,"PPU-Telemig";"MG-2002-F2",#N/A,FALSE,"PPU-Telemig";"MG-2002-F3",#N/A,FALSE,"PPU-Telemig";"MG-2002-F4",#N/A,FALSE,"PPU-Telemig";"MG-2003-F1",#N/A,FALSE,"PPU-Telemig";"MG-2004-F1",#N/A,FALSE,"PPU-Telemig"}</definedName>
    <definedName name="res" localSheetId="5" hidden="1">{"MG-2002-F1",#N/A,FALSE,"PPU-Telemig";"MG-2002-F2",#N/A,FALSE,"PPU-Telemig";"MG-2002-F3",#N/A,FALSE,"PPU-Telemig";"MG-2002-F4",#N/A,FALSE,"PPU-Telemig";"MG-2003-F1",#N/A,FALSE,"PPU-Telemig";"MG-2004-F1",#N/A,FALSE,"PPU-Telemig"}</definedName>
    <definedName name="res" localSheetId="6" hidden="1">{"MG-2002-F1",#N/A,FALSE,"PPU-Telemig";"MG-2002-F2",#N/A,FALSE,"PPU-Telemig";"MG-2002-F3",#N/A,FALSE,"PPU-Telemig";"MG-2002-F4",#N/A,FALSE,"PPU-Telemig";"MG-2003-F1",#N/A,FALSE,"PPU-Telemig";"MG-2004-F1",#N/A,FALSE,"PPU-Telemig"}</definedName>
    <definedName name="res" localSheetId="7" hidden="1">{"MG-2002-F1",#N/A,FALSE,"PPU-Telemig";"MG-2002-F2",#N/A,FALSE,"PPU-Telemig";"MG-2002-F3",#N/A,FALSE,"PPU-Telemig";"MG-2002-F4",#N/A,FALSE,"PPU-Telemig";"MG-2003-F1",#N/A,FALSE,"PPU-Telemig";"MG-2004-F1",#N/A,FALSE,"PPU-Telemig"}</definedName>
    <definedName name="res" localSheetId="8" hidden="1">{"MG-2002-F1",#N/A,FALSE,"PPU-Telemig";"MG-2002-F2",#N/A,FALSE,"PPU-Telemig";"MG-2002-F3",#N/A,FALSE,"PPU-Telemig";"MG-2002-F4",#N/A,FALSE,"PPU-Telemig";"MG-2003-F1",#N/A,FALSE,"PPU-Telemig";"MG-2004-F1",#N/A,FALSE,"PPU-Telemig"}</definedName>
    <definedName name="res" localSheetId="9" hidden="1">{"MG-2002-F1",#N/A,FALSE,"PPU-Telemig";"MG-2002-F2",#N/A,FALSE,"PPU-Telemig";"MG-2002-F3",#N/A,FALSE,"PPU-Telemig";"MG-2002-F4",#N/A,FALSE,"PPU-Telemig";"MG-2003-F1",#N/A,FALSE,"PPU-Telemig";"MG-2004-F1",#N/A,FALSE,"PPU-Telemig"}</definedName>
    <definedName name="res" localSheetId="10" hidden="1">{"MG-2002-F1",#N/A,FALSE,"PPU-Telemig";"MG-2002-F2",#N/A,FALSE,"PPU-Telemig";"MG-2002-F3",#N/A,FALSE,"PPU-Telemig";"MG-2002-F4",#N/A,FALSE,"PPU-Telemig";"MG-2003-F1",#N/A,FALSE,"PPU-Telemig";"MG-2004-F1",#N/A,FALSE,"PPU-Telemig"}</definedName>
    <definedName name="res" localSheetId="11" hidden="1">{"MG-2002-F1",#N/A,FALSE,"PPU-Telemig";"MG-2002-F2",#N/A,FALSE,"PPU-Telemig";"MG-2002-F3",#N/A,FALSE,"PPU-Telemig";"MG-2002-F4",#N/A,FALSE,"PPU-Telemig";"MG-2003-F1",#N/A,FALSE,"PPU-Telemig";"MG-2004-F1",#N/A,FALSE,"PPU-Telemig"}</definedName>
    <definedName name="res" localSheetId="1" hidden="1">{"MG-2002-F1",#N/A,FALSE,"PPU-Telemig";"MG-2002-F2",#N/A,FALSE,"PPU-Telemig";"MG-2002-F3",#N/A,FALSE,"PPU-Telemig";"MG-2002-F4",#N/A,FALSE,"PPU-Telemig";"MG-2003-F1",#N/A,FALSE,"PPU-Telemig";"MG-2004-F1",#N/A,FALSE,"PPU-Telemig"}</definedName>
    <definedName name="res" localSheetId="16" hidden="1">{"MG-2002-F1",#N/A,FALSE,"PPU-Telemig";"MG-2002-F2",#N/A,FALSE,"PPU-Telemig";"MG-2002-F3",#N/A,FALSE,"PPU-Telemig";"MG-2002-F4",#N/A,FALSE,"PPU-Telemig";"MG-2003-F1",#N/A,FALSE,"PPU-Telemig";"MG-2004-F1",#N/A,FALSE,"PPU-Telemig"}</definedName>
    <definedName name="res" localSheetId="2" hidden="1">{"MG-2002-F1",#N/A,FALSE,"PPU-Telemig";"MG-2002-F2",#N/A,FALSE,"PPU-Telemig";"MG-2002-F3",#N/A,FALSE,"PPU-Telemig";"MG-2002-F4",#N/A,FALSE,"PPU-Telemig";"MG-2003-F1",#N/A,FALSE,"PPU-Telemig";"MG-2004-F1",#N/A,FALSE,"PPU-Telemig"}</definedName>
    <definedName name="res" hidden="1">{"MG-2002-F1",#N/A,FALSE,"PPU-Telemig";"MG-2002-F2",#N/A,FALSE,"PPU-Telemig";"MG-2002-F3",#N/A,FALSE,"PPU-Telemig";"MG-2002-F4",#N/A,FALSE,"PPU-Telemig";"MG-2003-F1",#N/A,FALSE,"PPU-Telemig";"MG-2004-F1",#N/A,FALSE,"PPU-Telemig"}</definedName>
    <definedName name="RESPUESTAS" localSheetId="16">#REF!</definedName>
    <definedName name="RESPUESTAS" localSheetId="2">#REF!</definedName>
    <definedName name="RESPUESTAS">#REF!</definedName>
    <definedName name="rggvs" localSheetId="12" hidden="1">{"'内訳表'!$B$2:$N$64"}</definedName>
    <definedName name="rggvs" localSheetId="13" hidden="1">{"'内訳表'!$B$2:$N$64"}</definedName>
    <definedName name="rggvs" localSheetId="14" hidden="1">{"'内訳表'!$B$2:$N$64"}</definedName>
    <definedName name="rggvs" localSheetId="15" hidden="1">{"'内訳表'!$B$2:$N$64"}</definedName>
    <definedName name="rggvs" localSheetId="4" hidden="1">{"'内訳表'!$B$2:$N$64"}</definedName>
    <definedName name="rggvs" localSheetId="5" hidden="1">{"'内訳表'!$B$2:$N$64"}</definedName>
    <definedName name="rggvs" localSheetId="6" hidden="1">{"'内訳表'!$B$2:$N$64"}</definedName>
    <definedName name="rggvs" localSheetId="7" hidden="1">{"'内訳表'!$B$2:$N$64"}</definedName>
    <definedName name="rggvs" localSheetId="8" hidden="1">{"'内訳表'!$B$2:$N$64"}</definedName>
    <definedName name="rggvs" localSheetId="9" hidden="1">{"'内訳表'!$B$2:$N$64"}</definedName>
    <definedName name="rggvs" localSheetId="10" hidden="1">{"'内訳表'!$B$2:$N$64"}</definedName>
    <definedName name="rggvs" localSheetId="11" hidden="1">{"'内訳表'!$B$2:$N$64"}</definedName>
    <definedName name="rggvs" localSheetId="1" hidden="1">{"'内訳表'!$B$2:$N$64"}</definedName>
    <definedName name="rggvs" localSheetId="16" hidden="1">{"'内訳表'!$B$2:$N$64"}</definedName>
    <definedName name="rggvs" localSheetId="2" hidden="1">{"'内訳表'!$B$2:$N$64"}</definedName>
    <definedName name="rggvs" hidden="1">{"'内訳表'!$B$2:$N$64"}</definedName>
    <definedName name="rnrsy" localSheetId="12" hidden="1">{#N/A,#N/A,TRUE,"Report"}</definedName>
    <definedName name="rnrsy" localSheetId="13" hidden="1">{#N/A,#N/A,TRUE,"Report"}</definedName>
    <definedName name="rnrsy" localSheetId="14" hidden="1">{#N/A,#N/A,TRUE,"Report"}</definedName>
    <definedName name="rnrsy" localSheetId="15" hidden="1">{#N/A,#N/A,TRUE,"Report"}</definedName>
    <definedName name="rnrsy" localSheetId="4" hidden="1">{#N/A,#N/A,TRUE,"Report"}</definedName>
    <definedName name="rnrsy" localSheetId="5" hidden="1">{#N/A,#N/A,TRUE,"Report"}</definedName>
    <definedName name="rnrsy" localSheetId="6" hidden="1">{#N/A,#N/A,TRUE,"Report"}</definedName>
    <definedName name="rnrsy" localSheetId="7" hidden="1">{#N/A,#N/A,TRUE,"Report"}</definedName>
    <definedName name="rnrsy" localSheetId="8" hidden="1">{#N/A,#N/A,TRUE,"Report"}</definedName>
    <definedName name="rnrsy" localSheetId="9" hidden="1">{#N/A,#N/A,TRUE,"Report"}</definedName>
    <definedName name="rnrsy" localSheetId="10" hidden="1">{#N/A,#N/A,TRUE,"Report"}</definedName>
    <definedName name="rnrsy" localSheetId="11" hidden="1">{#N/A,#N/A,TRUE,"Report"}</definedName>
    <definedName name="rnrsy" localSheetId="1" hidden="1">{#N/A,#N/A,TRUE,"Report"}</definedName>
    <definedName name="rnrsy" localSheetId="16" hidden="1">{#N/A,#N/A,TRUE,"Report"}</definedName>
    <definedName name="rnrsy" localSheetId="2" hidden="1">{#N/A,#N/A,TRUE,"Report"}</definedName>
    <definedName name="rnrsy" hidden="1">{#N/A,#N/A,TRUE,"Report"}</definedName>
    <definedName name="rrr" localSheetId="12" hidden="1">{"MG-2002-F1",#N/A,FALSE,"PPU-Telemig";"MG-2002-F2",#N/A,FALSE,"PPU-Telemig";"MG-2002-F3",#N/A,FALSE,"PPU-Telemig";"MG-2002-F4",#N/A,FALSE,"PPU-Telemig";"MG-2003-F1",#N/A,FALSE,"PPU-Telemig";"MG-2004-F1",#N/A,FALSE,"PPU-Telemig"}</definedName>
    <definedName name="rrr" localSheetId="13" hidden="1">{"MG-2002-F1",#N/A,FALSE,"PPU-Telemig";"MG-2002-F2",#N/A,FALSE,"PPU-Telemig";"MG-2002-F3",#N/A,FALSE,"PPU-Telemig";"MG-2002-F4",#N/A,FALSE,"PPU-Telemig";"MG-2003-F1",#N/A,FALSE,"PPU-Telemig";"MG-2004-F1",#N/A,FALSE,"PPU-Telemig"}</definedName>
    <definedName name="rrr" localSheetId="14" hidden="1">{"MG-2002-F1",#N/A,FALSE,"PPU-Telemig";"MG-2002-F2",#N/A,FALSE,"PPU-Telemig";"MG-2002-F3",#N/A,FALSE,"PPU-Telemig";"MG-2002-F4",#N/A,FALSE,"PPU-Telemig";"MG-2003-F1",#N/A,FALSE,"PPU-Telemig";"MG-2004-F1",#N/A,FALSE,"PPU-Telemig"}</definedName>
    <definedName name="rrr" localSheetId="15" hidden="1">{"MG-2002-F1",#N/A,FALSE,"PPU-Telemig";"MG-2002-F2",#N/A,FALSE,"PPU-Telemig";"MG-2002-F3",#N/A,FALSE,"PPU-Telemig";"MG-2002-F4",#N/A,FALSE,"PPU-Telemig";"MG-2003-F1",#N/A,FALSE,"PPU-Telemig";"MG-2004-F1",#N/A,FALSE,"PPU-Telemig"}</definedName>
    <definedName name="rrr" localSheetId="4" hidden="1">{"MG-2002-F1",#N/A,FALSE,"PPU-Telemig";"MG-2002-F2",#N/A,FALSE,"PPU-Telemig";"MG-2002-F3",#N/A,FALSE,"PPU-Telemig";"MG-2002-F4",#N/A,FALSE,"PPU-Telemig";"MG-2003-F1",#N/A,FALSE,"PPU-Telemig";"MG-2004-F1",#N/A,FALSE,"PPU-Telemig"}</definedName>
    <definedName name="rrr" localSheetId="5" hidden="1">{"MG-2002-F1",#N/A,FALSE,"PPU-Telemig";"MG-2002-F2",#N/A,FALSE,"PPU-Telemig";"MG-2002-F3",#N/A,FALSE,"PPU-Telemig";"MG-2002-F4",#N/A,FALSE,"PPU-Telemig";"MG-2003-F1",#N/A,FALSE,"PPU-Telemig";"MG-2004-F1",#N/A,FALSE,"PPU-Telemig"}</definedName>
    <definedName name="rrr" localSheetId="6" hidden="1">{"MG-2002-F1",#N/A,FALSE,"PPU-Telemig";"MG-2002-F2",#N/A,FALSE,"PPU-Telemig";"MG-2002-F3",#N/A,FALSE,"PPU-Telemig";"MG-2002-F4",#N/A,FALSE,"PPU-Telemig";"MG-2003-F1",#N/A,FALSE,"PPU-Telemig";"MG-2004-F1",#N/A,FALSE,"PPU-Telemig"}</definedName>
    <definedName name="rrr" localSheetId="7" hidden="1">{"MG-2002-F1",#N/A,FALSE,"PPU-Telemig";"MG-2002-F2",#N/A,FALSE,"PPU-Telemig";"MG-2002-F3",#N/A,FALSE,"PPU-Telemig";"MG-2002-F4",#N/A,FALSE,"PPU-Telemig";"MG-2003-F1",#N/A,FALSE,"PPU-Telemig";"MG-2004-F1",#N/A,FALSE,"PPU-Telemig"}</definedName>
    <definedName name="rrr" localSheetId="8" hidden="1">{"MG-2002-F1",#N/A,FALSE,"PPU-Telemig";"MG-2002-F2",#N/A,FALSE,"PPU-Telemig";"MG-2002-F3",#N/A,FALSE,"PPU-Telemig";"MG-2002-F4",#N/A,FALSE,"PPU-Telemig";"MG-2003-F1",#N/A,FALSE,"PPU-Telemig";"MG-2004-F1",#N/A,FALSE,"PPU-Telemig"}</definedName>
    <definedName name="rrr" localSheetId="9" hidden="1">{"MG-2002-F1",#N/A,FALSE,"PPU-Telemig";"MG-2002-F2",#N/A,FALSE,"PPU-Telemig";"MG-2002-F3",#N/A,FALSE,"PPU-Telemig";"MG-2002-F4",#N/A,FALSE,"PPU-Telemig";"MG-2003-F1",#N/A,FALSE,"PPU-Telemig";"MG-2004-F1",#N/A,FALSE,"PPU-Telemig"}</definedName>
    <definedName name="rrr" localSheetId="10" hidden="1">{"MG-2002-F1",#N/A,FALSE,"PPU-Telemig";"MG-2002-F2",#N/A,FALSE,"PPU-Telemig";"MG-2002-F3",#N/A,FALSE,"PPU-Telemig";"MG-2002-F4",#N/A,FALSE,"PPU-Telemig";"MG-2003-F1",#N/A,FALSE,"PPU-Telemig";"MG-2004-F1",#N/A,FALSE,"PPU-Telemig"}</definedName>
    <definedName name="rrr" localSheetId="11" hidden="1">{"MG-2002-F1",#N/A,FALSE,"PPU-Telemig";"MG-2002-F2",#N/A,FALSE,"PPU-Telemig";"MG-2002-F3",#N/A,FALSE,"PPU-Telemig";"MG-2002-F4",#N/A,FALSE,"PPU-Telemig";"MG-2003-F1",#N/A,FALSE,"PPU-Telemig";"MG-2004-F1",#N/A,FALSE,"PPU-Telemig"}</definedName>
    <definedName name="rrr" localSheetId="1" hidden="1">{"MG-2002-F1",#N/A,FALSE,"PPU-Telemig";"MG-2002-F2",#N/A,FALSE,"PPU-Telemig";"MG-2002-F3",#N/A,FALSE,"PPU-Telemig";"MG-2002-F4",#N/A,FALSE,"PPU-Telemig";"MG-2003-F1",#N/A,FALSE,"PPU-Telemig";"MG-2004-F1",#N/A,FALSE,"PPU-Telemig"}</definedName>
    <definedName name="rrr" localSheetId="16" hidden="1">{"MG-2002-F1",#N/A,FALSE,"PPU-Telemig";"MG-2002-F2",#N/A,FALSE,"PPU-Telemig";"MG-2002-F3",#N/A,FALSE,"PPU-Telemig";"MG-2002-F4",#N/A,FALSE,"PPU-Telemig";"MG-2003-F1",#N/A,FALSE,"PPU-Telemig";"MG-2004-F1",#N/A,FALSE,"PPU-Telemig"}</definedName>
    <definedName name="rrr" localSheetId="2" hidden="1">{"MG-2002-F1",#N/A,FALSE,"PPU-Telemig";"MG-2002-F2",#N/A,FALSE,"PPU-Telemig";"MG-2002-F3",#N/A,FALSE,"PPU-Telemig";"MG-2002-F4",#N/A,FALSE,"PPU-Telemig";"MG-2003-F1",#N/A,FALSE,"PPU-Telemig";"MG-2004-F1",#N/A,FALSE,"PPU-Telemig"}</definedName>
    <definedName name="rrr" hidden="1">{"MG-2002-F1",#N/A,FALSE,"PPU-Telemig";"MG-2002-F2",#N/A,FALSE,"PPU-Telemig";"MG-2002-F3",#N/A,FALSE,"PPU-Telemig";"MG-2002-F4",#N/A,FALSE,"PPU-Telemig";"MG-2003-F1",#N/A,FALSE,"PPU-Telemig";"MG-2004-F1",#N/A,FALSE,"PPU-Telemig"}</definedName>
    <definedName name="RY" localSheetId="12" hidden="1">{"MG-2002-F1",#N/A,FALSE,"PPU-Telemig";"MG-2002-F2",#N/A,FALSE,"PPU-Telemig";"MG-2002-F3",#N/A,FALSE,"PPU-Telemig";"MG-2002-F4",#N/A,FALSE,"PPU-Telemig";"MG-2003-F1",#N/A,FALSE,"PPU-Telemig";"MG-2004-F1",#N/A,FALSE,"PPU-Telemig"}</definedName>
    <definedName name="RY" localSheetId="13" hidden="1">{"MG-2002-F1",#N/A,FALSE,"PPU-Telemig";"MG-2002-F2",#N/A,FALSE,"PPU-Telemig";"MG-2002-F3",#N/A,FALSE,"PPU-Telemig";"MG-2002-F4",#N/A,FALSE,"PPU-Telemig";"MG-2003-F1",#N/A,FALSE,"PPU-Telemig";"MG-2004-F1",#N/A,FALSE,"PPU-Telemig"}</definedName>
    <definedName name="RY" localSheetId="14" hidden="1">{"MG-2002-F1",#N/A,FALSE,"PPU-Telemig";"MG-2002-F2",#N/A,FALSE,"PPU-Telemig";"MG-2002-F3",#N/A,FALSE,"PPU-Telemig";"MG-2002-F4",#N/A,FALSE,"PPU-Telemig";"MG-2003-F1",#N/A,FALSE,"PPU-Telemig";"MG-2004-F1",#N/A,FALSE,"PPU-Telemig"}</definedName>
    <definedName name="RY" localSheetId="15" hidden="1">{"MG-2002-F1",#N/A,FALSE,"PPU-Telemig";"MG-2002-F2",#N/A,FALSE,"PPU-Telemig";"MG-2002-F3",#N/A,FALSE,"PPU-Telemig";"MG-2002-F4",#N/A,FALSE,"PPU-Telemig";"MG-2003-F1",#N/A,FALSE,"PPU-Telemig";"MG-2004-F1",#N/A,FALSE,"PPU-Telemig"}</definedName>
    <definedName name="RY" localSheetId="4" hidden="1">{"MG-2002-F1",#N/A,FALSE,"PPU-Telemig";"MG-2002-F2",#N/A,FALSE,"PPU-Telemig";"MG-2002-F3",#N/A,FALSE,"PPU-Telemig";"MG-2002-F4",#N/A,FALSE,"PPU-Telemig";"MG-2003-F1",#N/A,FALSE,"PPU-Telemig";"MG-2004-F1",#N/A,FALSE,"PPU-Telemig"}</definedName>
    <definedName name="RY" localSheetId="5" hidden="1">{"MG-2002-F1",#N/A,FALSE,"PPU-Telemig";"MG-2002-F2",#N/A,FALSE,"PPU-Telemig";"MG-2002-F3",#N/A,FALSE,"PPU-Telemig";"MG-2002-F4",#N/A,FALSE,"PPU-Telemig";"MG-2003-F1",#N/A,FALSE,"PPU-Telemig";"MG-2004-F1",#N/A,FALSE,"PPU-Telemig"}</definedName>
    <definedName name="RY" localSheetId="6" hidden="1">{"MG-2002-F1",#N/A,FALSE,"PPU-Telemig";"MG-2002-F2",#N/A,FALSE,"PPU-Telemig";"MG-2002-F3",#N/A,FALSE,"PPU-Telemig";"MG-2002-F4",#N/A,FALSE,"PPU-Telemig";"MG-2003-F1",#N/A,FALSE,"PPU-Telemig";"MG-2004-F1",#N/A,FALSE,"PPU-Telemig"}</definedName>
    <definedName name="RY" localSheetId="7" hidden="1">{"MG-2002-F1",#N/A,FALSE,"PPU-Telemig";"MG-2002-F2",#N/A,FALSE,"PPU-Telemig";"MG-2002-F3",#N/A,FALSE,"PPU-Telemig";"MG-2002-F4",#N/A,FALSE,"PPU-Telemig";"MG-2003-F1",#N/A,FALSE,"PPU-Telemig";"MG-2004-F1",#N/A,FALSE,"PPU-Telemig"}</definedName>
    <definedName name="RY" localSheetId="8" hidden="1">{"MG-2002-F1",#N/A,FALSE,"PPU-Telemig";"MG-2002-F2",#N/A,FALSE,"PPU-Telemig";"MG-2002-F3",#N/A,FALSE,"PPU-Telemig";"MG-2002-F4",#N/A,FALSE,"PPU-Telemig";"MG-2003-F1",#N/A,FALSE,"PPU-Telemig";"MG-2004-F1",#N/A,FALSE,"PPU-Telemig"}</definedName>
    <definedName name="RY" localSheetId="9" hidden="1">{"MG-2002-F1",#N/A,FALSE,"PPU-Telemig";"MG-2002-F2",#N/A,FALSE,"PPU-Telemig";"MG-2002-F3",#N/A,FALSE,"PPU-Telemig";"MG-2002-F4",#N/A,FALSE,"PPU-Telemig";"MG-2003-F1",#N/A,FALSE,"PPU-Telemig";"MG-2004-F1",#N/A,FALSE,"PPU-Telemig"}</definedName>
    <definedName name="RY" localSheetId="10" hidden="1">{"MG-2002-F1",#N/A,FALSE,"PPU-Telemig";"MG-2002-F2",#N/A,FALSE,"PPU-Telemig";"MG-2002-F3",#N/A,FALSE,"PPU-Telemig";"MG-2002-F4",#N/A,FALSE,"PPU-Telemig";"MG-2003-F1",#N/A,FALSE,"PPU-Telemig";"MG-2004-F1",#N/A,FALSE,"PPU-Telemig"}</definedName>
    <definedName name="RY" localSheetId="11" hidden="1">{"MG-2002-F1",#N/A,FALSE,"PPU-Telemig";"MG-2002-F2",#N/A,FALSE,"PPU-Telemig";"MG-2002-F3",#N/A,FALSE,"PPU-Telemig";"MG-2002-F4",#N/A,FALSE,"PPU-Telemig";"MG-2003-F1",#N/A,FALSE,"PPU-Telemig";"MG-2004-F1",#N/A,FALSE,"PPU-Telemig"}</definedName>
    <definedName name="RY" localSheetId="1" hidden="1">{"MG-2002-F1",#N/A,FALSE,"PPU-Telemig";"MG-2002-F2",#N/A,FALSE,"PPU-Telemig";"MG-2002-F3",#N/A,FALSE,"PPU-Telemig";"MG-2002-F4",#N/A,FALSE,"PPU-Telemig";"MG-2003-F1",#N/A,FALSE,"PPU-Telemig";"MG-2004-F1",#N/A,FALSE,"PPU-Telemig"}</definedName>
    <definedName name="RY" localSheetId="16" hidden="1">{"MG-2002-F1",#N/A,FALSE,"PPU-Telemig";"MG-2002-F2",#N/A,FALSE,"PPU-Telemig";"MG-2002-F3",#N/A,FALSE,"PPU-Telemig";"MG-2002-F4",#N/A,FALSE,"PPU-Telemig";"MG-2003-F1",#N/A,FALSE,"PPU-Telemig";"MG-2004-F1",#N/A,FALSE,"PPU-Telemig"}</definedName>
    <definedName name="RY" localSheetId="2" hidden="1">{"MG-2002-F1",#N/A,FALSE,"PPU-Telemig";"MG-2002-F2",#N/A,FALSE,"PPU-Telemig";"MG-2002-F3",#N/A,FALSE,"PPU-Telemig";"MG-2002-F4",#N/A,FALSE,"PPU-Telemig";"MG-2003-F1",#N/A,FALSE,"PPU-Telemig";"MG-2004-F1",#N/A,FALSE,"PPU-Telemig"}</definedName>
    <definedName name="RY" hidden="1">{"MG-2002-F1",#N/A,FALSE,"PPU-Telemig";"MG-2002-F2",#N/A,FALSE,"PPU-Telemig";"MG-2002-F3",#N/A,FALSE,"PPU-Telemig";"MG-2002-F4",#N/A,FALSE,"PPU-Telemig";"MG-2003-F1",#N/A,FALSE,"PPU-Telemig";"MG-2004-F1",#N/A,FALSE,"PPU-Telemig"}</definedName>
    <definedName name="S" localSheetId="16">[8]OCULTAR!$D$14:$D$17</definedName>
    <definedName name="S">OCULTAR!$D$14:$D$17</definedName>
    <definedName name="salariosref">'[20]Salarios de Referencia'!$B$7:$B$120</definedName>
    <definedName name="sdf" localSheetId="12"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localSheetId="13"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localSheetId="14"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localSheetId="15"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localSheetId="4"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localSheetId="5"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localSheetId="6"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localSheetId="7"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localSheetId="8"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localSheetId="9"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localSheetId="10"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localSheetId="11"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localSheetId="1"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localSheetId="16"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localSheetId="2"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GFH" localSheetId="16" hidden="1">[1]MEX95IB!#REF!</definedName>
    <definedName name="SDFGFH" localSheetId="2" hidden="1">[1]MEX95IB!#REF!</definedName>
    <definedName name="SDFGFH" hidden="1">[1]MEX95IB!#REF!</definedName>
    <definedName name="sencount" hidden="1">2</definedName>
    <definedName name="Servicio" localSheetId="16">[8]OCULTAR!$D$14:$E$17</definedName>
    <definedName name="Servicio">OCULTAR!$D$14:$E$17</definedName>
    <definedName name="sfgm" localSheetId="12" hidden="1">{#N/A,#N/A,TRUE,"Report"}</definedName>
    <definedName name="sfgm" localSheetId="13" hidden="1">{#N/A,#N/A,TRUE,"Report"}</definedName>
    <definedName name="sfgm" localSheetId="14" hidden="1">{#N/A,#N/A,TRUE,"Report"}</definedName>
    <definedName name="sfgm" localSheetId="15" hidden="1">{#N/A,#N/A,TRUE,"Report"}</definedName>
    <definedName name="sfgm" localSheetId="4" hidden="1">{#N/A,#N/A,TRUE,"Report"}</definedName>
    <definedName name="sfgm" localSheetId="5" hidden="1">{#N/A,#N/A,TRUE,"Report"}</definedName>
    <definedName name="sfgm" localSheetId="6" hidden="1">{#N/A,#N/A,TRUE,"Report"}</definedName>
    <definedName name="sfgm" localSheetId="7" hidden="1">{#N/A,#N/A,TRUE,"Report"}</definedName>
    <definedName name="sfgm" localSheetId="8" hidden="1">{#N/A,#N/A,TRUE,"Report"}</definedName>
    <definedName name="sfgm" localSheetId="9" hidden="1">{#N/A,#N/A,TRUE,"Report"}</definedName>
    <definedName name="sfgm" localSheetId="10" hidden="1">{#N/A,#N/A,TRUE,"Report"}</definedName>
    <definedName name="sfgm" localSheetId="11" hidden="1">{#N/A,#N/A,TRUE,"Report"}</definedName>
    <definedName name="sfgm" localSheetId="1" hidden="1">{#N/A,#N/A,TRUE,"Report"}</definedName>
    <definedName name="sfgm" localSheetId="16" hidden="1">{#N/A,#N/A,TRUE,"Report"}</definedName>
    <definedName name="sfgm" localSheetId="2" hidden="1">{#N/A,#N/A,TRUE,"Report"}</definedName>
    <definedName name="sfgm" hidden="1">{#N/A,#N/A,TRUE,"Report"}</definedName>
    <definedName name="su" localSheetId="12" hidden="1">{"MG-2002-F1",#N/A,FALSE,"PPU-Telemig";"MG-2002-F2",#N/A,FALSE,"PPU-Telemig";"MG-2002-F3",#N/A,FALSE,"PPU-Telemig";"MG-2002-F4",#N/A,FALSE,"PPU-Telemig";"MG-2003-F1",#N/A,FALSE,"PPU-Telemig";"MG-2004-F1",#N/A,FALSE,"PPU-Telemig"}</definedName>
    <definedName name="su" localSheetId="13" hidden="1">{"MG-2002-F1",#N/A,FALSE,"PPU-Telemig";"MG-2002-F2",#N/A,FALSE,"PPU-Telemig";"MG-2002-F3",#N/A,FALSE,"PPU-Telemig";"MG-2002-F4",#N/A,FALSE,"PPU-Telemig";"MG-2003-F1",#N/A,FALSE,"PPU-Telemig";"MG-2004-F1",#N/A,FALSE,"PPU-Telemig"}</definedName>
    <definedName name="su" localSheetId="14" hidden="1">{"MG-2002-F1",#N/A,FALSE,"PPU-Telemig";"MG-2002-F2",#N/A,FALSE,"PPU-Telemig";"MG-2002-F3",#N/A,FALSE,"PPU-Telemig";"MG-2002-F4",#N/A,FALSE,"PPU-Telemig";"MG-2003-F1",#N/A,FALSE,"PPU-Telemig";"MG-2004-F1",#N/A,FALSE,"PPU-Telemig"}</definedName>
    <definedName name="su" localSheetId="15" hidden="1">{"MG-2002-F1",#N/A,FALSE,"PPU-Telemig";"MG-2002-F2",#N/A,FALSE,"PPU-Telemig";"MG-2002-F3",#N/A,FALSE,"PPU-Telemig";"MG-2002-F4",#N/A,FALSE,"PPU-Telemig";"MG-2003-F1",#N/A,FALSE,"PPU-Telemig";"MG-2004-F1",#N/A,FALSE,"PPU-Telemig"}</definedName>
    <definedName name="su" localSheetId="4" hidden="1">{"MG-2002-F1",#N/A,FALSE,"PPU-Telemig";"MG-2002-F2",#N/A,FALSE,"PPU-Telemig";"MG-2002-F3",#N/A,FALSE,"PPU-Telemig";"MG-2002-F4",#N/A,FALSE,"PPU-Telemig";"MG-2003-F1",#N/A,FALSE,"PPU-Telemig";"MG-2004-F1",#N/A,FALSE,"PPU-Telemig"}</definedName>
    <definedName name="su" localSheetId="5" hidden="1">{"MG-2002-F1",#N/A,FALSE,"PPU-Telemig";"MG-2002-F2",#N/A,FALSE,"PPU-Telemig";"MG-2002-F3",#N/A,FALSE,"PPU-Telemig";"MG-2002-F4",#N/A,FALSE,"PPU-Telemig";"MG-2003-F1",#N/A,FALSE,"PPU-Telemig";"MG-2004-F1",#N/A,FALSE,"PPU-Telemig"}</definedName>
    <definedName name="su" localSheetId="6" hidden="1">{"MG-2002-F1",#N/A,FALSE,"PPU-Telemig";"MG-2002-F2",#N/A,FALSE,"PPU-Telemig";"MG-2002-F3",#N/A,FALSE,"PPU-Telemig";"MG-2002-F4",#N/A,FALSE,"PPU-Telemig";"MG-2003-F1",#N/A,FALSE,"PPU-Telemig";"MG-2004-F1",#N/A,FALSE,"PPU-Telemig"}</definedName>
    <definedName name="su" localSheetId="7" hidden="1">{"MG-2002-F1",#N/A,FALSE,"PPU-Telemig";"MG-2002-F2",#N/A,FALSE,"PPU-Telemig";"MG-2002-F3",#N/A,FALSE,"PPU-Telemig";"MG-2002-F4",#N/A,FALSE,"PPU-Telemig";"MG-2003-F1",#N/A,FALSE,"PPU-Telemig";"MG-2004-F1",#N/A,FALSE,"PPU-Telemig"}</definedName>
    <definedName name="su" localSheetId="8" hidden="1">{"MG-2002-F1",#N/A,FALSE,"PPU-Telemig";"MG-2002-F2",#N/A,FALSE,"PPU-Telemig";"MG-2002-F3",#N/A,FALSE,"PPU-Telemig";"MG-2002-F4",#N/A,FALSE,"PPU-Telemig";"MG-2003-F1",#N/A,FALSE,"PPU-Telemig";"MG-2004-F1",#N/A,FALSE,"PPU-Telemig"}</definedName>
    <definedName name="su" localSheetId="9" hidden="1">{"MG-2002-F1",#N/A,FALSE,"PPU-Telemig";"MG-2002-F2",#N/A,FALSE,"PPU-Telemig";"MG-2002-F3",#N/A,FALSE,"PPU-Telemig";"MG-2002-F4",#N/A,FALSE,"PPU-Telemig";"MG-2003-F1",#N/A,FALSE,"PPU-Telemig";"MG-2004-F1",#N/A,FALSE,"PPU-Telemig"}</definedName>
    <definedName name="su" localSheetId="10" hidden="1">{"MG-2002-F1",#N/A,FALSE,"PPU-Telemig";"MG-2002-F2",#N/A,FALSE,"PPU-Telemig";"MG-2002-F3",#N/A,FALSE,"PPU-Telemig";"MG-2002-F4",#N/A,FALSE,"PPU-Telemig";"MG-2003-F1",#N/A,FALSE,"PPU-Telemig";"MG-2004-F1",#N/A,FALSE,"PPU-Telemig"}</definedName>
    <definedName name="su" localSheetId="11" hidden="1">{"MG-2002-F1",#N/A,FALSE,"PPU-Telemig";"MG-2002-F2",#N/A,FALSE,"PPU-Telemig";"MG-2002-F3",#N/A,FALSE,"PPU-Telemig";"MG-2002-F4",#N/A,FALSE,"PPU-Telemig";"MG-2003-F1",#N/A,FALSE,"PPU-Telemig";"MG-2004-F1",#N/A,FALSE,"PPU-Telemig"}</definedName>
    <definedName name="su" localSheetId="1" hidden="1">{"MG-2002-F1",#N/A,FALSE,"PPU-Telemig";"MG-2002-F2",#N/A,FALSE,"PPU-Telemig";"MG-2002-F3",#N/A,FALSE,"PPU-Telemig";"MG-2002-F4",#N/A,FALSE,"PPU-Telemig";"MG-2003-F1",#N/A,FALSE,"PPU-Telemig";"MG-2004-F1",#N/A,FALSE,"PPU-Telemig"}</definedName>
    <definedName name="su" localSheetId="16" hidden="1">{"MG-2002-F1",#N/A,FALSE,"PPU-Telemig";"MG-2002-F2",#N/A,FALSE,"PPU-Telemig";"MG-2002-F3",#N/A,FALSE,"PPU-Telemig";"MG-2002-F4",#N/A,FALSE,"PPU-Telemig";"MG-2003-F1",#N/A,FALSE,"PPU-Telemig";"MG-2004-F1",#N/A,FALSE,"PPU-Telemig"}</definedName>
    <definedName name="su" localSheetId="2" hidden="1">{"MG-2002-F1",#N/A,FALSE,"PPU-Telemig";"MG-2002-F2",#N/A,FALSE,"PPU-Telemig";"MG-2002-F3",#N/A,FALSE,"PPU-Telemig";"MG-2002-F4",#N/A,FALSE,"PPU-Telemig";"MG-2003-F1",#N/A,FALSE,"PPU-Telemig";"MG-2004-F1",#N/A,FALSE,"PPU-Telemig"}</definedName>
    <definedName name="su" hidden="1">{"MG-2002-F1",#N/A,FALSE,"PPU-Telemig";"MG-2002-F2",#N/A,FALSE,"PPU-Telemig";"MG-2002-F3",#N/A,FALSE,"PPU-Telemig";"MG-2002-F4",#N/A,FALSE,"PPU-Telemig";"MG-2003-F1",#N/A,FALSE,"PPU-Telemig";"MG-2004-F1",#N/A,FALSE,"PPU-Telemig"}</definedName>
    <definedName name="sugiura" localSheetId="12" hidden="1">{"'内訳表'!$B$2:$N$64"}</definedName>
    <definedName name="sugiura" localSheetId="13" hidden="1">{"'内訳表'!$B$2:$N$64"}</definedName>
    <definedName name="sugiura" localSheetId="14" hidden="1">{"'内訳表'!$B$2:$N$64"}</definedName>
    <definedName name="sugiura" localSheetId="15" hidden="1">{"'内訳表'!$B$2:$N$64"}</definedName>
    <definedName name="sugiura" localSheetId="4" hidden="1">{"'内訳表'!$B$2:$N$64"}</definedName>
    <definedName name="sugiura" localSheetId="5" hidden="1">{"'内訳表'!$B$2:$N$64"}</definedName>
    <definedName name="sugiura" localSheetId="6" hidden="1">{"'内訳表'!$B$2:$N$64"}</definedName>
    <definedName name="sugiura" localSheetId="7" hidden="1">{"'内訳表'!$B$2:$N$64"}</definedName>
    <definedName name="sugiura" localSheetId="8" hidden="1">{"'内訳表'!$B$2:$N$64"}</definedName>
    <definedName name="sugiura" localSheetId="9" hidden="1">{"'内訳表'!$B$2:$N$64"}</definedName>
    <definedName name="sugiura" localSheetId="10" hidden="1">{"'内訳表'!$B$2:$N$64"}</definedName>
    <definedName name="sugiura" localSheetId="11" hidden="1">{"'内訳表'!$B$2:$N$64"}</definedName>
    <definedName name="sugiura" localSheetId="1" hidden="1">{"'内訳表'!$B$2:$N$64"}</definedName>
    <definedName name="sugiura" localSheetId="16" hidden="1">{"'内訳表'!$B$2:$N$64"}</definedName>
    <definedName name="sugiura" localSheetId="2" hidden="1">{"'内訳表'!$B$2:$N$64"}</definedName>
    <definedName name="sugiura" hidden="1">{"'内訳表'!$B$2:$N$64"}</definedName>
    <definedName name="Tamaño" localSheetId="16">[8]OCULTAR!$A$14:$A$17</definedName>
    <definedName name="Tamaño">OCULTAR!$A$14:$A$17</definedName>
    <definedName name="Tecnico">[7]PERSONAL!$P$34</definedName>
    <definedName name="tipo" localSheetId="3">[6]lista!$A$11:$A$13</definedName>
    <definedName name="tipo" localSheetId="12">[6]lista!$A$11:$A$13</definedName>
    <definedName name="tipo" localSheetId="13">[6]lista!$A$11:$A$13</definedName>
    <definedName name="tipo" localSheetId="14">[6]lista!$A$11:$A$13</definedName>
    <definedName name="tipo" localSheetId="15">[6]lista!$A$11:$A$13</definedName>
    <definedName name="tipo" localSheetId="4">[6]lista!$A$11:$A$13</definedName>
    <definedName name="tipo" localSheetId="5">[6]lista!$A$11:$A$13</definedName>
    <definedName name="tipo" localSheetId="6">[6]lista!$A$11:$A$13</definedName>
    <definedName name="tipo" localSheetId="7">[6]lista!$A$11:$A$13</definedName>
    <definedName name="tipo" localSheetId="8">[6]lista!$A$11:$A$13</definedName>
    <definedName name="tipo" localSheetId="9">[6]lista!$A$11:$A$13</definedName>
    <definedName name="tipo" localSheetId="10">[6]lista!$A$11:$A$13</definedName>
    <definedName name="tipo" localSheetId="11">[6]lista!$A$11:$A$13</definedName>
    <definedName name="tipo" localSheetId="1">[6]lista!$A$11:$A$13</definedName>
    <definedName name="tipo" localSheetId="16">[6]lista!$A$11:$A$13</definedName>
    <definedName name="tipo" localSheetId="2">[6]lista!$A$11:$A$13</definedName>
    <definedName name="tipo">[6]lista!$A$11:$A$13</definedName>
    <definedName name="tipodeanalisis">'[5]Analisis microbiologico'!$A$110:$A$182</definedName>
    <definedName name="_xlnm.Print_Titles" localSheetId="3">'1 Nápoles'!#REF!</definedName>
    <definedName name="_xlnm.Print_Titles" localSheetId="12">'10 Seracis'!#REF!</definedName>
    <definedName name="_xlnm.Print_Titles" localSheetId="13">'11 Acosta'!#REF!</definedName>
    <definedName name="_xlnm.Print_Titles" localSheetId="14">'12 Vipcol 2 turnos'!#REF!</definedName>
    <definedName name="_xlnm.Print_Titles" localSheetId="15">'12 VipcolMedios'!#REF!</definedName>
    <definedName name="_xlnm.Print_Titles" localSheetId="4">'2 Visan'!#REF!</definedName>
    <definedName name="_xlnm.Print_Titles" localSheetId="5">'3 Libertadora'!#REF!</definedName>
    <definedName name="_xlnm.Print_Titles" localSheetId="6">'4 Del sur'!#REF!</definedName>
    <definedName name="_xlnm.Print_Titles" localSheetId="7">'5 Squadra'!#REF!</definedName>
    <definedName name="_xlnm.Print_Titles" localSheetId="8">'6 Nueva Era'!#REF!</definedName>
    <definedName name="_xlnm.Print_Titles" localSheetId="9">'7 Pegaso'!#REF!</definedName>
    <definedName name="_xlnm.Print_Titles" localSheetId="10">'8 Buho'!#REF!</definedName>
    <definedName name="_xlnm.Print_Titles" localSheetId="11">'9 Azimut'!#REF!</definedName>
    <definedName name="_xlnm.Print_Titles" localSheetId="1">CDC!#REF!</definedName>
    <definedName name="_xlnm.Print_Titles" localSheetId="16">ENCUESTA!$2:$5</definedName>
    <definedName name="_xlnm.Print_Titles" localSheetId="2">'RESUMEN CIRCULAR_DEC_RESOLUCION'!#REF!</definedName>
    <definedName name="TotalImpuestosObra">[7]IMPUESTOS!$F$10</definedName>
    <definedName name="Tramite">[7]PERSONAL!$P$88</definedName>
    <definedName name="tta" localSheetId="12" hidden="1">{"MG-2002-F1",#N/A,FALSE,"PPU-Telemig";"MG-2002-F2",#N/A,FALSE,"PPU-Telemig";"MG-2002-F3",#N/A,FALSE,"PPU-Telemig";"MG-2002-F4",#N/A,FALSE,"PPU-Telemig";"MG-2003-F1",#N/A,FALSE,"PPU-Telemig";"MG-2004-F1",#N/A,FALSE,"PPU-Telemig"}</definedName>
    <definedName name="tta" localSheetId="13" hidden="1">{"MG-2002-F1",#N/A,FALSE,"PPU-Telemig";"MG-2002-F2",#N/A,FALSE,"PPU-Telemig";"MG-2002-F3",#N/A,FALSE,"PPU-Telemig";"MG-2002-F4",#N/A,FALSE,"PPU-Telemig";"MG-2003-F1",#N/A,FALSE,"PPU-Telemig";"MG-2004-F1",#N/A,FALSE,"PPU-Telemig"}</definedName>
    <definedName name="tta" localSheetId="14" hidden="1">{"MG-2002-F1",#N/A,FALSE,"PPU-Telemig";"MG-2002-F2",#N/A,FALSE,"PPU-Telemig";"MG-2002-F3",#N/A,FALSE,"PPU-Telemig";"MG-2002-F4",#N/A,FALSE,"PPU-Telemig";"MG-2003-F1",#N/A,FALSE,"PPU-Telemig";"MG-2004-F1",#N/A,FALSE,"PPU-Telemig"}</definedName>
    <definedName name="tta" localSheetId="15" hidden="1">{"MG-2002-F1",#N/A,FALSE,"PPU-Telemig";"MG-2002-F2",#N/A,FALSE,"PPU-Telemig";"MG-2002-F3",#N/A,FALSE,"PPU-Telemig";"MG-2002-F4",#N/A,FALSE,"PPU-Telemig";"MG-2003-F1",#N/A,FALSE,"PPU-Telemig";"MG-2004-F1",#N/A,FALSE,"PPU-Telemig"}</definedName>
    <definedName name="tta" localSheetId="4" hidden="1">{"MG-2002-F1",#N/A,FALSE,"PPU-Telemig";"MG-2002-F2",#N/A,FALSE,"PPU-Telemig";"MG-2002-F3",#N/A,FALSE,"PPU-Telemig";"MG-2002-F4",#N/A,FALSE,"PPU-Telemig";"MG-2003-F1",#N/A,FALSE,"PPU-Telemig";"MG-2004-F1",#N/A,FALSE,"PPU-Telemig"}</definedName>
    <definedName name="tta" localSheetId="5" hidden="1">{"MG-2002-F1",#N/A,FALSE,"PPU-Telemig";"MG-2002-F2",#N/A,FALSE,"PPU-Telemig";"MG-2002-F3",#N/A,FALSE,"PPU-Telemig";"MG-2002-F4",#N/A,FALSE,"PPU-Telemig";"MG-2003-F1",#N/A,FALSE,"PPU-Telemig";"MG-2004-F1",#N/A,FALSE,"PPU-Telemig"}</definedName>
    <definedName name="tta" localSheetId="6" hidden="1">{"MG-2002-F1",#N/A,FALSE,"PPU-Telemig";"MG-2002-F2",#N/A,FALSE,"PPU-Telemig";"MG-2002-F3",#N/A,FALSE,"PPU-Telemig";"MG-2002-F4",#N/A,FALSE,"PPU-Telemig";"MG-2003-F1",#N/A,FALSE,"PPU-Telemig";"MG-2004-F1",#N/A,FALSE,"PPU-Telemig"}</definedName>
    <definedName name="tta" localSheetId="7" hidden="1">{"MG-2002-F1",#N/A,FALSE,"PPU-Telemig";"MG-2002-F2",#N/A,FALSE,"PPU-Telemig";"MG-2002-F3",#N/A,FALSE,"PPU-Telemig";"MG-2002-F4",#N/A,FALSE,"PPU-Telemig";"MG-2003-F1",#N/A,FALSE,"PPU-Telemig";"MG-2004-F1",#N/A,FALSE,"PPU-Telemig"}</definedName>
    <definedName name="tta" localSheetId="8" hidden="1">{"MG-2002-F1",#N/A,FALSE,"PPU-Telemig";"MG-2002-F2",#N/A,FALSE,"PPU-Telemig";"MG-2002-F3",#N/A,FALSE,"PPU-Telemig";"MG-2002-F4",#N/A,FALSE,"PPU-Telemig";"MG-2003-F1",#N/A,FALSE,"PPU-Telemig";"MG-2004-F1",#N/A,FALSE,"PPU-Telemig"}</definedName>
    <definedName name="tta" localSheetId="9" hidden="1">{"MG-2002-F1",#N/A,FALSE,"PPU-Telemig";"MG-2002-F2",#N/A,FALSE,"PPU-Telemig";"MG-2002-F3",#N/A,FALSE,"PPU-Telemig";"MG-2002-F4",#N/A,FALSE,"PPU-Telemig";"MG-2003-F1",#N/A,FALSE,"PPU-Telemig";"MG-2004-F1",#N/A,FALSE,"PPU-Telemig"}</definedName>
    <definedName name="tta" localSheetId="10" hidden="1">{"MG-2002-F1",#N/A,FALSE,"PPU-Telemig";"MG-2002-F2",#N/A,FALSE,"PPU-Telemig";"MG-2002-F3",#N/A,FALSE,"PPU-Telemig";"MG-2002-F4",#N/A,FALSE,"PPU-Telemig";"MG-2003-F1",#N/A,FALSE,"PPU-Telemig";"MG-2004-F1",#N/A,FALSE,"PPU-Telemig"}</definedName>
    <definedName name="tta" localSheetId="11" hidden="1">{"MG-2002-F1",#N/A,FALSE,"PPU-Telemig";"MG-2002-F2",#N/A,FALSE,"PPU-Telemig";"MG-2002-F3",#N/A,FALSE,"PPU-Telemig";"MG-2002-F4",#N/A,FALSE,"PPU-Telemig";"MG-2003-F1",#N/A,FALSE,"PPU-Telemig";"MG-2004-F1",#N/A,FALSE,"PPU-Telemig"}</definedName>
    <definedName name="tta" localSheetId="1" hidden="1">{"MG-2002-F1",#N/A,FALSE,"PPU-Telemig";"MG-2002-F2",#N/A,FALSE,"PPU-Telemig";"MG-2002-F3",#N/A,FALSE,"PPU-Telemig";"MG-2002-F4",#N/A,FALSE,"PPU-Telemig";"MG-2003-F1",#N/A,FALSE,"PPU-Telemig";"MG-2004-F1",#N/A,FALSE,"PPU-Telemig"}</definedName>
    <definedName name="tta" localSheetId="16" hidden="1">{"MG-2002-F1",#N/A,FALSE,"PPU-Telemig";"MG-2002-F2",#N/A,FALSE,"PPU-Telemig";"MG-2002-F3",#N/A,FALSE,"PPU-Telemig";"MG-2002-F4",#N/A,FALSE,"PPU-Telemig";"MG-2003-F1",#N/A,FALSE,"PPU-Telemig";"MG-2004-F1",#N/A,FALSE,"PPU-Telemig"}</definedName>
    <definedName name="tta" localSheetId="2" hidden="1">{"MG-2002-F1",#N/A,FALSE,"PPU-Telemig";"MG-2002-F2",#N/A,FALSE,"PPU-Telemig";"MG-2002-F3",#N/A,FALSE,"PPU-Telemig";"MG-2002-F4",#N/A,FALSE,"PPU-Telemig";"MG-2003-F1",#N/A,FALSE,"PPU-Telemig";"MG-2004-F1",#N/A,FALSE,"PPU-Telemig"}</definedName>
    <definedName name="tta" hidden="1">{"MG-2002-F1",#N/A,FALSE,"PPU-Telemig";"MG-2002-F2",#N/A,FALSE,"PPU-Telemig";"MG-2002-F3",#N/A,FALSE,"PPU-Telemig";"MG-2002-F4",#N/A,FALSE,"PPU-Telemig";"MG-2003-F1",#N/A,FALSE,"PPU-Telemig";"MG-2004-F1",#N/A,FALSE,"PPU-Telemig"}</definedName>
    <definedName name="USD" localSheetId="10">'[2]DATOS ENTRADA'!$E$1</definedName>
    <definedName name="USD" localSheetId="16">'[3]DATOS ENTRADA'!$E$1</definedName>
    <definedName name="USD">'[4]DATOS ENTRADA'!$E$1</definedName>
    <definedName name="v" localSheetId="12" hidden="1">#REF!</definedName>
    <definedName name="v" localSheetId="13" hidden="1">#REF!</definedName>
    <definedName name="v" localSheetId="14" hidden="1">#REF!</definedName>
    <definedName name="v" localSheetId="15" hidden="1">#REF!</definedName>
    <definedName name="v" localSheetId="4" hidden="1">#REF!</definedName>
    <definedName name="v" localSheetId="5" hidden="1">#REF!</definedName>
    <definedName name="v" localSheetId="6" hidden="1">#REF!</definedName>
    <definedName name="v" localSheetId="7" hidden="1">#REF!</definedName>
    <definedName name="v" localSheetId="8" hidden="1">#REF!</definedName>
    <definedName name="v" localSheetId="9" hidden="1">#REF!</definedName>
    <definedName name="v" localSheetId="10" hidden="1">#REF!</definedName>
    <definedName name="v" localSheetId="11" hidden="1">#REF!</definedName>
    <definedName name="v" localSheetId="16" hidden="1">#REF!</definedName>
    <definedName name="v" localSheetId="2" hidden="1">#REF!</definedName>
    <definedName name="v" hidden="1">#REF!</definedName>
    <definedName name="venc" localSheetId="10">'[2]Cash Flow (COP)'!$D$10</definedName>
    <definedName name="venc" localSheetId="16">'[3]Cash Flow (COP)'!$D$10</definedName>
    <definedName name="venc">'[4]Cash Flow (COP)'!$D$10</definedName>
    <definedName name="Viajes">[7]PERSONAL!$P$93</definedName>
    <definedName name="whrt" localSheetId="12" hidden="1">{"'内訳表'!$B$2:$N$64"}</definedName>
    <definedName name="whrt" localSheetId="13" hidden="1">{"'内訳表'!$B$2:$N$64"}</definedName>
    <definedName name="whrt" localSheetId="14" hidden="1">{"'内訳表'!$B$2:$N$64"}</definedName>
    <definedName name="whrt" localSheetId="15" hidden="1">{"'内訳表'!$B$2:$N$64"}</definedName>
    <definedName name="whrt" localSheetId="4" hidden="1">{"'内訳表'!$B$2:$N$64"}</definedName>
    <definedName name="whrt" localSheetId="5" hidden="1">{"'内訳表'!$B$2:$N$64"}</definedName>
    <definedName name="whrt" localSheetId="6" hidden="1">{"'内訳表'!$B$2:$N$64"}</definedName>
    <definedName name="whrt" localSheetId="7" hidden="1">{"'内訳表'!$B$2:$N$64"}</definedName>
    <definedName name="whrt" localSheetId="8" hidden="1">{"'内訳表'!$B$2:$N$64"}</definedName>
    <definedName name="whrt" localSheetId="9" hidden="1">{"'内訳表'!$B$2:$N$64"}</definedName>
    <definedName name="whrt" localSheetId="10" hidden="1">{"'内訳表'!$B$2:$N$64"}</definedName>
    <definedName name="whrt" localSheetId="11" hidden="1">{"'内訳表'!$B$2:$N$64"}</definedName>
    <definedName name="whrt" localSheetId="1" hidden="1">{"'内訳表'!$B$2:$N$64"}</definedName>
    <definedName name="whrt" localSheetId="16" hidden="1">{"'内訳表'!$B$2:$N$64"}</definedName>
    <definedName name="whrt" localSheetId="2" hidden="1">{"'内訳表'!$B$2:$N$64"}</definedName>
    <definedName name="whrt" hidden="1">{"'内訳表'!$B$2:$N$64"}</definedName>
    <definedName name="wrn.100." localSheetId="12"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localSheetId="13"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localSheetId="14"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localSheetId="15"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localSheetId="4"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localSheetId="5"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localSheetId="6"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localSheetId="7"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localSheetId="8"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localSheetId="9"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localSheetId="10"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localSheetId="11"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localSheetId="1"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localSheetId="16"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localSheetId="2"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1." localSheetId="12"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localSheetId="13"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localSheetId="14"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localSheetId="15"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localSheetId="4"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localSheetId="5"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localSheetId="6"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localSheetId="7"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localSheetId="8"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localSheetId="9"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localSheetId="10"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localSheetId="11"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localSheetId="1"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localSheetId="16"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localSheetId="2"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2." localSheetId="12"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localSheetId="13"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localSheetId="14"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localSheetId="15"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localSheetId="4"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localSheetId="5"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localSheetId="6"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localSheetId="7"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localSheetId="8"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localSheetId="9"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localSheetId="10"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localSheetId="11"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localSheetId="1"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localSheetId="16"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localSheetId="2"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3." localSheetId="12"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localSheetId="13"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localSheetId="14"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localSheetId="15"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localSheetId="4"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localSheetId="5"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localSheetId="6"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localSheetId="7"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localSheetId="8"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localSheetId="9"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localSheetId="10"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localSheetId="11"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localSheetId="1"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localSheetId="16"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localSheetId="2"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12"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13"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14"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15"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4"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5"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6"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7"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8"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9"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10"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11"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1"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16"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2"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55." localSheetId="12" hidden="1">{#N/A,#N/A,FALSE,"KEGELLE 1 (2)";#N/A,#N/A,FALSE,"KEGELLE 2 (2)";#N/A,#N/A,FALSE,"KEGELLE 3 (2)";#N/A,#N/A,FALSE,"KEGELLE 4 (2)";#N/A,#N/A,FALSE,"KEGELLE 5 (2)";#N/A,#N/A,FALSE,"KEGELLE 6 (2)";#N/A,#N/A,FALSE,"KEGELLE 7 (2)"}</definedName>
    <definedName name="wrn.55." localSheetId="13" hidden="1">{#N/A,#N/A,FALSE,"KEGELLE 1 (2)";#N/A,#N/A,FALSE,"KEGELLE 2 (2)";#N/A,#N/A,FALSE,"KEGELLE 3 (2)";#N/A,#N/A,FALSE,"KEGELLE 4 (2)";#N/A,#N/A,FALSE,"KEGELLE 5 (2)";#N/A,#N/A,FALSE,"KEGELLE 6 (2)";#N/A,#N/A,FALSE,"KEGELLE 7 (2)"}</definedName>
    <definedName name="wrn.55." localSheetId="14" hidden="1">{#N/A,#N/A,FALSE,"KEGELLE 1 (2)";#N/A,#N/A,FALSE,"KEGELLE 2 (2)";#N/A,#N/A,FALSE,"KEGELLE 3 (2)";#N/A,#N/A,FALSE,"KEGELLE 4 (2)";#N/A,#N/A,FALSE,"KEGELLE 5 (2)";#N/A,#N/A,FALSE,"KEGELLE 6 (2)";#N/A,#N/A,FALSE,"KEGELLE 7 (2)"}</definedName>
    <definedName name="wrn.55." localSheetId="15" hidden="1">{#N/A,#N/A,FALSE,"KEGELLE 1 (2)";#N/A,#N/A,FALSE,"KEGELLE 2 (2)";#N/A,#N/A,FALSE,"KEGELLE 3 (2)";#N/A,#N/A,FALSE,"KEGELLE 4 (2)";#N/A,#N/A,FALSE,"KEGELLE 5 (2)";#N/A,#N/A,FALSE,"KEGELLE 6 (2)";#N/A,#N/A,FALSE,"KEGELLE 7 (2)"}</definedName>
    <definedName name="wrn.55." localSheetId="4" hidden="1">{#N/A,#N/A,FALSE,"KEGELLE 1 (2)";#N/A,#N/A,FALSE,"KEGELLE 2 (2)";#N/A,#N/A,FALSE,"KEGELLE 3 (2)";#N/A,#N/A,FALSE,"KEGELLE 4 (2)";#N/A,#N/A,FALSE,"KEGELLE 5 (2)";#N/A,#N/A,FALSE,"KEGELLE 6 (2)";#N/A,#N/A,FALSE,"KEGELLE 7 (2)"}</definedName>
    <definedName name="wrn.55." localSheetId="5" hidden="1">{#N/A,#N/A,FALSE,"KEGELLE 1 (2)";#N/A,#N/A,FALSE,"KEGELLE 2 (2)";#N/A,#N/A,FALSE,"KEGELLE 3 (2)";#N/A,#N/A,FALSE,"KEGELLE 4 (2)";#N/A,#N/A,FALSE,"KEGELLE 5 (2)";#N/A,#N/A,FALSE,"KEGELLE 6 (2)";#N/A,#N/A,FALSE,"KEGELLE 7 (2)"}</definedName>
    <definedName name="wrn.55." localSheetId="6" hidden="1">{#N/A,#N/A,FALSE,"KEGELLE 1 (2)";#N/A,#N/A,FALSE,"KEGELLE 2 (2)";#N/A,#N/A,FALSE,"KEGELLE 3 (2)";#N/A,#N/A,FALSE,"KEGELLE 4 (2)";#N/A,#N/A,FALSE,"KEGELLE 5 (2)";#N/A,#N/A,FALSE,"KEGELLE 6 (2)";#N/A,#N/A,FALSE,"KEGELLE 7 (2)"}</definedName>
    <definedName name="wrn.55." localSheetId="7" hidden="1">{#N/A,#N/A,FALSE,"KEGELLE 1 (2)";#N/A,#N/A,FALSE,"KEGELLE 2 (2)";#N/A,#N/A,FALSE,"KEGELLE 3 (2)";#N/A,#N/A,FALSE,"KEGELLE 4 (2)";#N/A,#N/A,FALSE,"KEGELLE 5 (2)";#N/A,#N/A,FALSE,"KEGELLE 6 (2)";#N/A,#N/A,FALSE,"KEGELLE 7 (2)"}</definedName>
    <definedName name="wrn.55." localSheetId="8" hidden="1">{#N/A,#N/A,FALSE,"KEGELLE 1 (2)";#N/A,#N/A,FALSE,"KEGELLE 2 (2)";#N/A,#N/A,FALSE,"KEGELLE 3 (2)";#N/A,#N/A,FALSE,"KEGELLE 4 (2)";#N/A,#N/A,FALSE,"KEGELLE 5 (2)";#N/A,#N/A,FALSE,"KEGELLE 6 (2)";#N/A,#N/A,FALSE,"KEGELLE 7 (2)"}</definedName>
    <definedName name="wrn.55." localSheetId="9" hidden="1">{#N/A,#N/A,FALSE,"KEGELLE 1 (2)";#N/A,#N/A,FALSE,"KEGELLE 2 (2)";#N/A,#N/A,FALSE,"KEGELLE 3 (2)";#N/A,#N/A,FALSE,"KEGELLE 4 (2)";#N/A,#N/A,FALSE,"KEGELLE 5 (2)";#N/A,#N/A,FALSE,"KEGELLE 6 (2)";#N/A,#N/A,FALSE,"KEGELLE 7 (2)"}</definedName>
    <definedName name="wrn.55." localSheetId="10" hidden="1">{#N/A,#N/A,FALSE,"KEGELLE 1 (2)";#N/A,#N/A,FALSE,"KEGELLE 2 (2)";#N/A,#N/A,FALSE,"KEGELLE 3 (2)";#N/A,#N/A,FALSE,"KEGELLE 4 (2)";#N/A,#N/A,FALSE,"KEGELLE 5 (2)";#N/A,#N/A,FALSE,"KEGELLE 6 (2)";#N/A,#N/A,FALSE,"KEGELLE 7 (2)"}</definedName>
    <definedName name="wrn.55." localSheetId="11" hidden="1">{#N/A,#N/A,FALSE,"KEGELLE 1 (2)";#N/A,#N/A,FALSE,"KEGELLE 2 (2)";#N/A,#N/A,FALSE,"KEGELLE 3 (2)";#N/A,#N/A,FALSE,"KEGELLE 4 (2)";#N/A,#N/A,FALSE,"KEGELLE 5 (2)";#N/A,#N/A,FALSE,"KEGELLE 6 (2)";#N/A,#N/A,FALSE,"KEGELLE 7 (2)"}</definedName>
    <definedName name="wrn.55." localSheetId="1" hidden="1">{#N/A,#N/A,FALSE,"KEGELLE 1 (2)";#N/A,#N/A,FALSE,"KEGELLE 2 (2)";#N/A,#N/A,FALSE,"KEGELLE 3 (2)";#N/A,#N/A,FALSE,"KEGELLE 4 (2)";#N/A,#N/A,FALSE,"KEGELLE 5 (2)";#N/A,#N/A,FALSE,"KEGELLE 6 (2)";#N/A,#N/A,FALSE,"KEGELLE 7 (2)"}</definedName>
    <definedName name="wrn.55." localSheetId="16" hidden="1">{#N/A,#N/A,FALSE,"KEGELLE 1 (2)";#N/A,#N/A,FALSE,"KEGELLE 2 (2)";#N/A,#N/A,FALSE,"KEGELLE 3 (2)";#N/A,#N/A,FALSE,"KEGELLE 4 (2)";#N/A,#N/A,FALSE,"KEGELLE 5 (2)";#N/A,#N/A,FALSE,"KEGELLE 6 (2)";#N/A,#N/A,FALSE,"KEGELLE 7 (2)"}</definedName>
    <definedName name="wrn.55." localSheetId="2" hidden="1">{#N/A,#N/A,FALSE,"KEGELLE 1 (2)";#N/A,#N/A,FALSE,"KEGELLE 2 (2)";#N/A,#N/A,FALSE,"KEGELLE 3 (2)";#N/A,#N/A,FALSE,"KEGELLE 4 (2)";#N/A,#N/A,FALSE,"KEGELLE 5 (2)";#N/A,#N/A,FALSE,"KEGELLE 6 (2)";#N/A,#N/A,FALSE,"KEGELLE 7 (2)"}</definedName>
    <definedName name="wrn.55." hidden="1">{#N/A,#N/A,FALSE,"KEGELLE 1 (2)";#N/A,#N/A,FALSE,"KEGELLE 2 (2)";#N/A,#N/A,FALSE,"KEGELLE 3 (2)";#N/A,#N/A,FALSE,"KEGELLE 4 (2)";#N/A,#N/A,FALSE,"KEGELLE 5 (2)";#N/A,#N/A,FALSE,"KEGELLE 6 (2)";#N/A,#N/A,FALSE,"KEGELLE 7 (2)"}</definedName>
    <definedName name="wrn.66." localSheetId="12" hidden="1">{#N/A,#N/A,FALSE,"KEGELLE 1 (3)";#N/A,#N/A,FALSE,"KEGELLE 2 (3)";#N/A,#N/A,FALSE,"KEGELLE 3 (3)";#N/A,#N/A,FALSE,"KEGELLE 4 (3)";#N/A,#N/A,FALSE,"KEGELLE 5 (3)";#N/A,#N/A,FALSE,"KEGELLE 6 (3)";#N/A,#N/A,FALSE,"KEGELLE 7 (3)"}</definedName>
    <definedName name="wrn.66." localSheetId="13" hidden="1">{#N/A,#N/A,FALSE,"KEGELLE 1 (3)";#N/A,#N/A,FALSE,"KEGELLE 2 (3)";#N/A,#N/A,FALSE,"KEGELLE 3 (3)";#N/A,#N/A,FALSE,"KEGELLE 4 (3)";#N/A,#N/A,FALSE,"KEGELLE 5 (3)";#N/A,#N/A,FALSE,"KEGELLE 6 (3)";#N/A,#N/A,FALSE,"KEGELLE 7 (3)"}</definedName>
    <definedName name="wrn.66." localSheetId="14" hidden="1">{#N/A,#N/A,FALSE,"KEGELLE 1 (3)";#N/A,#N/A,FALSE,"KEGELLE 2 (3)";#N/A,#N/A,FALSE,"KEGELLE 3 (3)";#N/A,#N/A,FALSE,"KEGELLE 4 (3)";#N/A,#N/A,FALSE,"KEGELLE 5 (3)";#N/A,#N/A,FALSE,"KEGELLE 6 (3)";#N/A,#N/A,FALSE,"KEGELLE 7 (3)"}</definedName>
    <definedName name="wrn.66." localSheetId="15" hidden="1">{#N/A,#N/A,FALSE,"KEGELLE 1 (3)";#N/A,#N/A,FALSE,"KEGELLE 2 (3)";#N/A,#N/A,FALSE,"KEGELLE 3 (3)";#N/A,#N/A,FALSE,"KEGELLE 4 (3)";#N/A,#N/A,FALSE,"KEGELLE 5 (3)";#N/A,#N/A,FALSE,"KEGELLE 6 (3)";#N/A,#N/A,FALSE,"KEGELLE 7 (3)"}</definedName>
    <definedName name="wrn.66." localSheetId="4" hidden="1">{#N/A,#N/A,FALSE,"KEGELLE 1 (3)";#N/A,#N/A,FALSE,"KEGELLE 2 (3)";#N/A,#N/A,FALSE,"KEGELLE 3 (3)";#N/A,#N/A,FALSE,"KEGELLE 4 (3)";#N/A,#N/A,FALSE,"KEGELLE 5 (3)";#N/A,#N/A,FALSE,"KEGELLE 6 (3)";#N/A,#N/A,FALSE,"KEGELLE 7 (3)"}</definedName>
    <definedName name="wrn.66." localSheetId="5" hidden="1">{#N/A,#N/A,FALSE,"KEGELLE 1 (3)";#N/A,#N/A,FALSE,"KEGELLE 2 (3)";#N/A,#N/A,FALSE,"KEGELLE 3 (3)";#N/A,#N/A,FALSE,"KEGELLE 4 (3)";#N/A,#N/A,FALSE,"KEGELLE 5 (3)";#N/A,#N/A,FALSE,"KEGELLE 6 (3)";#N/A,#N/A,FALSE,"KEGELLE 7 (3)"}</definedName>
    <definedName name="wrn.66." localSheetId="6" hidden="1">{#N/A,#N/A,FALSE,"KEGELLE 1 (3)";#N/A,#N/A,FALSE,"KEGELLE 2 (3)";#N/A,#N/A,FALSE,"KEGELLE 3 (3)";#N/A,#N/A,FALSE,"KEGELLE 4 (3)";#N/A,#N/A,FALSE,"KEGELLE 5 (3)";#N/A,#N/A,FALSE,"KEGELLE 6 (3)";#N/A,#N/A,FALSE,"KEGELLE 7 (3)"}</definedName>
    <definedName name="wrn.66." localSheetId="7" hidden="1">{#N/A,#N/A,FALSE,"KEGELLE 1 (3)";#N/A,#N/A,FALSE,"KEGELLE 2 (3)";#N/A,#N/A,FALSE,"KEGELLE 3 (3)";#N/A,#N/A,FALSE,"KEGELLE 4 (3)";#N/A,#N/A,FALSE,"KEGELLE 5 (3)";#N/A,#N/A,FALSE,"KEGELLE 6 (3)";#N/A,#N/A,FALSE,"KEGELLE 7 (3)"}</definedName>
    <definedName name="wrn.66." localSheetId="8" hidden="1">{#N/A,#N/A,FALSE,"KEGELLE 1 (3)";#N/A,#N/A,FALSE,"KEGELLE 2 (3)";#N/A,#N/A,FALSE,"KEGELLE 3 (3)";#N/A,#N/A,FALSE,"KEGELLE 4 (3)";#N/A,#N/A,FALSE,"KEGELLE 5 (3)";#N/A,#N/A,FALSE,"KEGELLE 6 (3)";#N/A,#N/A,FALSE,"KEGELLE 7 (3)"}</definedName>
    <definedName name="wrn.66." localSheetId="9" hidden="1">{#N/A,#N/A,FALSE,"KEGELLE 1 (3)";#N/A,#N/A,FALSE,"KEGELLE 2 (3)";#N/A,#N/A,FALSE,"KEGELLE 3 (3)";#N/A,#N/A,FALSE,"KEGELLE 4 (3)";#N/A,#N/A,FALSE,"KEGELLE 5 (3)";#N/A,#N/A,FALSE,"KEGELLE 6 (3)";#N/A,#N/A,FALSE,"KEGELLE 7 (3)"}</definedName>
    <definedName name="wrn.66." localSheetId="10" hidden="1">{#N/A,#N/A,FALSE,"KEGELLE 1 (3)";#N/A,#N/A,FALSE,"KEGELLE 2 (3)";#N/A,#N/A,FALSE,"KEGELLE 3 (3)";#N/A,#N/A,FALSE,"KEGELLE 4 (3)";#N/A,#N/A,FALSE,"KEGELLE 5 (3)";#N/A,#N/A,FALSE,"KEGELLE 6 (3)";#N/A,#N/A,FALSE,"KEGELLE 7 (3)"}</definedName>
    <definedName name="wrn.66." localSheetId="11" hidden="1">{#N/A,#N/A,FALSE,"KEGELLE 1 (3)";#N/A,#N/A,FALSE,"KEGELLE 2 (3)";#N/A,#N/A,FALSE,"KEGELLE 3 (3)";#N/A,#N/A,FALSE,"KEGELLE 4 (3)";#N/A,#N/A,FALSE,"KEGELLE 5 (3)";#N/A,#N/A,FALSE,"KEGELLE 6 (3)";#N/A,#N/A,FALSE,"KEGELLE 7 (3)"}</definedName>
    <definedName name="wrn.66." localSheetId="1" hidden="1">{#N/A,#N/A,FALSE,"KEGELLE 1 (3)";#N/A,#N/A,FALSE,"KEGELLE 2 (3)";#N/A,#N/A,FALSE,"KEGELLE 3 (3)";#N/A,#N/A,FALSE,"KEGELLE 4 (3)";#N/A,#N/A,FALSE,"KEGELLE 5 (3)";#N/A,#N/A,FALSE,"KEGELLE 6 (3)";#N/A,#N/A,FALSE,"KEGELLE 7 (3)"}</definedName>
    <definedName name="wrn.66." localSheetId="16" hidden="1">{#N/A,#N/A,FALSE,"KEGELLE 1 (3)";#N/A,#N/A,FALSE,"KEGELLE 2 (3)";#N/A,#N/A,FALSE,"KEGELLE 3 (3)";#N/A,#N/A,FALSE,"KEGELLE 4 (3)";#N/A,#N/A,FALSE,"KEGELLE 5 (3)";#N/A,#N/A,FALSE,"KEGELLE 6 (3)";#N/A,#N/A,FALSE,"KEGELLE 7 (3)"}</definedName>
    <definedName name="wrn.66." localSheetId="2" hidden="1">{#N/A,#N/A,FALSE,"KEGELLE 1 (3)";#N/A,#N/A,FALSE,"KEGELLE 2 (3)";#N/A,#N/A,FALSE,"KEGELLE 3 (3)";#N/A,#N/A,FALSE,"KEGELLE 4 (3)";#N/A,#N/A,FALSE,"KEGELLE 5 (3)";#N/A,#N/A,FALSE,"KEGELLE 6 (3)";#N/A,#N/A,FALSE,"KEGELLE 7 (3)"}</definedName>
    <definedName name="wrn.66." hidden="1">{#N/A,#N/A,FALSE,"KEGELLE 1 (3)";#N/A,#N/A,FALSE,"KEGELLE 2 (3)";#N/A,#N/A,FALSE,"KEGELLE 3 (3)";#N/A,#N/A,FALSE,"KEGELLE 4 (3)";#N/A,#N/A,FALSE,"KEGELLE 5 (3)";#N/A,#N/A,FALSE,"KEGELLE 6 (3)";#N/A,#N/A,FALSE,"KEGELLE 7 (3)"}</definedName>
    <definedName name="wrn.89." localSheetId="12" hidden="1">{#N/A,#N/A,FALSE,"KEGELLE 2";#N/A,#N/A,FALSE,"KEGELLE 3";#N/A,#N/A,FALSE,"KEGELLE 4";#N/A,#N/A,FALSE,"KEGELLE 5";#N/A,#N/A,FALSE,"KEGELLE 6";#N/A,#N/A,FALSE,"KEGELLE 7"}</definedName>
    <definedName name="wrn.89." localSheetId="13" hidden="1">{#N/A,#N/A,FALSE,"KEGELLE 2";#N/A,#N/A,FALSE,"KEGELLE 3";#N/A,#N/A,FALSE,"KEGELLE 4";#N/A,#N/A,FALSE,"KEGELLE 5";#N/A,#N/A,FALSE,"KEGELLE 6";#N/A,#N/A,FALSE,"KEGELLE 7"}</definedName>
    <definedName name="wrn.89." localSheetId="14" hidden="1">{#N/A,#N/A,FALSE,"KEGELLE 2";#N/A,#N/A,FALSE,"KEGELLE 3";#N/A,#N/A,FALSE,"KEGELLE 4";#N/A,#N/A,FALSE,"KEGELLE 5";#N/A,#N/A,FALSE,"KEGELLE 6";#N/A,#N/A,FALSE,"KEGELLE 7"}</definedName>
    <definedName name="wrn.89." localSheetId="15" hidden="1">{#N/A,#N/A,FALSE,"KEGELLE 2";#N/A,#N/A,FALSE,"KEGELLE 3";#N/A,#N/A,FALSE,"KEGELLE 4";#N/A,#N/A,FALSE,"KEGELLE 5";#N/A,#N/A,FALSE,"KEGELLE 6";#N/A,#N/A,FALSE,"KEGELLE 7"}</definedName>
    <definedName name="wrn.89." localSheetId="4" hidden="1">{#N/A,#N/A,FALSE,"KEGELLE 2";#N/A,#N/A,FALSE,"KEGELLE 3";#N/A,#N/A,FALSE,"KEGELLE 4";#N/A,#N/A,FALSE,"KEGELLE 5";#N/A,#N/A,FALSE,"KEGELLE 6";#N/A,#N/A,FALSE,"KEGELLE 7"}</definedName>
    <definedName name="wrn.89." localSheetId="5" hidden="1">{#N/A,#N/A,FALSE,"KEGELLE 2";#N/A,#N/A,FALSE,"KEGELLE 3";#N/A,#N/A,FALSE,"KEGELLE 4";#N/A,#N/A,FALSE,"KEGELLE 5";#N/A,#N/A,FALSE,"KEGELLE 6";#N/A,#N/A,FALSE,"KEGELLE 7"}</definedName>
    <definedName name="wrn.89." localSheetId="6" hidden="1">{#N/A,#N/A,FALSE,"KEGELLE 2";#N/A,#N/A,FALSE,"KEGELLE 3";#N/A,#N/A,FALSE,"KEGELLE 4";#N/A,#N/A,FALSE,"KEGELLE 5";#N/A,#N/A,FALSE,"KEGELLE 6";#N/A,#N/A,FALSE,"KEGELLE 7"}</definedName>
    <definedName name="wrn.89." localSheetId="7" hidden="1">{#N/A,#N/A,FALSE,"KEGELLE 2";#N/A,#N/A,FALSE,"KEGELLE 3";#N/A,#N/A,FALSE,"KEGELLE 4";#N/A,#N/A,FALSE,"KEGELLE 5";#N/A,#N/A,FALSE,"KEGELLE 6";#N/A,#N/A,FALSE,"KEGELLE 7"}</definedName>
    <definedName name="wrn.89." localSheetId="8" hidden="1">{#N/A,#N/A,FALSE,"KEGELLE 2";#N/A,#N/A,FALSE,"KEGELLE 3";#N/A,#N/A,FALSE,"KEGELLE 4";#N/A,#N/A,FALSE,"KEGELLE 5";#N/A,#N/A,FALSE,"KEGELLE 6";#N/A,#N/A,FALSE,"KEGELLE 7"}</definedName>
    <definedName name="wrn.89." localSheetId="9" hidden="1">{#N/A,#N/A,FALSE,"KEGELLE 2";#N/A,#N/A,FALSE,"KEGELLE 3";#N/A,#N/A,FALSE,"KEGELLE 4";#N/A,#N/A,FALSE,"KEGELLE 5";#N/A,#N/A,FALSE,"KEGELLE 6";#N/A,#N/A,FALSE,"KEGELLE 7"}</definedName>
    <definedName name="wrn.89." localSheetId="10" hidden="1">{#N/A,#N/A,FALSE,"KEGELLE 2";#N/A,#N/A,FALSE,"KEGELLE 3";#N/A,#N/A,FALSE,"KEGELLE 4";#N/A,#N/A,FALSE,"KEGELLE 5";#N/A,#N/A,FALSE,"KEGELLE 6";#N/A,#N/A,FALSE,"KEGELLE 7"}</definedName>
    <definedName name="wrn.89." localSheetId="11" hidden="1">{#N/A,#N/A,FALSE,"KEGELLE 2";#N/A,#N/A,FALSE,"KEGELLE 3";#N/A,#N/A,FALSE,"KEGELLE 4";#N/A,#N/A,FALSE,"KEGELLE 5";#N/A,#N/A,FALSE,"KEGELLE 6";#N/A,#N/A,FALSE,"KEGELLE 7"}</definedName>
    <definedName name="wrn.89." localSheetId="1" hidden="1">{#N/A,#N/A,FALSE,"KEGELLE 2";#N/A,#N/A,FALSE,"KEGELLE 3";#N/A,#N/A,FALSE,"KEGELLE 4";#N/A,#N/A,FALSE,"KEGELLE 5";#N/A,#N/A,FALSE,"KEGELLE 6";#N/A,#N/A,FALSE,"KEGELLE 7"}</definedName>
    <definedName name="wrn.89." localSheetId="16" hidden="1">{#N/A,#N/A,FALSE,"KEGELLE 2";#N/A,#N/A,FALSE,"KEGELLE 3";#N/A,#N/A,FALSE,"KEGELLE 4";#N/A,#N/A,FALSE,"KEGELLE 5";#N/A,#N/A,FALSE,"KEGELLE 6";#N/A,#N/A,FALSE,"KEGELLE 7"}</definedName>
    <definedName name="wrn.89." localSheetId="2" hidden="1">{#N/A,#N/A,FALSE,"KEGELLE 2";#N/A,#N/A,FALSE,"KEGELLE 3";#N/A,#N/A,FALSE,"KEGELLE 4";#N/A,#N/A,FALSE,"KEGELLE 5";#N/A,#N/A,FALSE,"KEGELLE 6";#N/A,#N/A,FALSE,"KEGELLE 7"}</definedName>
    <definedName name="wrn.89." hidden="1">{#N/A,#N/A,FALSE,"KEGELLE 2";#N/A,#N/A,FALSE,"KEGELLE 3";#N/A,#N/A,FALSE,"KEGELLE 4";#N/A,#N/A,FALSE,"KEGELLE 5";#N/A,#N/A,FALSE,"KEGELLE 6";#N/A,#N/A,FALSE,"KEGELLE 7"}</definedName>
    <definedName name="wrn.90." localSheetId="12"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localSheetId="13"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localSheetId="14"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localSheetId="15"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localSheetId="4"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localSheetId="5"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localSheetId="6"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localSheetId="7"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localSheetId="8"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localSheetId="9"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localSheetId="1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localSheetId="11"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localSheetId="1"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localSheetId="16"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localSheetId="2"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Capacity._.Calculations._.for._.FM3." localSheetId="12" hidden="1">{#N/A,#N/A,TRUE,"Report"}</definedName>
    <definedName name="wrn.Capacity._.Calculations._.for._.FM3." localSheetId="13" hidden="1">{#N/A,#N/A,TRUE,"Report"}</definedName>
    <definedName name="wrn.Capacity._.Calculations._.for._.FM3." localSheetId="14" hidden="1">{#N/A,#N/A,TRUE,"Report"}</definedName>
    <definedName name="wrn.Capacity._.Calculations._.for._.FM3." localSheetId="15" hidden="1">{#N/A,#N/A,TRUE,"Report"}</definedName>
    <definedName name="wrn.Capacity._.Calculations._.for._.FM3." localSheetId="4" hidden="1">{#N/A,#N/A,TRUE,"Report"}</definedName>
    <definedName name="wrn.Capacity._.Calculations._.for._.FM3." localSheetId="5" hidden="1">{#N/A,#N/A,TRUE,"Report"}</definedName>
    <definedName name="wrn.Capacity._.Calculations._.for._.FM3." localSheetId="6" hidden="1">{#N/A,#N/A,TRUE,"Report"}</definedName>
    <definedName name="wrn.Capacity._.Calculations._.for._.FM3." localSheetId="7" hidden="1">{#N/A,#N/A,TRUE,"Report"}</definedName>
    <definedName name="wrn.Capacity._.Calculations._.for._.FM3." localSheetId="8" hidden="1">{#N/A,#N/A,TRUE,"Report"}</definedName>
    <definedName name="wrn.Capacity._.Calculations._.for._.FM3." localSheetId="9" hidden="1">{#N/A,#N/A,TRUE,"Report"}</definedName>
    <definedName name="wrn.Capacity._.Calculations._.for._.FM3." localSheetId="10" hidden="1">{#N/A,#N/A,TRUE,"Report"}</definedName>
    <definedName name="wrn.Capacity._.Calculations._.for._.FM3." localSheetId="11" hidden="1">{#N/A,#N/A,TRUE,"Report"}</definedName>
    <definedName name="wrn.Capacity._.Calculations._.for._.FM3." localSheetId="1" hidden="1">{#N/A,#N/A,TRUE,"Report"}</definedName>
    <definedName name="wrn.Capacity._.Calculations._.for._.FM3." localSheetId="16" hidden="1">{#N/A,#N/A,TRUE,"Report"}</definedName>
    <definedName name="wrn.Capacity._.Calculations._.for._.FM3." localSheetId="2" hidden="1">{#N/A,#N/A,TRUE,"Report"}</definedName>
    <definedName name="wrn.Capacity._.Calculations._.for._.FM3." hidden="1">{#N/A,#N/A,TRUE,"Report"}</definedName>
    <definedName name="wrn.GGP1." localSheetId="12" hidden="1">{#N/A,#N/A,TRUE,"TOT-GGRAL";#N/A,#N/A,TRUE,"G1000";#N/A,#N/A,TRUE,"G1200";#N/A,#N/A,TRUE,"G1400"}</definedName>
    <definedName name="wrn.GGP1." localSheetId="13" hidden="1">{#N/A,#N/A,TRUE,"TOT-GGRAL";#N/A,#N/A,TRUE,"G1000";#N/A,#N/A,TRUE,"G1200";#N/A,#N/A,TRUE,"G1400"}</definedName>
    <definedName name="wrn.GGP1." localSheetId="14" hidden="1">{#N/A,#N/A,TRUE,"TOT-GGRAL";#N/A,#N/A,TRUE,"G1000";#N/A,#N/A,TRUE,"G1200";#N/A,#N/A,TRUE,"G1400"}</definedName>
    <definedName name="wrn.GGP1." localSheetId="15" hidden="1">{#N/A,#N/A,TRUE,"TOT-GGRAL";#N/A,#N/A,TRUE,"G1000";#N/A,#N/A,TRUE,"G1200";#N/A,#N/A,TRUE,"G1400"}</definedName>
    <definedName name="wrn.GGP1." localSheetId="4" hidden="1">{#N/A,#N/A,TRUE,"TOT-GGRAL";#N/A,#N/A,TRUE,"G1000";#N/A,#N/A,TRUE,"G1200";#N/A,#N/A,TRUE,"G1400"}</definedName>
    <definedName name="wrn.GGP1." localSheetId="5" hidden="1">{#N/A,#N/A,TRUE,"TOT-GGRAL";#N/A,#N/A,TRUE,"G1000";#N/A,#N/A,TRUE,"G1200";#N/A,#N/A,TRUE,"G1400"}</definedName>
    <definedName name="wrn.GGP1." localSheetId="6" hidden="1">{#N/A,#N/A,TRUE,"TOT-GGRAL";#N/A,#N/A,TRUE,"G1000";#N/A,#N/A,TRUE,"G1200";#N/A,#N/A,TRUE,"G1400"}</definedName>
    <definedName name="wrn.GGP1." localSheetId="7" hidden="1">{#N/A,#N/A,TRUE,"TOT-GGRAL";#N/A,#N/A,TRUE,"G1000";#N/A,#N/A,TRUE,"G1200";#N/A,#N/A,TRUE,"G1400"}</definedName>
    <definedName name="wrn.GGP1." localSheetId="8" hidden="1">{#N/A,#N/A,TRUE,"TOT-GGRAL";#N/A,#N/A,TRUE,"G1000";#N/A,#N/A,TRUE,"G1200";#N/A,#N/A,TRUE,"G1400"}</definedName>
    <definedName name="wrn.GGP1." localSheetId="9" hidden="1">{#N/A,#N/A,TRUE,"TOT-GGRAL";#N/A,#N/A,TRUE,"G1000";#N/A,#N/A,TRUE,"G1200";#N/A,#N/A,TRUE,"G1400"}</definedName>
    <definedName name="wrn.GGP1." localSheetId="10" hidden="1">{#N/A,#N/A,TRUE,"TOT-GGRAL";#N/A,#N/A,TRUE,"G1000";#N/A,#N/A,TRUE,"G1200";#N/A,#N/A,TRUE,"G1400"}</definedName>
    <definedName name="wrn.GGP1." localSheetId="11" hidden="1">{#N/A,#N/A,TRUE,"TOT-GGRAL";#N/A,#N/A,TRUE,"G1000";#N/A,#N/A,TRUE,"G1200";#N/A,#N/A,TRUE,"G1400"}</definedName>
    <definedName name="wrn.GGP1." localSheetId="1" hidden="1">{#N/A,#N/A,TRUE,"TOT-GGRAL";#N/A,#N/A,TRUE,"G1000";#N/A,#N/A,TRUE,"G1200";#N/A,#N/A,TRUE,"G1400"}</definedName>
    <definedName name="wrn.GGP1." localSheetId="16" hidden="1">{#N/A,#N/A,TRUE,"TOT-GGRAL";#N/A,#N/A,TRUE,"G1000";#N/A,#N/A,TRUE,"G1200";#N/A,#N/A,TRUE,"G1400"}</definedName>
    <definedName name="wrn.GGP1." localSheetId="2" hidden="1">{#N/A,#N/A,TRUE,"TOT-GGRAL";#N/A,#N/A,TRUE,"G1000";#N/A,#N/A,TRUE,"G1200";#N/A,#N/A,TRUE,"G1400"}</definedName>
    <definedName name="wrn.GGP1." hidden="1">{#N/A,#N/A,TRUE,"TOT-GGRAL";#N/A,#N/A,TRUE,"G1000";#N/A,#N/A,TRUE,"G1200";#N/A,#N/A,TRUE,"G1400"}</definedName>
    <definedName name="wrn.GGP2." localSheetId="12" hidden="1">{#N/A,#N/A,TRUE,"TOT-GGRAL";#N/A,#N/A,TRUE,"G1000";#N/A,#N/A,TRUE,"G1200";#N/A,#N/A,TRUE,"G1400"}</definedName>
    <definedName name="wrn.GGP2." localSheetId="13" hidden="1">{#N/A,#N/A,TRUE,"TOT-GGRAL";#N/A,#N/A,TRUE,"G1000";#N/A,#N/A,TRUE,"G1200";#N/A,#N/A,TRUE,"G1400"}</definedName>
    <definedName name="wrn.GGP2." localSheetId="14" hidden="1">{#N/A,#N/A,TRUE,"TOT-GGRAL";#N/A,#N/A,TRUE,"G1000";#N/A,#N/A,TRUE,"G1200";#N/A,#N/A,TRUE,"G1400"}</definedName>
    <definedName name="wrn.GGP2." localSheetId="15" hidden="1">{#N/A,#N/A,TRUE,"TOT-GGRAL";#N/A,#N/A,TRUE,"G1000";#N/A,#N/A,TRUE,"G1200";#N/A,#N/A,TRUE,"G1400"}</definedName>
    <definedName name="wrn.GGP2." localSheetId="4" hidden="1">{#N/A,#N/A,TRUE,"TOT-GGRAL";#N/A,#N/A,TRUE,"G1000";#N/A,#N/A,TRUE,"G1200";#N/A,#N/A,TRUE,"G1400"}</definedName>
    <definedName name="wrn.GGP2." localSheetId="5" hidden="1">{#N/A,#N/A,TRUE,"TOT-GGRAL";#N/A,#N/A,TRUE,"G1000";#N/A,#N/A,TRUE,"G1200";#N/A,#N/A,TRUE,"G1400"}</definedName>
    <definedName name="wrn.GGP2." localSheetId="6" hidden="1">{#N/A,#N/A,TRUE,"TOT-GGRAL";#N/A,#N/A,TRUE,"G1000";#N/A,#N/A,TRUE,"G1200";#N/A,#N/A,TRUE,"G1400"}</definedName>
    <definedName name="wrn.GGP2." localSheetId="7" hidden="1">{#N/A,#N/A,TRUE,"TOT-GGRAL";#N/A,#N/A,TRUE,"G1000";#N/A,#N/A,TRUE,"G1200";#N/A,#N/A,TRUE,"G1400"}</definedName>
    <definedName name="wrn.GGP2." localSheetId="8" hidden="1">{#N/A,#N/A,TRUE,"TOT-GGRAL";#N/A,#N/A,TRUE,"G1000";#N/A,#N/A,TRUE,"G1200";#N/A,#N/A,TRUE,"G1400"}</definedName>
    <definedName name="wrn.GGP2." localSheetId="9" hidden="1">{#N/A,#N/A,TRUE,"TOT-GGRAL";#N/A,#N/A,TRUE,"G1000";#N/A,#N/A,TRUE,"G1200";#N/A,#N/A,TRUE,"G1400"}</definedName>
    <definedName name="wrn.GGP2." localSheetId="10" hidden="1">{#N/A,#N/A,TRUE,"TOT-GGRAL";#N/A,#N/A,TRUE,"G1000";#N/A,#N/A,TRUE,"G1200";#N/A,#N/A,TRUE,"G1400"}</definedName>
    <definedName name="wrn.GGP2." localSheetId="11" hidden="1">{#N/A,#N/A,TRUE,"TOT-GGRAL";#N/A,#N/A,TRUE,"G1000";#N/A,#N/A,TRUE,"G1200";#N/A,#N/A,TRUE,"G1400"}</definedName>
    <definedName name="wrn.GGP2." localSheetId="1" hidden="1">{#N/A,#N/A,TRUE,"TOT-GGRAL";#N/A,#N/A,TRUE,"G1000";#N/A,#N/A,TRUE,"G1200";#N/A,#N/A,TRUE,"G1400"}</definedName>
    <definedName name="wrn.GGP2." localSheetId="16" hidden="1">{#N/A,#N/A,TRUE,"TOT-GGRAL";#N/A,#N/A,TRUE,"G1000";#N/A,#N/A,TRUE,"G1200";#N/A,#N/A,TRUE,"G1400"}</definedName>
    <definedName name="wrn.GGP2." localSheetId="2" hidden="1">{#N/A,#N/A,TRUE,"TOT-GGRAL";#N/A,#N/A,TRUE,"G1000";#N/A,#N/A,TRUE,"G1200";#N/A,#N/A,TRUE,"G1400"}</definedName>
    <definedName name="wrn.GGP2." hidden="1">{#N/A,#N/A,TRUE,"TOT-GGRAL";#N/A,#N/A,TRUE,"G1000";#N/A,#N/A,TRUE,"G1200";#N/A,#N/A,TRUE,"G1400"}</definedName>
    <definedName name="wrn.GGP3." localSheetId="12" hidden="1">{#N/A,#N/A,TRUE,"TOT-GGRAL";#N/A,#N/A,TRUE,"G1000";#N/A,#N/A,TRUE,"G1200";#N/A,#N/A,TRUE,"G1400"}</definedName>
    <definedName name="wrn.GGP3." localSheetId="13" hidden="1">{#N/A,#N/A,TRUE,"TOT-GGRAL";#N/A,#N/A,TRUE,"G1000";#N/A,#N/A,TRUE,"G1200";#N/A,#N/A,TRUE,"G1400"}</definedName>
    <definedName name="wrn.GGP3." localSheetId="14" hidden="1">{#N/A,#N/A,TRUE,"TOT-GGRAL";#N/A,#N/A,TRUE,"G1000";#N/A,#N/A,TRUE,"G1200";#N/A,#N/A,TRUE,"G1400"}</definedName>
    <definedName name="wrn.GGP3." localSheetId="15" hidden="1">{#N/A,#N/A,TRUE,"TOT-GGRAL";#N/A,#N/A,TRUE,"G1000";#N/A,#N/A,TRUE,"G1200";#N/A,#N/A,TRUE,"G1400"}</definedName>
    <definedName name="wrn.GGP3." localSheetId="4" hidden="1">{#N/A,#N/A,TRUE,"TOT-GGRAL";#N/A,#N/A,TRUE,"G1000";#N/A,#N/A,TRUE,"G1200";#N/A,#N/A,TRUE,"G1400"}</definedName>
    <definedName name="wrn.GGP3." localSheetId="5" hidden="1">{#N/A,#N/A,TRUE,"TOT-GGRAL";#N/A,#N/A,TRUE,"G1000";#N/A,#N/A,TRUE,"G1200";#N/A,#N/A,TRUE,"G1400"}</definedName>
    <definedName name="wrn.GGP3." localSheetId="6" hidden="1">{#N/A,#N/A,TRUE,"TOT-GGRAL";#N/A,#N/A,TRUE,"G1000";#N/A,#N/A,TRUE,"G1200";#N/A,#N/A,TRUE,"G1400"}</definedName>
    <definedName name="wrn.GGP3." localSheetId="7" hidden="1">{#N/A,#N/A,TRUE,"TOT-GGRAL";#N/A,#N/A,TRUE,"G1000";#N/A,#N/A,TRUE,"G1200";#N/A,#N/A,TRUE,"G1400"}</definedName>
    <definedName name="wrn.GGP3." localSheetId="8" hidden="1">{#N/A,#N/A,TRUE,"TOT-GGRAL";#N/A,#N/A,TRUE,"G1000";#N/A,#N/A,TRUE,"G1200";#N/A,#N/A,TRUE,"G1400"}</definedName>
    <definedName name="wrn.GGP3." localSheetId="9" hidden="1">{#N/A,#N/A,TRUE,"TOT-GGRAL";#N/A,#N/A,TRUE,"G1000";#N/A,#N/A,TRUE,"G1200";#N/A,#N/A,TRUE,"G1400"}</definedName>
    <definedName name="wrn.GGP3." localSheetId="10" hidden="1">{#N/A,#N/A,TRUE,"TOT-GGRAL";#N/A,#N/A,TRUE,"G1000";#N/A,#N/A,TRUE,"G1200";#N/A,#N/A,TRUE,"G1400"}</definedName>
    <definedName name="wrn.GGP3." localSheetId="11" hidden="1">{#N/A,#N/A,TRUE,"TOT-GGRAL";#N/A,#N/A,TRUE,"G1000";#N/A,#N/A,TRUE,"G1200";#N/A,#N/A,TRUE,"G1400"}</definedName>
    <definedName name="wrn.GGP3." localSheetId="1" hidden="1">{#N/A,#N/A,TRUE,"TOT-GGRAL";#N/A,#N/A,TRUE,"G1000";#N/A,#N/A,TRUE,"G1200";#N/A,#N/A,TRUE,"G1400"}</definedName>
    <definedName name="wrn.GGP3." localSheetId="16" hidden="1">{#N/A,#N/A,TRUE,"TOT-GGRAL";#N/A,#N/A,TRUE,"G1000";#N/A,#N/A,TRUE,"G1200";#N/A,#N/A,TRUE,"G1400"}</definedName>
    <definedName name="wrn.GGP3." localSheetId="2" hidden="1">{#N/A,#N/A,TRUE,"TOT-GGRAL";#N/A,#N/A,TRUE,"G1000";#N/A,#N/A,TRUE,"G1200";#N/A,#N/A,TRUE,"G1400"}</definedName>
    <definedName name="wrn.GGP3." hidden="1">{#N/A,#N/A,TRUE,"TOT-GGRAL";#N/A,#N/A,TRUE,"G1000";#N/A,#N/A,TRUE,"G1200";#N/A,#N/A,TRUE,"G1400"}</definedName>
    <definedName name="wrn.GGP4." localSheetId="12" hidden="1">{#N/A,#N/A,TRUE,"TOT-GGRAL";#N/A,#N/A,TRUE,"G1000";#N/A,#N/A,TRUE,"G1200";#N/A,#N/A,TRUE,"G1400"}</definedName>
    <definedName name="wrn.GGP4." localSheetId="13" hidden="1">{#N/A,#N/A,TRUE,"TOT-GGRAL";#N/A,#N/A,TRUE,"G1000";#N/A,#N/A,TRUE,"G1200";#N/A,#N/A,TRUE,"G1400"}</definedName>
    <definedName name="wrn.GGP4." localSheetId="14" hidden="1">{#N/A,#N/A,TRUE,"TOT-GGRAL";#N/A,#N/A,TRUE,"G1000";#N/A,#N/A,TRUE,"G1200";#N/A,#N/A,TRUE,"G1400"}</definedName>
    <definedName name="wrn.GGP4." localSheetId="15" hidden="1">{#N/A,#N/A,TRUE,"TOT-GGRAL";#N/A,#N/A,TRUE,"G1000";#N/A,#N/A,TRUE,"G1200";#N/A,#N/A,TRUE,"G1400"}</definedName>
    <definedName name="wrn.GGP4." localSheetId="4" hidden="1">{#N/A,#N/A,TRUE,"TOT-GGRAL";#N/A,#N/A,TRUE,"G1000";#N/A,#N/A,TRUE,"G1200";#N/A,#N/A,TRUE,"G1400"}</definedName>
    <definedName name="wrn.GGP4." localSheetId="5" hidden="1">{#N/A,#N/A,TRUE,"TOT-GGRAL";#N/A,#N/A,TRUE,"G1000";#N/A,#N/A,TRUE,"G1200";#N/A,#N/A,TRUE,"G1400"}</definedName>
    <definedName name="wrn.GGP4." localSheetId="6" hidden="1">{#N/A,#N/A,TRUE,"TOT-GGRAL";#N/A,#N/A,TRUE,"G1000";#N/A,#N/A,TRUE,"G1200";#N/A,#N/A,TRUE,"G1400"}</definedName>
    <definedName name="wrn.GGP4." localSheetId="7" hidden="1">{#N/A,#N/A,TRUE,"TOT-GGRAL";#N/A,#N/A,TRUE,"G1000";#N/A,#N/A,TRUE,"G1200";#N/A,#N/A,TRUE,"G1400"}</definedName>
    <definedName name="wrn.GGP4." localSheetId="8" hidden="1">{#N/A,#N/A,TRUE,"TOT-GGRAL";#N/A,#N/A,TRUE,"G1000";#N/A,#N/A,TRUE,"G1200";#N/A,#N/A,TRUE,"G1400"}</definedName>
    <definedName name="wrn.GGP4." localSheetId="9" hidden="1">{#N/A,#N/A,TRUE,"TOT-GGRAL";#N/A,#N/A,TRUE,"G1000";#N/A,#N/A,TRUE,"G1200";#N/A,#N/A,TRUE,"G1400"}</definedName>
    <definedName name="wrn.GGP4." localSheetId="10" hidden="1">{#N/A,#N/A,TRUE,"TOT-GGRAL";#N/A,#N/A,TRUE,"G1000";#N/A,#N/A,TRUE,"G1200";#N/A,#N/A,TRUE,"G1400"}</definedName>
    <definedName name="wrn.GGP4." localSheetId="11" hidden="1">{#N/A,#N/A,TRUE,"TOT-GGRAL";#N/A,#N/A,TRUE,"G1000";#N/A,#N/A,TRUE,"G1200";#N/A,#N/A,TRUE,"G1400"}</definedName>
    <definedName name="wrn.GGP4." localSheetId="1" hidden="1">{#N/A,#N/A,TRUE,"TOT-GGRAL";#N/A,#N/A,TRUE,"G1000";#N/A,#N/A,TRUE,"G1200";#N/A,#N/A,TRUE,"G1400"}</definedName>
    <definedName name="wrn.GGP4." localSheetId="16" hidden="1">{#N/A,#N/A,TRUE,"TOT-GGRAL";#N/A,#N/A,TRUE,"G1000";#N/A,#N/A,TRUE,"G1200";#N/A,#N/A,TRUE,"G1400"}</definedName>
    <definedName name="wrn.GGP4." localSheetId="2" hidden="1">{#N/A,#N/A,TRUE,"TOT-GGRAL";#N/A,#N/A,TRUE,"G1000";#N/A,#N/A,TRUE,"G1200";#N/A,#N/A,TRUE,"G1400"}</definedName>
    <definedName name="wrn.GGP4." hidden="1">{#N/A,#N/A,TRUE,"TOT-GGRAL";#N/A,#N/A,TRUE,"G1000";#N/A,#N/A,TRUE,"G1200";#N/A,#N/A,TRUE,"G1400"}</definedName>
    <definedName name="wrn.GGP5." localSheetId="12" hidden="1">{#N/A,#N/A,TRUE,"TOT-GGRAL"}</definedName>
    <definedName name="wrn.GGP5." localSheetId="13" hidden="1">{#N/A,#N/A,TRUE,"TOT-GGRAL"}</definedName>
    <definedName name="wrn.GGP5." localSheetId="14" hidden="1">{#N/A,#N/A,TRUE,"TOT-GGRAL"}</definedName>
    <definedName name="wrn.GGP5." localSheetId="15" hidden="1">{#N/A,#N/A,TRUE,"TOT-GGRAL"}</definedName>
    <definedName name="wrn.GGP5." localSheetId="4" hidden="1">{#N/A,#N/A,TRUE,"TOT-GGRAL"}</definedName>
    <definedName name="wrn.GGP5." localSheetId="5" hidden="1">{#N/A,#N/A,TRUE,"TOT-GGRAL"}</definedName>
    <definedName name="wrn.GGP5." localSheetId="6" hidden="1">{#N/A,#N/A,TRUE,"TOT-GGRAL"}</definedName>
    <definedName name="wrn.GGP5." localSheetId="7" hidden="1">{#N/A,#N/A,TRUE,"TOT-GGRAL"}</definedName>
    <definedName name="wrn.GGP5." localSheetId="8" hidden="1">{#N/A,#N/A,TRUE,"TOT-GGRAL"}</definedName>
    <definedName name="wrn.GGP5." localSheetId="9" hidden="1">{#N/A,#N/A,TRUE,"TOT-GGRAL"}</definedName>
    <definedName name="wrn.GGP5." localSheetId="10" hidden="1">{#N/A,#N/A,TRUE,"TOT-GGRAL"}</definedName>
    <definedName name="wrn.GGP5." localSheetId="11" hidden="1">{#N/A,#N/A,TRUE,"TOT-GGRAL"}</definedName>
    <definedName name="wrn.GGP5." localSheetId="1" hidden="1">{#N/A,#N/A,TRUE,"TOT-GGRAL"}</definedName>
    <definedName name="wrn.GGP5." localSheetId="16" hidden="1">{#N/A,#N/A,TRUE,"TOT-GGRAL"}</definedName>
    <definedName name="wrn.GGP5." localSheetId="2" hidden="1">{#N/A,#N/A,TRUE,"TOT-GGRAL"}</definedName>
    <definedName name="wrn.GGP5." hidden="1">{#N/A,#N/A,TRUE,"TOT-GGRAL"}</definedName>
    <definedName name="wrn.julio24." localSheetId="12" hidden="1">{#N/A,#N/A,FALSE,"310.1";#N/A,#N/A,FALSE,"321.1";#N/A,#N/A,FALSE,"320.3";#N/A,#N/A,FALSE,"330.1"}</definedName>
    <definedName name="wrn.julio24." localSheetId="13" hidden="1">{#N/A,#N/A,FALSE,"310.1";#N/A,#N/A,FALSE,"321.1";#N/A,#N/A,FALSE,"320.3";#N/A,#N/A,FALSE,"330.1"}</definedName>
    <definedName name="wrn.julio24." localSheetId="14" hidden="1">{#N/A,#N/A,FALSE,"310.1";#N/A,#N/A,FALSE,"321.1";#N/A,#N/A,FALSE,"320.3";#N/A,#N/A,FALSE,"330.1"}</definedName>
    <definedName name="wrn.julio24." localSheetId="15" hidden="1">{#N/A,#N/A,FALSE,"310.1";#N/A,#N/A,FALSE,"321.1";#N/A,#N/A,FALSE,"320.3";#N/A,#N/A,FALSE,"330.1"}</definedName>
    <definedName name="wrn.julio24." localSheetId="4" hidden="1">{#N/A,#N/A,FALSE,"310.1";#N/A,#N/A,FALSE,"321.1";#N/A,#N/A,FALSE,"320.3";#N/A,#N/A,FALSE,"330.1"}</definedName>
    <definedName name="wrn.julio24." localSheetId="5" hidden="1">{#N/A,#N/A,FALSE,"310.1";#N/A,#N/A,FALSE,"321.1";#N/A,#N/A,FALSE,"320.3";#N/A,#N/A,FALSE,"330.1"}</definedName>
    <definedName name="wrn.julio24." localSheetId="6" hidden="1">{#N/A,#N/A,FALSE,"310.1";#N/A,#N/A,FALSE,"321.1";#N/A,#N/A,FALSE,"320.3";#N/A,#N/A,FALSE,"330.1"}</definedName>
    <definedName name="wrn.julio24." localSheetId="7" hidden="1">{#N/A,#N/A,FALSE,"310.1";#N/A,#N/A,FALSE,"321.1";#N/A,#N/A,FALSE,"320.3";#N/A,#N/A,FALSE,"330.1"}</definedName>
    <definedName name="wrn.julio24." localSheetId="8" hidden="1">{#N/A,#N/A,FALSE,"310.1";#N/A,#N/A,FALSE,"321.1";#N/A,#N/A,FALSE,"320.3";#N/A,#N/A,FALSE,"330.1"}</definedName>
    <definedName name="wrn.julio24." localSheetId="9" hidden="1">{#N/A,#N/A,FALSE,"310.1";#N/A,#N/A,FALSE,"321.1";#N/A,#N/A,FALSE,"320.3";#N/A,#N/A,FALSE,"330.1"}</definedName>
    <definedName name="wrn.julio24." localSheetId="10" hidden="1">{#N/A,#N/A,FALSE,"310.1";#N/A,#N/A,FALSE,"321.1";#N/A,#N/A,FALSE,"320.3";#N/A,#N/A,FALSE,"330.1"}</definedName>
    <definedName name="wrn.julio24." localSheetId="11" hidden="1">{#N/A,#N/A,FALSE,"310.1";#N/A,#N/A,FALSE,"321.1";#N/A,#N/A,FALSE,"320.3";#N/A,#N/A,FALSE,"330.1"}</definedName>
    <definedName name="wrn.julio24." localSheetId="1" hidden="1">{#N/A,#N/A,FALSE,"310.1";#N/A,#N/A,FALSE,"321.1";#N/A,#N/A,FALSE,"320.3";#N/A,#N/A,FALSE,"330.1"}</definedName>
    <definedName name="wrn.julio24." localSheetId="16" hidden="1">{#N/A,#N/A,FALSE,"310.1";#N/A,#N/A,FALSE,"321.1";#N/A,#N/A,FALSE,"320.3";#N/A,#N/A,FALSE,"330.1"}</definedName>
    <definedName name="wrn.julio24." localSheetId="2" hidden="1">{#N/A,#N/A,FALSE,"310.1";#N/A,#N/A,FALSE,"321.1";#N/A,#N/A,FALSE,"320.3";#N/A,#N/A,FALSE,"330.1"}</definedName>
    <definedName name="wrn.julio24." hidden="1">{#N/A,#N/A,FALSE,"310.1";#N/A,#N/A,FALSE,"321.1";#N/A,#N/A,FALSE,"320.3";#N/A,#N/A,FALSE,"330.1"}</definedName>
    <definedName name="wrn.LPU._.MG." localSheetId="12" hidden="1">{"MG-2002-F1",#N/A,FALSE,"PPU-Telemig";"MG-2002-F2",#N/A,FALSE,"PPU-Telemig";"MG-2002-F3",#N/A,FALSE,"PPU-Telemig";"MG-2002-F4",#N/A,FALSE,"PPU-Telemig";"MG-2003-F1",#N/A,FALSE,"PPU-Telemig";"MG-2004-F1",#N/A,FALSE,"PPU-Telemig"}</definedName>
    <definedName name="wrn.LPU._.MG." localSheetId="13" hidden="1">{"MG-2002-F1",#N/A,FALSE,"PPU-Telemig";"MG-2002-F2",#N/A,FALSE,"PPU-Telemig";"MG-2002-F3",#N/A,FALSE,"PPU-Telemig";"MG-2002-F4",#N/A,FALSE,"PPU-Telemig";"MG-2003-F1",#N/A,FALSE,"PPU-Telemig";"MG-2004-F1",#N/A,FALSE,"PPU-Telemig"}</definedName>
    <definedName name="wrn.LPU._.MG." localSheetId="14" hidden="1">{"MG-2002-F1",#N/A,FALSE,"PPU-Telemig";"MG-2002-F2",#N/A,FALSE,"PPU-Telemig";"MG-2002-F3",#N/A,FALSE,"PPU-Telemig";"MG-2002-F4",#N/A,FALSE,"PPU-Telemig";"MG-2003-F1",#N/A,FALSE,"PPU-Telemig";"MG-2004-F1",#N/A,FALSE,"PPU-Telemig"}</definedName>
    <definedName name="wrn.LPU._.MG." localSheetId="15" hidden="1">{"MG-2002-F1",#N/A,FALSE,"PPU-Telemig";"MG-2002-F2",#N/A,FALSE,"PPU-Telemig";"MG-2002-F3",#N/A,FALSE,"PPU-Telemig";"MG-2002-F4",#N/A,FALSE,"PPU-Telemig";"MG-2003-F1",#N/A,FALSE,"PPU-Telemig";"MG-2004-F1",#N/A,FALSE,"PPU-Telemig"}</definedName>
    <definedName name="wrn.LPU._.MG." localSheetId="4" hidden="1">{"MG-2002-F1",#N/A,FALSE,"PPU-Telemig";"MG-2002-F2",#N/A,FALSE,"PPU-Telemig";"MG-2002-F3",#N/A,FALSE,"PPU-Telemig";"MG-2002-F4",#N/A,FALSE,"PPU-Telemig";"MG-2003-F1",#N/A,FALSE,"PPU-Telemig";"MG-2004-F1",#N/A,FALSE,"PPU-Telemig"}</definedName>
    <definedName name="wrn.LPU._.MG." localSheetId="5" hidden="1">{"MG-2002-F1",#N/A,FALSE,"PPU-Telemig";"MG-2002-F2",#N/A,FALSE,"PPU-Telemig";"MG-2002-F3",#N/A,FALSE,"PPU-Telemig";"MG-2002-F4",#N/A,FALSE,"PPU-Telemig";"MG-2003-F1",#N/A,FALSE,"PPU-Telemig";"MG-2004-F1",#N/A,FALSE,"PPU-Telemig"}</definedName>
    <definedName name="wrn.LPU._.MG." localSheetId="6" hidden="1">{"MG-2002-F1",#N/A,FALSE,"PPU-Telemig";"MG-2002-F2",#N/A,FALSE,"PPU-Telemig";"MG-2002-F3",#N/A,FALSE,"PPU-Telemig";"MG-2002-F4",#N/A,FALSE,"PPU-Telemig";"MG-2003-F1",#N/A,FALSE,"PPU-Telemig";"MG-2004-F1",#N/A,FALSE,"PPU-Telemig"}</definedName>
    <definedName name="wrn.LPU._.MG." localSheetId="7" hidden="1">{"MG-2002-F1",#N/A,FALSE,"PPU-Telemig";"MG-2002-F2",#N/A,FALSE,"PPU-Telemig";"MG-2002-F3",#N/A,FALSE,"PPU-Telemig";"MG-2002-F4",#N/A,FALSE,"PPU-Telemig";"MG-2003-F1",#N/A,FALSE,"PPU-Telemig";"MG-2004-F1",#N/A,FALSE,"PPU-Telemig"}</definedName>
    <definedName name="wrn.LPU._.MG." localSheetId="8" hidden="1">{"MG-2002-F1",#N/A,FALSE,"PPU-Telemig";"MG-2002-F2",#N/A,FALSE,"PPU-Telemig";"MG-2002-F3",#N/A,FALSE,"PPU-Telemig";"MG-2002-F4",#N/A,FALSE,"PPU-Telemig";"MG-2003-F1",#N/A,FALSE,"PPU-Telemig";"MG-2004-F1",#N/A,FALSE,"PPU-Telemig"}</definedName>
    <definedName name="wrn.LPU._.MG." localSheetId="9" hidden="1">{"MG-2002-F1",#N/A,FALSE,"PPU-Telemig";"MG-2002-F2",#N/A,FALSE,"PPU-Telemig";"MG-2002-F3",#N/A,FALSE,"PPU-Telemig";"MG-2002-F4",#N/A,FALSE,"PPU-Telemig";"MG-2003-F1",#N/A,FALSE,"PPU-Telemig";"MG-2004-F1",#N/A,FALSE,"PPU-Telemig"}</definedName>
    <definedName name="wrn.LPU._.MG." localSheetId="10" hidden="1">{"MG-2002-F1",#N/A,FALSE,"PPU-Telemig";"MG-2002-F2",#N/A,FALSE,"PPU-Telemig";"MG-2002-F3",#N/A,FALSE,"PPU-Telemig";"MG-2002-F4",#N/A,FALSE,"PPU-Telemig";"MG-2003-F1",#N/A,FALSE,"PPU-Telemig";"MG-2004-F1",#N/A,FALSE,"PPU-Telemig"}</definedName>
    <definedName name="wrn.LPU._.MG." localSheetId="11" hidden="1">{"MG-2002-F1",#N/A,FALSE,"PPU-Telemig";"MG-2002-F2",#N/A,FALSE,"PPU-Telemig";"MG-2002-F3",#N/A,FALSE,"PPU-Telemig";"MG-2002-F4",#N/A,FALSE,"PPU-Telemig";"MG-2003-F1",#N/A,FALSE,"PPU-Telemig";"MG-2004-F1",#N/A,FALSE,"PPU-Telemig"}</definedName>
    <definedName name="wrn.LPU._.MG." localSheetId="1" hidden="1">{"MG-2002-F1",#N/A,FALSE,"PPU-Telemig";"MG-2002-F2",#N/A,FALSE,"PPU-Telemig";"MG-2002-F3",#N/A,FALSE,"PPU-Telemig";"MG-2002-F4",#N/A,FALSE,"PPU-Telemig";"MG-2003-F1",#N/A,FALSE,"PPU-Telemig";"MG-2004-F1",#N/A,FALSE,"PPU-Telemig"}</definedName>
    <definedName name="wrn.LPU._.MG." localSheetId="16" hidden="1">{"MG-2002-F1",#N/A,FALSE,"PPU-Telemig";"MG-2002-F2",#N/A,FALSE,"PPU-Telemig";"MG-2002-F3",#N/A,FALSE,"PPU-Telemig";"MG-2002-F4",#N/A,FALSE,"PPU-Telemig";"MG-2003-F1",#N/A,FALSE,"PPU-Telemig";"MG-2004-F1",#N/A,FALSE,"PPU-Telemig"}</definedName>
    <definedName name="wrn.LPU._.MG." localSheetId="2" hidden="1">{"MG-2002-F1",#N/A,FALSE,"PPU-Telemig";"MG-2002-F2",#N/A,FALSE,"PPU-Telemig";"MG-2002-F3",#N/A,FALSE,"PPU-Telemig";"MG-2002-F4",#N/A,FALSE,"PPU-Telemig";"MG-2003-F1",#N/A,FALSE,"PPU-Telemig";"MG-2004-F1",#N/A,FALSE,"PPU-Telemig"}</definedName>
    <definedName name="wrn.LPU._.MG." hidden="1">{"MG-2002-F1",#N/A,FALSE,"PPU-Telemig";"MG-2002-F2",#N/A,FALSE,"PPU-Telemig";"MG-2002-F3",#N/A,FALSE,"PPU-Telemig";"MG-2002-F4",#N/A,FALSE,"PPU-Telemig";"MG-2003-F1",#N/A,FALSE,"PPU-Telemig";"MG-2004-F1",#N/A,FALSE,"PPU-Telemig"}</definedName>
    <definedName name="wrn.SUPPLY." localSheetId="12" hidden="1">{#N/A,#N/A,FALSE,"POLONNA 8";#N/A,#N/A,FALSE,"POLONNA 7";#N/A,#N/A,FALSE,"POLONNA 6";#N/A,#N/A,FALSE,"POLONNA 5 ";#N/A,#N/A,FALSE,"POLONNA 3";#N/A,#N/A,FALSE,"POLONNA 4";#N/A,#N/A,FALSE,"POLONNA 2";#N/A,#N/A,FALSE,"POLONNA 1"}</definedName>
    <definedName name="wrn.SUPPLY." localSheetId="13" hidden="1">{#N/A,#N/A,FALSE,"POLONNA 8";#N/A,#N/A,FALSE,"POLONNA 7";#N/A,#N/A,FALSE,"POLONNA 6";#N/A,#N/A,FALSE,"POLONNA 5 ";#N/A,#N/A,FALSE,"POLONNA 3";#N/A,#N/A,FALSE,"POLONNA 4";#N/A,#N/A,FALSE,"POLONNA 2";#N/A,#N/A,FALSE,"POLONNA 1"}</definedName>
    <definedName name="wrn.SUPPLY." localSheetId="14" hidden="1">{#N/A,#N/A,FALSE,"POLONNA 8";#N/A,#N/A,FALSE,"POLONNA 7";#N/A,#N/A,FALSE,"POLONNA 6";#N/A,#N/A,FALSE,"POLONNA 5 ";#N/A,#N/A,FALSE,"POLONNA 3";#N/A,#N/A,FALSE,"POLONNA 4";#N/A,#N/A,FALSE,"POLONNA 2";#N/A,#N/A,FALSE,"POLONNA 1"}</definedName>
    <definedName name="wrn.SUPPLY." localSheetId="15" hidden="1">{#N/A,#N/A,FALSE,"POLONNA 8";#N/A,#N/A,FALSE,"POLONNA 7";#N/A,#N/A,FALSE,"POLONNA 6";#N/A,#N/A,FALSE,"POLONNA 5 ";#N/A,#N/A,FALSE,"POLONNA 3";#N/A,#N/A,FALSE,"POLONNA 4";#N/A,#N/A,FALSE,"POLONNA 2";#N/A,#N/A,FALSE,"POLONNA 1"}</definedName>
    <definedName name="wrn.SUPPLY." localSheetId="4" hidden="1">{#N/A,#N/A,FALSE,"POLONNA 8";#N/A,#N/A,FALSE,"POLONNA 7";#N/A,#N/A,FALSE,"POLONNA 6";#N/A,#N/A,FALSE,"POLONNA 5 ";#N/A,#N/A,FALSE,"POLONNA 3";#N/A,#N/A,FALSE,"POLONNA 4";#N/A,#N/A,FALSE,"POLONNA 2";#N/A,#N/A,FALSE,"POLONNA 1"}</definedName>
    <definedName name="wrn.SUPPLY." localSheetId="5" hidden="1">{#N/A,#N/A,FALSE,"POLONNA 8";#N/A,#N/A,FALSE,"POLONNA 7";#N/A,#N/A,FALSE,"POLONNA 6";#N/A,#N/A,FALSE,"POLONNA 5 ";#N/A,#N/A,FALSE,"POLONNA 3";#N/A,#N/A,FALSE,"POLONNA 4";#N/A,#N/A,FALSE,"POLONNA 2";#N/A,#N/A,FALSE,"POLONNA 1"}</definedName>
    <definedName name="wrn.SUPPLY." localSheetId="6" hidden="1">{#N/A,#N/A,FALSE,"POLONNA 8";#N/A,#N/A,FALSE,"POLONNA 7";#N/A,#N/A,FALSE,"POLONNA 6";#N/A,#N/A,FALSE,"POLONNA 5 ";#N/A,#N/A,FALSE,"POLONNA 3";#N/A,#N/A,FALSE,"POLONNA 4";#N/A,#N/A,FALSE,"POLONNA 2";#N/A,#N/A,FALSE,"POLONNA 1"}</definedName>
    <definedName name="wrn.SUPPLY." localSheetId="7" hidden="1">{#N/A,#N/A,FALSE,"POLONNA 8";#N/A,#N/A,FALSE,"POLONNA 7";#N/A,#N/A,FALSE,"POLONNA 6";#N/A,#N/A,FALSE,"POLONNA 5 ";#N/A,#N/A,FALSE,"POLONNA 3";#N/A,#N/A,FALSE,"POLONNA 4";#N/A,#N/A,FALSE,"POLONNA 2";#N/A,#N/A,FALSE,"POLONNA 1"}</definedName>
    <definedName name="wrn.SUPPLY." localSheetId="8" hidden="1">{#N/A,#N/A,FALSE,"POLONNA 8";#N/A,#N/A,FALSE,"POLONNA 7";#N/A,#N/A,FALSE,"POLONNA 6";#N/A,#N/A,FALSE,"POLONNA 5 ";#N/A,#N/A,FALSE,"POLONNA 3";#N/A,#N/A,FALSE,"POLONNA 4";#N/A,#N/A,FALSE,"POLONNA 2";#N/A,#N/A,FALSE,"POLONNA 1"}</definedName>
    <definedName name="wrn.SUPPLY." localSheetId="9" hidden="1">{#N/A,#N/A,FALSE,"POLONNA 8";#N/A,#N/A,FALSE,"POLONNA 7";#N/A,#N/A,FALSE,"POLONNA 6";#N/A,#N/A,FALSE,"POLONNA 5 ";#N/A,#N/A,FALSE,"POLONNA 3";#N/A,#N/A,FALSE,"POLONNA 4";#N/A,#N/A,FALSE,"POLONNA 2";#N/A,#N/A,FALSE,"POLONNA 1"}</definedName>
    <definedName name="wrn.SUPPLY." localSheetId="10" hidden="1">{#N/A,#N/A,FALSE,"POLONNA 8";#N/A,#N/A,FALSE,"POLONNA 7";#N/A,#N/A,FALSE,"POLONNA 6";#N/A,#N/A,FALSE,"POLONNA 5 ";#N/A,#N/A,FALSE,"POLONNA 3";#N/A,#N/A,FALSE,"POLONNA 4";#N/A,#N/A,FALSE,"POLONNA 2";#N/A,#N/A,FALSE,"POLONNA 1"}</definedName>
    <definedName name="wrn.SUPPLY." localSheetId="11" hidden="1">{#N/A,#N/A,FALSE,"POLONNA 8";#N/A,#N/A,FALSE,"POLONNA 7";#N/A,#N/A,FALSE,"POLONNA 6";#N/A,#N/A,FALSE,"POLONNA 5 ";#N/A,#N/A,FALSE,"POLONNA 3";#N/A,#N/A,FALSE,"POLONNA 4";#N/A,#N/A,FALSE,"POLONNA 2";#N/A,#N/A,FALSE,"POLONNA 1"}</definedName>
    <definedName name="wrn.SUPPLY." localSheetId="1" hidden="1">{#N/A,#N/A,FALSE,"POLONNA 8";#N/A,#N/A,FALSE,"POLONNA 7";#N/A,#N/A,FALSE,"POLONNA 6";#N/A,#N/A,FALSE,"POLONNA 5 ";#N/A,#N/A,FALSE,"POLONNA 3";#N/A,#N/A,FALSE,"POLONNA 4";#N/A,#N/A,FALSE,"POLONNA 2";#N/A,#N/A,FALSE,"POLONNA 1"}</definedName>
    <definedName name="wrn.SUPPLY." localSheetId="16" hidden="1">{#N/A,#N/A,FALSE,"POLONNA 8";#N/A,#N/A,FALSE,"POLONNA 7";#N/A,#N/A,FALSE,"POLONNA 6";#N/A,#N/A,FALSE,"POLONNA 5 ";#N/A,#N/A,FALSE,"POLONNA 3";#N/A,#N/A,FALSE,"POLONNA 4";#N/A,#N/A,FALSE,"POLONNA 2";#N/A,#N/A,FALSE,"POLONNA 1"}</definedName>
    <definedName name="wrn.SUPPLY." localSheetId="2" hidden="1">{#N/A,#N/A,FALSE,"POLONNA 8";#N/A,#N/A,FALSE,"POLONNA 7";#N/A,#N/A,FALSE,"POLONNA 6";#N/A,#N/A,FALSE,"POLONNA 5 ";#N/A,#N/A,FALSE,"POLONNA 3";#N/A,#N/A,FALSE,"POLONNA 4";#N/A,#N/A,FALSE,"POLONNA 2";#N/A,#N/A,FALSE,"POLONNA 1"}</definedName>
    <definedName name="wrn.SUPPLY." hidden="1">{#N/A,#N/A,FALSE,"POLONNA 8";#N/A,#N/A,FALSE,"POLONNA 7";#N/A,#N/A,FALSE,"POLONNA 6";#N/A,#N/A,FALSE,"POLONNA 5 ";#N/A,#N/A,FALSE,"POLONNA 3";#N/A,#N/A,FALSE,"POLONNA 4";#N/A,#N/A,FALSE,"POLONNA 2";#N/A,#N/A,FALSE,"POLONNA 1"}</definedName>
    <definedName name="wrn.TOTAL." localSheetId="12"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localSheetId="13"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localSheetId="14"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localSheetId="15"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localSheetId="4"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localSheetId="5"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localSheetId="6"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localSheetId="7"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localSheetId="8"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localSheetId="9"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localSheetId="10"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localSheetId="11"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localSheetId="1"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localSheetId="16"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localSheetId="2"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w" localSheetId="12" hidden="1">{#N/A,#N/A,TRUE,"Report"}</definedName>
    <definedName name="ww" localSheetId="13" hidden="1">{#N/A,#N/A,TRUE,"Report"}</definedName>
    <definedName name="ww" localSheetId="14" hidden="1">{#N/A,#N/A,TRUE,"Report"}</definedName>
    <definedName name="ww" localSheetId="15" hidden="1">{#N/A,#N/A,TRUE,"Report"}</definedName>
    <definedName name="ww" localSheetId="4" hidden="1">{#N/A,#N/A,TRUE,"Report"}</definedName>
    <definedName name="ww" localSheetId="5" hidden="1">{#N/A,#N/A,TRUE,"Report"}</definedName>
    <definedName name="ww" localSheetId="6" hidden="1">{#N/A,#N/A,TRUE,"Report"}</definedName>
    <definedName name="ww" localSheetId="7" hidden="1">{#N/A,#N/A,TRUE,"Report"}</definedName>
    <definedName name="ww" localSheetId="8" hidden="1">{#N/A,#N/A,TRUE,"Report"}</definedName>
    <definedName name="ww" localSheetId="9" hidden="1">{#N/A,#N/A,TRUE,"Report"}</definedName>
    <definedName name="ww" localSheetId="10" hidden="1">{#N/A,#N/A,TRUE,"Report"}</definedName>
    <definedName name="ww" localSheetId="11" hidden="1">{#N/A,#N/A,TRUE,"Report"}</definedName>
    <definedName name="ww" localSheetId="1" hidden="1">{#N/A,#N/A,TRUE,"Report"}</definedName>
    <definedName name="ww" localSheetId="16" hidden="1">{#N/A,#N/A,TRUE,"Report"}</definedName>
    <definedName name="ww" localSheetId="2" hidden="1">{#N/A,#N/A,TRUE,"Report"}</definedName>
    <definedName name="ww" hidden="1">{#N/A,#N/A,TRUE,"Report"}</definedName>
    <definedName name="x" localSheetId="3">[6]lista!$A$11:$A$13</definedName>
    <definedName name="x" localSheetId="12">[6]lista!$A$11:$A$13</definedName>
    <definedName name="x" localSheetId="13">[6]lista!$A$11:$A$13</definedName>
    <definedName name="x" localSheetId="14">[6]lista!$A$11:$A$13</definedName>
    <definedName name="x" localSheetId="15">[6]lista!$A$11:$A$13</definedName>
    <definedName name="x" localSheetId="4">[6]lista!$A$11:$A$13</definedName>
    <definedName name="x" localSheetId="5">[6]lista!$A$11:$A$13</definedName>
    <definedName name="x" localSheetId="6">[6]lista!$A$11:$A$13</definedName>
    <definedName name="x" localSheetId="7">[6]lista!$A$11:$A$13</definedName>
    <definedName name="x" localSheetId="8">[6]lista!$A$11:$A$13</definedName>
    <definedName name="x" localSheetId="9">[6]lista!$A$11:$A$13</definedName>
    <definedName name="x" localSheetId="10">[6]lista!$A$11:$A$13</definedName>
    <definedName name="x" localSheetId="11">[6]lista!$A$11:$A$13</definedName>
    <definedName name="x" localSheetId="1">[6]lista!$A$11:$A$13</definedName>
    <definedName name="x" localSheetId="16">[6]lista!$A$11:$A$13</definedName>
    <definedName name="x" localSheetId="2">[6]lista!$A$11:$A$13</definedName>
    <definedName name="x">[6]lista!$A$11:$A$13</definedName>
    <definedName name="xxxx" localSheetId="12" hidden="1">{"'内訳表'!$B$2:$N$64"}</definedName>
    <definedName name="xxxx" localSheetId="13" hidden="1">{"'内訳表'!$B$2:$N$64"}</definedName>
    <definedName name="xxxx" localSheetId="14" hidden="1">{"'内訳表'!$B$2:$N$64"}</definedName>
    <definedName name="xxxx" localSheetId="15" hidden="1">{"'内訳表'!$B$2:$N$64"}</definedName>
    <definedName name="xxxx" localSheetId="4" hidden="1">{"'内訳表'!$B$2:$N$64"}</definedName>
    <definedName name="xxxx" localSheetId="5" hidden="1">{"'内訳表'!$B$2:$N$64"}</definedName>
    <definedName name="xxxx" localSheetId="6" hidden="1">{"'内訳表'!$B$2:$N$64"}</definedName>
    <definedName name="xxxx" localSheetId="7" hidden="1">{"'内訳表'!$B$2:$N$64"}</definedName>
    <definedName name="xxxx" localSheetId="8" hidden="1">{"'内訳表'!$B$2:$N$64"}</definedName>
    <definedName name="xxxx" localSheetId="9" hidden="1">{"'内訳表'!$B$2:$N$64"}</definedName>
    <definedName name="xxxx" localSheetId="10" hidden="1">{"'内訳表'!$B$2:$N$64"}</definedName>
    <definedName name="xxxx" localSheetId="11" hidden="1">{"'内訳表'!$B$2:$N$64"}</definedName>
    <definedName name="xxxx" localSheetId="1" hidden="1">{"'内訳表'!$B$2:$N$64"}</definedName>
    <definedName name="xxxx" localSheetId="16" hidden="1">{"'内訳表'!$B$2:$N$64"}</definedName>
    <definedName name="xxxx" localSheetId="2" hidden="1">{"'内訳表'!$B$2:$N$64"}</definedName>
    <definedName name="xxxx" hidden="1">{"'内訳表'!$B$2:$N$64"}</definedName>
    <definedName name="z" localSheetId="16" hidden="1">#REF!</definedName>
    <definedName name="z" localSheetId="2" hidden="1">#REF!</definedName>
    <definedName name="z" hidden="1">#REF!</definedName>
    <definedName name="Z_ABCCF9B4_4F75_4F3B_AAD2_54E1C063315C_.wvu.Cols" localSheetId="16" hidden="1">#REF!</definedName>
    <definedName name="Z_ABCCF9B4_4F75_4F3B_AAD2_54E1C063315C_.wvu.Cols" localSheetId="2" hidden="1">#REF!</definedName>
    <definedName name="Z_ABCCF9B4_4F75_4F3B_AAD2_54E1C063315C_.wvu.Cols" hidden="1">#REF!</definedName>
    <definedName name="Z_ABCCF9B4_4F75_4F3B_AAD2_54E1C063315C_.wvu.FilterData" localSheetId="16" hidden="1">#REF!</definedName>
    <definedName name="Z_ABCCF9B4_4F75_4F3B_AAD2_54E1C063315C_.wvu.FilterData" localSheetId="2" hidden="1">#REF!</definedName>
    <definedName name="Z_ABCCF9B4_4F75_4F3B_AAD2_54E1C063315C_.wvu.FilterData" hidden="1">#REF!</definedName>
    <definedName name="Z_ABCCF9B4_4F75_4F3B_AAD2_54E1C063315C_.wvu.PrintArea" localSheetId="16" hidden="1">#REF!</definedName>
    <definedName name="Z_ABCCF9B4_4F75_4F3B_AAD2_54E1C063315C_.wvu.PrintArea" localSheetId="2" hidden="1">#REF!</definedName>
    <definedName name="Z_ABCCF9B4_4F75_4F3B_AAD2_54E1C063315C_.wvu.PrintArea" hidden="1">#REF!</definedName>
    <definedName name="zzz">[21]Listas!$B$2:$B$34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76" i="50" l="1"/>
  <c r="J34" i="50"/>
  <c r="F32" i="50"/>
  <c r="F31" i="50"/>
  <c r="F30" i="50"/>
  <c r="F48" i="49"/>
  <c r="G48" i="49" s="1"/>
  <c r="H48" i="49" s="1"/>
  <c r="F34" i="49"/>
  <c r="I18" i="50" l="1"/>
  <c r="AK43" i="50" s="1"/>
  <c r="AK48" i="50"/>
  <c r="AK49" i="50"/>
  <c r="AK50" i="50"/>
  <c r="AK52" i="50"/>
  <c r="AK54" i="50"/>
  <c r="AK56" i="50"/>
  <c r="AK57" i="50"/>
  <c r="AK58" i="50"/>
  <c r="AK60" i="50"/>
  <c r="AK62" i="50"/>
  <c r="AK64" i="50"/>
  <c r="AK65" i="50"/>
  <c r="AK66" i="50"/>
  <c r="AK68" i="50"/>
  <c r="AH43" i="50"/>
  <c r="AH45" i="50"/>
  <c r="AH46" i="50"/>
  <c r="AH47" i="50"/>
  <c r="AH49" i="50"/>
  <c r="AH51" i="50"/>
  <c r="AH53" i="50"/>
  <c r="AH54" i="50"/>
  <c r="AH55" i="50"/>
  <c r="AH57" i="50"/>
  <c r="AH59" i="50"/>
  <c r="AH61" i="50"/>
  <c r="AH62" i="50"/>
  <c r="AH63" i="50"/>
  <c r="AH65" i="50"/>
  <c r="AH67" i="50"/>
  <c r="AH42" i="50"/>
  <c r="AE43" i="50"/>
  <c r="AE44" i="50"/>
  <c r="AE46" i="50"/>
  <c r="AE48" i="50"/>
  <c r="AE50" i="50"/>
  <c r="AE51" i="50"/>
  <c r="AE52" i="50"/>
  <c r="AE54" i="50"/>
  <c r="AE56" i="50"/>
  <c r="AE58" i="50"/>
  <c r="AE59" i="50"/>
  <c r="AE60" i="50"/>
  <c r="AE62" i="50"/>
  <c r="AE64" i="50"/>
  <c r="AE66" i="50"/>
  <c r="AE67" i="50"/>
  <c r="AE68" i="50"/>
  <c r="AB43" i="50"/>
  <c r="AB45" i="50"/>
  <c r="AB47" i="50"/>
  <c r="AB48" i="50"/>
  <c r="AB49" i="50"/>
  <c r="AB51" i="50"/>
  <c r="AB53" i="50"/>
  <c r="AB55" i="50"/>
  <c r="AB56" i="50"/>
  <c r="AB57" i="50"/>
  <c r="AB59" i="50"/>
  <c r="AB61" i="50"/>
  <c r="AB63" i="50"/>
  <c r="AB64" i="50"/>
  <c r="AB65" i="50"/>
  <c r="AB67" i="50"/>
  <c r="AB42" i="50"/>
  <c r="Y44" i="50"/>
  <c r="Y45" i="50"/>
  <c r="Y46" i="50"/>
  <c r="Y48" i="50"/>
  <c r="Y50" i="50"/>
  <c r="Y52" i="50"/>
  <c r="Y53" i="50"/>
  <c r="Y54" i="50"/>
  <c r="Y56" i="50"/>
  <c r="Y58" i="50"/>
  <c r="Y60" i="50"/>
  <c r="Y61" i="50"/>
  <c r="Y62" i="50"/>
  <c r="Y64" i="50"/>
  <c r="Y66" i="50"/>
  <c r="Y68" i="50"/>
  <c r="Y42" i="50"/>
  <c r="V43" i="50"/>
  <c r="V45" i="50"/>
  <c r="V47" i="50"/>
  <c r="V49" i="50"/>
  <c r="V50" i="50"/>
  <c r="V51" i="50"/>
  <c r="V53" i="50"/>
  <c r="V55" i="50"/>
  <c r="V57" i="50"/>
  <c r="V58" i="50"/>
  <c r="V59" i="50"/>
  <c r="V61" i="50"/>
  <c r="V63" i="50"/>
  <c r="V65" i="50"/>
  <c r="V66" i="50"/>
  <c r="V67" i="50"/>
  <c r="V42" i="50"/>
  <c r="S44" i="50"/>
  <c r="S46" i="50"/>
  <c r="S47" i="50"/>
  <c r="S48" i="50"/>
  <c r="S50" i="50"/>
  <c r="S52" i="50"/>
  <c r="S54" i="50"/>
  <c r="S55" i="50"/>
  <c r="S56" i="50"/>
  <c r="S58" i="50"/>
  <c r="S60" i="50"/>
  <c r="S62" i="50"/>
  <c r="S63" i="50"/>
  <c r="S64" i="50"/>
  <c r="S66" i="50"/>
  <c r="S68" i="50"/>
  <c r="O43" i="50"/>
  <c r="O44" i="50"/>
  <c r="O45" i="50"/>
  <c r="O47" i="50"/>
  <c r="O49" i="50"/>
  <c r="O51" i="50"/>
  <c r="O52" i="50"/>
  <c r="O53" i="50"/>
  <c r="O55" i="50"/>
  <c r="O57" i="50"/>
  <c r="O59" i="50"/>
  <c r="O60" i="50"/>
  <c r="O61" i="50"/>
  <c r="O63" i="50"/>
  <c r="O65" i="50"/>
  <c r="O67" i="50"/>
  <c r="O68" i="50"/>
  <c r="O42" i="50"/>
  <c r="L44" i="50"/>
  <c r="L46" i="50"/>
  <c r="L48" i="50"/>
  <c r="L49" i="50"/>
  <c r="L50" i="50"/>
  <c r="L52" i="50"/>
  <c r="L54" i="50"/>
  <c r="L56" i="50"/>
  <c r="L57" i="50"/>
  <c r="L58" i="50"/>
  <c r="L60" i="50"/>
  <c r="L62" i="50"/>
  <c r="L64" i="50"/>
  <c r="L65" i="50"/>
  <c r="L66" i="50"/>
  <c r="L68" i="50"/>
  <c r="I43" i="50"/>
  <c r="I45" i="50"/>
  <c r="I46" i="50"/>
  <c r="I47" i="50"/>
  <c r="I49" i="50"/>
  <c r="I51" i="50"/>
  <c r="I53" i="50"/>
  <c r="I54" i="50"/>
  <c r="I55" i="50"/>
  <c r="I57" i="50"/>
  <c r="I59" i="50"/>
  <c r="I61" i="50"/>
  <c r="I62" i="50"/>
  <c r="I63" i="50"/>
  <c r="I65" i="50"/>
  <c r="I67" i="50"/>
  <c r="I42" i="50"/>
  <c r="H18" i="50"/>
  <c r="G33" i="50"/>
  <c r="H33" i="50" s="1"/>
  <c r="I33" i="50" s="1"/>
  <c r="J33" i="50" s="1"/>
  <c r="F68" i="50"/>
  <c r="F67" i="50"/>
  <c r="F66" i="50"/>
  <c r="F65" i="50"/>
  <c r="F64" i="50"/>
  <c r="F63" i="50"/>
  <c r="F62" i="50"/>
  <c r="F61" i="50"/>
  <c r="F60" i="50"/>
  <c r="F59" i="50"/>
  <c r="F58" i="50"/>
  <c r="F57" i="50"/>
  <c r="F56" i="50"/>
  <c r="F55" i="50"/>
  <c r="F54" i="50"/>
  <c r="F53" i="50"/>
  <c r="F52" i="50"/>
  <c r="F51" i="50"/>
  <c r="F50" i="50"/>
  <c r="F49" i="50"/>
  <c r="F48" i="50"/>
  <c r="F47" i="50"/>
  <c r="F46" i="50"/>
  <c r="F45" i="50"/>
  <c r="F44" i="50"/>
  <c r="F43" i="50"/>
  <c r="F42" i="50"/>
  <c r="I68" i="50" l="1"/>
  <c r="I60" i="50"/>
  <c r="I52" i="50"/>
  <c r="I44" i="50"/>
  <c r="L63" i="50"/>
  <c r="L55" i="50"/>
  <c r="L47" i="50"/>
  <c r="O66" i="50"/>
  <c r="O58" i="50"/>
  <c r="O50" i="50"/>
  <c r="S42" i="50"/>
  <c r="S61" i="50"/>
  <c r="S53" i="50"/>
  <c r="S45" i="50"/>
  <c r="V64" i="50"/>
  <c r="V56" i="50"/>
  <c r="V48" i="50"/>
  <c r="Y67" i="50"/>
  <c r="Y59" i="50"/>
  <c r="Y51" i="50"/>
  <c r="Y43" i="50"/>
  <c r="AB62" i="50"/>
  <c r="AB54" i="50"/>
  <c r="AB46" i="50"/>
  <c r="AE65" i="50"/>
  <c r="AE57" i="50"/>
  <c r="AE49" i="50"/>
  <c r="AH68" i="50"/>
  <c r="AH60" i="50"/>
  <c r="AH52" i="50"/>
  <c r="AH44" i="50"/>
  <c r="AK63" i="50"/>
  <c r="AK55" i="50"/>
  <c r="AK47" i="50"/>
  <c r="AK46" i="50"/>
  <c r="I66" i="50"/>
  <c r="I58" i="50"/>
  <c r="I50" i="50"/>
  <c r="L42" i="50"/>
  <c r="L61" i="50"/>
  <c r="L53" i="50"/>
  <c r="L45" i="50"/>
  <c r="O64" i="50"/>
  <c r="O56" i="50"/>
  <c r="O48" i="50"/>
  <c r="S67" i="50"/>
  <c r="S59" i="50"/>
  <c r="S51" i="50"/>
  <c r="S43" i="50"/>
  <c r="V62" i="50"/>
  <c r="V54" i="50"/>
  <c r="V46" i="50"/>
  <c r="Y65" i="50"/>
  <c r="Y57" i="50"/>
  <c r="Y49" i="50"/>
  <c r="AB68" i="50"/>
  <c r="AB60" i="50"/>
  <c r="AB52" i="50"/>
  <c r="AB44" i="50"/>
  <c r="AE63" i="50"/>
  <c r="AE55" i="50"/>
  <c r="AE47" i="50"/>
  <c r="AH66" i="50"/>
  <c r="AH58" i="50"/>
  <c r="AH50" i="50"/>
  <c r="AK42" i="50"/>
  <c r="AK61" i="50"/>
  <c r="AK53" i="50"/>
  <c r="AK45" i="50"/>
  <c r="AK44" i="50"/>
  <c r="I64" i="50"/>
  <c r="I56" i="50"/>
  <c r="I48" i="50"/>
  <c r="L67" i="50"/>
  <c r="L59" i="50"/>
  <c r="L51" i="50"/>
  <c r="L43" i="50"/>
  <c r="O62" i="50"/>
  <c r="O54" i="50"/>
  <c r="O46" i="50"/>
  <c r="S65" i="50"/>
  <c r="S57" i="50"/>
  <c r="S49" i="50"/>
  <c r="V68" i="50"/>
  <c r="V60" i="50"/>
  <c r="V52" i="50"/>
  <c r="V44" i="50"/>
  <c r="Y63" i="50"/>
  <c r="Y55" i="50"/>
  <c r="Y47" i="50"/>
  <c r="AB66" i="50"/>
  <c r="AB58" i="50"/>
  <c r="AB50" i="50"/>
  <c r="AE42" i="50"/>
  <c r="AE61" i="50"/>
  <c r="AE53" i="50"/>
  <c r="AE45" i="50"/>
  <c r="AH64" i="50"/>
  <c r="AH56" i="50"/>
  <c r="AH48" i="50"/>
  <c r="AK67" i="50"/>
  <c r="AK59" i="50"/>
  <c r="AK51" i="50"/>
  <c r="AF68" i="50" a="1"/>
  <c r="AF68" i="50" s="1"/>
  <c r="AI68" i="50" s="1"/>
  <c r="AF67" i="50" a="1"/>
  <c r="AF67" i="50" s="1"/>
  <c r="AI67" i="50" s="1"/>
  <c r="AF66" i="50" a="1"/>
  <c r="AF66" i="50" s="1"/>
  <c r="AI66" i="50" s="1"/>
  <c r="AF65" i="50" a="1"/>
  <c r="AF65" i="50" s="1"/>
  <c r="AI65" i="50" s="1"/>
  <c r="AF64" i="50" a="1"/>
  <c r="AF64" i="50" s="1"/>
  <c r="AF63" i="50" a="1"/>
  <c r="AF63" i="50" s="1"/>
  <c r="AI63" i="50" s="1"/>
  <c r="AF62" i="50" a="1"/>
  <c r="AF62" i="50" s="1"/>
  <c r="AF61" i="50" a="1"/>
  <c r="AF61" i="50" s="1"/>
  <c r="AF60" i="50" a="1"/>
  <c r="AF60" i="50" s="1"/>
  <c r="AF59" i="50" a="1"/>
  <c r="AF59" i="50" s="1"/>
  <c r="AI59" i="50" s="1"/>
  <c r="AF58" i="50" a="1"/>
  <c r="AF58" i="50" s="1"/>
  <c r="AI58" i="50" s="1"/>
  <c r="AF57" i="50" a="1"/>
  <c r="AF57" i="50" s="1"/>
  <c r="AI57" i="50" s="1"/>
  <c r="AF56" i="50" a="1"/>
  <c r="AF56" i="50" s="1"/>
  <c r="AF55" i="50" a="1"/>
  <c r="AF55" i="50" s="1"/>
  <c r="AI55" i="50" s="1"/>
  <c r="AF54" i="50" a="1"/>
  <c r="AF54" i="50" s="1"/>
  <c r="AF53" i="50" a="1"/>
  <c r="AF53" i="50" s="1"/>
  <c r="AF52" i="50" a="1"/>
  <c r="AF52" i="50" s="1"/>
  <c r="AI52" i="50" s="1"/>
  <c r="AF51" i="50" a="1"/>
  <c r="AF51" i="50" s="1"/>
  <c r="AI51" i="50" s="1"/>
  <c r="AF50" i="50" a="1"/>
  <c r="AF50" i="50" s="1"/>
  <c r="AI50" i="50" s="1"/>
  <c r="AF49" i="50" a="1"/>
  <c r="AF49" i="50" s="1"/>
  <c r="AI49" i="50" s="1"/>
  <c r="AF48" i="50" a="1"/>
  <c r="AF48" i="50" s="1"/>
  <c r="AF47" i="50" a="1"/>
  <c r="AF47" i="50" s="1"/>
  <c r="AF46" i="50" a="1"/>
  <c r="AF46" i="50" s="1"/>
  <c r="AF45" i="50" a="1"/>
  <c r="AF45" i="50" s="1"/>
  <c r="AF44" i="50" a="1"/>
  <c r="AF44" i="50" s="1"/>
  <c r="AI44" i="50" s="1"/>
  <c r="AF43" i="50" a="1"/>
  <c r="AF43" i="50" s="1"/>
  <c r="AI43" i="50" s="1"/>
  <c r="AF42" i="50" a="1"/>
  <c r="AF42" i="50" s="1"/>
  <c r="AC68" i="50" a="1"/>
  <c r="AC68" i="50" s="1"/>
  <c r="AC67" i="50" a="1"/>
  <c r="AC67" i="50" s="1"/>
  <c r="AC66" i="50" a="1"/>
  <c r="AC66" i="50" s="1"/>
  <c r="AC65" i="50" a="1"/>
  <c r="AC65" i="50" s="1"/>
  <c r="AC64" i="50" a="1"/>
  <c r="AC64" i="50" s="1"/>
  <c r="AC63" i="50" a="1"/>
  <c r="AC63" i="50" s="1"/>
  <c r="AC62" i="50" a="1"/>
  <c r="AC62" i="50" s="1"/>
  <c r="AC61" i="50" a="1"/>
  <c r="AC61" i="50" s="1"/>
  <c r="AC60" i="50" a="1"/>
  <c r="AC60" i="50" s="1"/>
  <c r="AC59" i="50" a="1"/>
  <c r="AC59" i="50" s="1"/>
  <c r="AC58" i="50" a="1"/>
  <c r="AC58" i="50" s="1"/>
  <c r="AC57" i="50" a="1"/>
  <c r="AC57" i="50" s="1"/>
  <c r="AC56" i="50" a="1"/>
  <c r="AC56" i="50" s="1"/>
  <c r="AC55" i="50" a="1"/>
  <c r="AC55" i="50" s="1"/>
  <c r="AC54" i="50" a="1"/>
  <c r="AC54" i="50" s="1"/>
  <c r="AC53" i="50" a="1"/>
  <c r="AC53" i="50" s="1"/>
  <c r="AC52" i="50" a="1"/>
  <c r="AC52" i="50" s="1"/>
  <c r="AC51" i="50" a="1"/>
  <c r="AC51" i="50" s="1"/>
  <c r="AC50" i="50" a="1"/>
  <c r="AC50" i="50" s="1"/>
  <c r="AC49" i="50" a="1"/>
  <c r="AC49" i="50" s="1"/>
  <c r="AC48" i="50" a="1"/>
  <c r="AC48" i="50" s="1"/>
  <c r="AC47" i="50" a="1"/>
  <c r="AC47" i="50" s="1"/>
  <c r="AC46" i="50" a="1"/>
  <c r="AC46" i="50" s="1"/>
  <c r="AC45" i="50" a="1"/>
  <c r="AC45" i="50" s="1"/>
  <c r="AC44" i="50" a="1"/>
  <c r="AC44" i="50" s="1"/>
  <c r="AC43" i="50" a="1"/>
  <c r="AC43" i="50" s="1"/>
  <c r="AC42" i="50" a="1"/>
  <c r="AC42" i="50" s="1"/>
  <c r="Z43" i="50" a="1"/>
  <c r="Z43" i="50" s="1"/>
  <c r="Z44" i="50" a="1"/>
  <c r="Z44" i="50" s="1"/>
  <c r="Z45" i="50" a="1"/>
  <c r="Z45" i="50" s="1"/>
  <c r="Z46" i="50" a="1"/>
  <c r="Z46" i="50" s="1"/>
  <c r="Z47" i="50" a="1"/>
  <c r="Z47" i="50" s="1"/>
  <c r="Z48" i="50" a="1"/>
  <c r="Z48" i="50" s="1"/>
  <c r="Z49" i="50" a="1"/>
  <c r="Z49" i="50" s="1"/>
  <c r="Z50" i="50" a="1"/>
  <c r="Z50" i="50" s="1"/>
  <c r="Z51" i="50" a="1"/>
  <c r="Z51" i="50" s="1"/>
  <c r="Z52" i="50" a="1"/>
  <c r="Z52" i="50" s="1"/>
  <c r="Z53" i="50" a="1"/>
  <c r="Z53" i="50" s="1"/>
  <c r="Z54" i="50" a="1"/>
  <c r="Z54" i="50" s="1"/>
  <c r="Z55" i="50" a="1"/>
  <c r="Z55" i="50" s="1"/>
  <c r="Z56" i="50" a="1"/>
  <c r="Z56" i="50" s="1"/>
  <c r="Z57" i="50" a="1"/>
  <c r="Z57" i="50" s="1"/>
  <c r="Z58" i="50" a="1"/>
  <c r="Z58" i="50" s="1"/>
  <c r="Z59" i="50" a="1"/>
  <c r="Z59" i="50" s="1"/>
  <c r="Z60" i="50" a="1"/>
  <c r="Z60" i="50" s="1"/>
  <c r="Z61" i="50" a="1"/>
  <c r="Z61" i="50" s="1"/>
  <c r="Z62" i="50" a="1"/>
  <c r="Z62" i="50" s="1"/>
  <c r="Z63" i="50" a="1"/>
  <c r="Z63" i="50" s="1"/>
  <c r="Z64" i="50" a="1"/>
  <c r="Z64" i="50" s="1"/>
  <c r="Z65" i="50" a="1"/>
  <c r="Z65" i="50"/>
  <c r="Z66" i="50" a="1"/>
  <c r="Z66" i="50" s="1"/>
  <c r="Z67" i="50" a="1"/>
  <c r="Z67" i="50" s="1"/>
  <c r="Z68" i="50" a="1"/>
  <c r="Z68" i="50" s="1"/>
  <c r="Z42" i="50" a="1"/>
  <c r="Z42" i="50" s="1"/>
  <c r="W68" i="50"/>
  <c r="W67" i="50"/>
  <c r="W66" i="50"/>
  <c r="W65" i="50"/>
  <c r="W64" i="50"/>
  <c r="W63" i="50"/>
  <c r="W62" i="50"/>
  <c r="W61" i="50"/>
  <c r="W60" i="50"/>
  <c r="W59" i="50"/>
  <c r="W58" i="50"/>
  <c r="W57" i="50"/>
  <c r="W56" i="50"/>
  <c r="W55" i="50"/>
  <c r="W54" i="50"/>
  <c r="W53" i="50"/>
  <c r="W52" i="50"/>
  <c r="W51" i="50"/>
  <c r="W50" i="50"/>
  <c r="W49" i="50"/>
  <c r="W48" i="50"/>
  <c r="W47" i="50"/>
  <c r="W46" i="50"/>
  <c r="W45" i="50"/>
  <c r="W44" i="50"/>
  <c r="W43" i="50"/>
  <c r="W42" i="50"/>
  <c r="T68" i="50"/>
  <c r="T67" i="50"/>
  <c r="T66" i="50"/>
  <c r="T65" i="50"/>
  <c r="T64" i="50"/>
  <c r="T63" i="50"/>
  <c r="T62" i="50"/>
  <c r="T61" i="50"/>
  <c r="T60" i="50"/>
  <c r="T59" i="50"/>
  <c r="T58" i="50"/>
  <c r="T57" i="50"/>
  <c r="T56" i="50"/>
  <c r="T55" i="50"/>
  <c r="T54" i="50"/>
  <c r="T53" i="50"/>
  <c r="T52" i="50"/>
  <c r="T51" i="50"/>
  <c r="T50" i="50"/>
  <c r="T49" i="50"/>
  <c r="T48" i="50"/>
  <c r="T47" i="50"/>
  <c r="T46" i="50"/>
  <c r="T45" i="50"/>
  <c r="T44" i="50"/>
  <c r="T43" i="50"/>
  <c r="T42" i="50"/>
  <c r="Q43" i="50"/>
  <c r="Q44" i="50"/>
  <c r="Q45" i="50"/>
  <c r="Q46" i="50"/>
  <c r="Q47" i="50"/>
  <c r="Q48" i="50"/>
  <c r="Q49" i="50"/>
  <c r="Q50" i="50"/>
  <c r="Q51" i="50"/>
  <c r="Q52" i="50"/>
  <c r="Q53" i="50"/>
  <c r="Q54" i="50"/>
  <c r="Q55" i="50"/>
  <c r="Q56" i="50"/>
  <c r="Q57" i="50"/>
  <c r="Q58" i="50"/>
  <c r="Q59" i="50"/>
  <c r="Q60" i="50"/>
  <c r="Q61" i="50"/>
  <c r="Q62" i="50"/>
  <c r="Q63" i="50"/>
  <c r="Q64" i="50"/>
  <c r="Q65" i="50"/>
  <c r="Q66" i="50"/>
  <c r="Q67" i="50"/>
  <c r="Q68" i="50"/>
  <c r="Q42" i="50"/>
  <c r="AI64" i="50" l="1"/>
  <c r="AI56" i="50"/>
  <c r="AI48" i="50"/>
  <c r="AI47" i="50"/>
  <c r="AI62" i="50"/>
  <c r="AI54" i="50"/>
  <c r="AI46" i="50"/>
  <c r="AI42" i="50"/>
  <c r="AI61" i="50"/>
  <c r="AI53" i="50"/>
  <c r="AI45" i="50"/>
  <c r="AI60" i="50"/>
  <c r="S13" i="50" a="1"/>
  <c r="S13" i="50" s="1"/>
  <c r="S12" i="50" a="1"/>
  <c r="S12" i="50" s="1"/>
  <c r="S11" i="50" a="1"/>
  <c r="S11" i="50" s="1"/>
  <c r="S10" i="50" a="1"/>
  <c r="S10" i="50" s="1"/>
  <c r="S9" i="50" a="1"/>
  <c r="S9" i="50" s="1"/>
  <c r="R13" i="50" a="1"/>
  <c r="R13" i="50" s="1"/>
  <c r="R12" i="50" a="1"/>
  <c r="R12" i="50" s="1"/>
  <c r="R11" i="50" a="1"/>
  <c r="R11" i="50" s="1"/>
  <c r="R10" i="50" a="1"/>
  <c r="R10" i="50" s="1"/>
  <c r="R9" i="50" a="1"/>
  <c r="R9" i="50" s="1"/>
  <c r="Q12" i="50" a="1"/>
  <c r="Q12" i="50" s="1"/>
  <c r="T12" i="50" s="1"/>
  <c r="Q10" i="50" a="1"/>
  <c r="Q10" i="50" s="1"/>
  <c r="T10" i="50" s="1"/>
  <c r="Q11" i="50" a="1"/>
  <c r="Q11" i="50" s="1"/>
  <c r="T11" i="50" s="1"/>
  <c r="Q13" i="50" a="1"/>
  <c r="Q13" i="50" s="1"/>
  <c r="T13" i="50" s="1"/>
  <c r="Q9" i="50" a="1"/>
  <c r="Q9" i="50" s="1"/>
  <c r="T9" i="50" s="1"/>
  <c r="N12" i="50"/>
  <c r="P12" i="50"/>
  <c r="O12" i="50"/>
  <c r="P10" i="50"/>
  <c r="P11" i="50"/>
  <c r="P13" i="50"/>
  <c r="P9" i="50"/>
  <c r="O10" i="50"/>
  <c r="O11" i="50"/>
  <c r="O13" i="50"/>
  <c r="O9" i="50"/>
  <c r="N10" i="50"/>
  <c r="N11" i="50"/>
  <c r="N13" i="50"/>
  <c r="N9" i="50"/>
  <c r="AJ61" i="50" l="1"/>
  <c r="AJ47" i="50"/>
  <c r="AJ54" i="50"/>
  <c r="AJ62" i="50"/>
  <c r="AJ53" i="50"/>
  <c r="AJ46" i="50"/>
  <c r="AJ45" i="50"/>
  <c r="I19" i="50"/>
  <c r="F45" i="49"/>
  <c r="G45" i="49" s="1"/>
  <c r="H45" i="49" s="1"/>
  <c r="G30" i="50" s="1"/>
  <c r="F44" i="49"/>
  <c r="G44" i="49" s="1"/>
  <c r="H44" i="49" s="1"/>
  <c r="G29" i="50" s="1"/>
  <c r="F43" i="49"/>
  <c r="G43" i="49" s="1"/>
  <c r="H43" i="49" s="1"/>
  <c r="G28" i="50" s="1"/>
  <c r="F33" i="49"/>
  <c r="F32" i="49"/>
  <c r="AG49" i="50" l="1"/>
  <c r="X49" i="50"/>
  <c r="AA49" i="50"/>
  <c r="AJ49" i="50"/>
  <c r="AD49" i="50"/>
  <c r="R49" i="50"/>
  <c r="U49" i="50"/>
  <c r="AG57" i="50"/>
  <c r="AD57" i="50"/>
  <c r="U57" i="50"/>
  <c r="AJ57" i="50"/>
  <c r="R57" i="50"/>
  <c r="X57" i="50"/>
  <c r="AA57" i="50"/>
  <c r="AG65" i="50"/>
  <c r="AA65" i="50"/>
  <c r="AD65" i="50"/>
  <c r="U65" i="50"/>
  <c r="R65" i="50"/>
  <c r="X65" i="50"/>
  <c r="AJ65" i="50"/>
  <c r="AA58" i="50"/>
  <c r="R58" i="50"/>
  <c r="U58" i="50"/>
  <c r="AD58" i="50"/>
  <c r="AG58" i="50"/>
  <c r="X58" i="50"/>
  <c r="AJ58" i="50"/>
  <c r="U48" i="50"/>
  <c r="X48" i="50"/>
  <c r="AG48" i="50"/>
  <c r="R48" i="50"/>
  <c r="AD48" i="50"/>
  <c r="AA48" i="50"/>
  <c r="X56" i="50"/>
  <c r="U56" i="50"/>
  <c r="AA56" i="50"/>
  <c r="R56" i="50"/>
  <c r="AG56" i="50"/>
  <c r="AD56" i="50"/>
  <c r="X64" i="50"/>
  <c r="U64" i="50"/>
  <c r="R64" i="50"/>
  <c r="AD64" i="50"/>
  <c r="AG64" i="50"/>
  <c r="AA64" i="50"/>
  <c r="AA42" i="50"/>
  <c r="AD42" i="50"/>
  <c r="U42" i="50"/>
  <c r="AG42" i="50"/>
  <c r="X42" i="50"/>
  <c r="R42" i="50"/>
  <c r="AA50" i="50"/>
  <c r="U50" i="50"/>
  <c r="R50" i="50"/>
  <c r="AJ50" i="50"/>
  <c r="AD50" i="50"/>
  <c r="AG50" i="50"/>
  <c r="X50" i="50"/>
  <c r="AA66" i="50"/>
  <c r="AJ66" i="50"/>
  <c r="X66" i="50"/>
  <c r="U66" i="50"/>
  <c r="AD66" i="50"/>
  <c r="R66" i="50"/>
  <c r="AG66" i="50"/>
  <c r="AD43" i="50"/>
  <c r="X43" i="50"/>
  <c r="AG43" i="50"/>
  <c r="R43" i="50"/>
  <c r="AA43" i="50"/>
  <c r="U43" i="50"/>
  <c r="AJ43" i="50"/>
  <c r="X51" i="50"/>
  <c r="U51" i="50"/>
  <c r="AG51" i="50"/>
  <c r="AJ51" i="50"/>
  <c r="AD51" i="50"/>
  <c r="R51" i="50"/>
  <c r="AA51" i="50"/>
  <c r="X59" i="50"/>
  <c r="U59" i="50"/>
  <c r="AD59" i="50"/>
  <c r="AG59" i="50"/>
  <c r="R59" i="50"/>
  <c r="AJ59" i="50"/>
  <c r="AA59" i="50"/>
  <c r="AD67" i="50"/>
  <c r="X67" i="50"/>
  <c r="U67" i="50"/>
  <c r="AG67" i="50"/>
  <c r="AA67" i="50"/>
  <c r="AJ67" i="50"/>
  <c r="R67" i="50"/>
  <c r="AJ64" i="50"/>
  <c r="X44" i="50"/>
  <c r="AA44" i="50"/>
  <c r="AD44" i="50"/>
  <c r="AJ44" i="50"/>
  <c r="AG44" i="50"/>
  <c r="U44" i="50"/>
  <c r="R44" i="50"/>
  <c r="X52" i="50"/>
  <c r="AA52" i="50"/>
  <c r="AJ52" i="50"/>
  <c r="U52" i="50"/>
  <c r="R52" i="50"/>
  <c r="AD52" i="50"/>
  <c r="AG52" i="50"/>
  <c r="X60" i="50"/>
  <c r="AA60" i="50"/>
  <c r="AD60" i="50"/>
  <c r="U60" i="50"/>
  <c r="AG60" i="50"/>
  <c r="R60" i="50"/>
  <c r="X68" i="50"/>
  <c r="AD68" i="50"/>
  <c r="AJ68" i="50"/>
  <c r="U68" i="50"/>
  <c r="R68" i="50"/>
  <c r="AA68" i="50"/>
  <c r="AG68" i="50"/>
  <c r="U45" i="50"/>
  <c r="X45" i="50"/>
  <c r="R45" i="50"/>
  <c r="AD45" i="50"/>
  <c r="AA45" i="50"/>
  <c r="AG45" i="50"/>
  <c r="X53" i="50"/>
  <c r="U53" i="50"/>
  <c r="AA53" i="50"/>
  <c r="R53" i="50"/>
  <c r="AG53" i="50"/>
  <c r="AD53" i="50"/>
  <c r="X61" i="50"/>
  <c r="U61" i="50"/>
  <c r="AD61" i="50"/>
  <c r="AA61" i="50"/>
  <c r="AG61" i="50"/>
  <c r="R61" i="50"/>
  <c r="AJ56" i="50"/>
  <c r="AJ60" i="50"/>
  <c r="AD46" i="50"/>
  <c r="R46" i="50"/>
  <c r="U46" i="50"/>
  <c r="X46" i="50"/>
  <c r="AG46" i="50"/>
  <c r="AA46" i="50"/>
  <c r="R54" i="50"/>
  <c r="AD54" i="50"/>
  <c r="U54" i="50"/>
  <c r="AG54" i="50"/>
  <c r="AA54" i="50"/>
  <c r="X54" i="50"/>
  <c r="AD62" i="50"/>
  <c r="R62" i="50"/>
  <c r="U62" i="50"/>
  <c r="X62" i="50"/>
  <c r="AG62" i="50"/>
  <c r="AA62" i="50"/>
  <c r="U47" i="50"/>
  <c r="R47" i="50"/>
  <c r="X47" i="50"/>
  <c r="AA47" i="50"/>
  <c r="AG47" i="50"/>
  <c r="AD47" i="50"/>
  <c r="R55" i="50"/>
  <c r="U55" i="50"/>
  <c r="AA55" i="50"/>
  <c r="X55" i="50"/>
  <c r="AJ55" i="50"/>
  <c r="AG55" i="50"/>
  <c r="AD55" i="50"/>
  <c r="U63" i="50"/>
  <c r="R63" i="50"/>
  <c r="X63" i="50"/>
  <c r="AJ63" i="50"/>
  <c r="AG63" i="50"/>
  <c r="AD63" i="50"/>
  <c r="AA63" i="50"/>
  <c r="AJ48" i="50"/>
  <c r="AJ42" i="50"/>
  <c r="H45" i="50"/>
  <c r="N45" i="50"/>
  <c r="K45" i="50"/>
  <c r="H53" i="50"/>
  <c r="N53" i="50"/>
  <c r="K53" i="50"/>
  <c r="H61" i="50"/>
  <c r="N61" i="50"/>
  <c r="K61" i="50"/>
  <c r="H62" i="50"/>
  <c r="N62" i="50"/>
  <c r="K62" i="50"/>
  <c r="H47" i="50"/>
  <c r="N47" i="50"/>
  <c r="K47" i="50"/>
  <c r="H55" i="50"/>
  <c r="N55" i="50"/>
  <c r="K55" i="50"/>
  <c r="H63" i="50"/>
  <c r="N63" i="50"/>
  <c r="K63" i="50"/>
  <c r="H46" i="50"/>
  <c r="N46" i="50"/>
  <c r="K46" i="50"/>
  <c r="H48" i="50"/>
  <c r="N48" i="50"/>
  <c r="K48" i="50"/>
  <c r="H56" i="50"/>
  <c r="N56" i="50"/>
  <c r="K56" i="50"/>
  <c r="H64" i="50"/>
  <c r="N64" i="50"/>
  <c r="K64" i="50"/>
  <c r="H49" i="50"/>
  <c r="N49" i="50"/>
  <c r="K49" i="50"/>
  <c r="H57" i="50"/>
  <c r="N57" i="50"/>
  <c r="K57" i="50"/>
  <c r="H65" i="50"/>
  <c r="N65" i="50"/>
  <c r="K65" i="50"/>
  <c r="H54" i="50"/>
  <c r="N54" i="50"/>
  <c r="K54" i="50"/>
  <c r="H42" i="50"/>
  <c r="N42" i="50"/>
  <c r="K42" i="50"/>
  <c r="H50" i="50"/>
  <c r="N50" i="50"/>
  <c r="K50" i="50"/>
  <c r="H58" i="50"/>
  <c r="N58" i="50"/>
  <c r="K58" i="50"/>
  <c r="H66" i="50"/>
  <c r="N66" i="50"/>
  <c r="K66" i="50"/>
  <c r="H43" i="50"/>
  <c r="N43" i="50"/>
  <c r="K43" i="50"/>
  <c r="H51" i="50"/>
  <c r="N51" i="50"/>
  <c r="K51" i="50"/>
  <c r="H59" i="50"/>
  <c r="N59" i="50"/>
  <c r="K59" i="50"/>
  <c r="H67" i="50"/>
  <c r="N67" i="50"/>
  <c r="K67" i="50"/>
  <c r="H44" i="50"/>
  <c r="N44" i="50"/>
  <c r="K44" i="50"/>
  <c r="H52" i="50"/>
  <c r="N52" i="50"/>
  <c r="K52" i="50"/>
  <c r="H60" i="50"/>
  <c r="N60" i="50"/>
  <c r="K60" i="50"/>
  <c r="H68" i="50"/>
  <c r="N68" i="50"/>
  <c r="K68" i="50"/>
  <c r="H30" i="50"/>
  <c r="I30" i="50" s="1"/>
  <c r="J30" i="50" s="1"/>
  <c r="H28" i="50"/>
  <c r="I28" i="50" s="1"/>
  <c r="J28" i="50" s="1"/>
  <c r="H29" i="50"/>
  <c r="I29" i="50" s="1"/>
  <c r="J29" i="50" s="1"/>
  <c r="F47" i="49"/>
  <c r="G47" i="49" s="1"/>
  <c r="H47" i="49" s="1"/>
  <c r="G32" i="50" s="1"/>
  <c r="H32" i="50" s="1"/>
  <c r="I32" i="50" s="1"/>
  <c r="J32" i="50" s="1"/>
  <c r="F46" i="49"/>
  <c r="G46" i="49" s="1"/>
  <c r="H46" i="49" s="1"/>
  <c r="G31" i="50" s="1"/>
  <c r="H31" i="50" s="1"/>
  <c r="I31" i="50" s="1"/>
  <c r="J31" i="50" s="1"/>
  <c r="AE69" i="50" l="1"/>
  <c r="AB69" i="50"/>
  <c r="AH69" i="50"/>
  <c r="V69" i="50"/>
  <c r="AK69" i="50"/>
  <c r="E77" i="50" s="1"/>
  <c r="L69" i="50"/>
  <c r="S69" i="50"/>
  <c r="Y69" i="50"/>
  <c r="O69" i="50"/>
  <c r="I69" i="50" l="1"/>
  <c r="E78" i="50"/>
  <c r="I82" i="46"/>
  <c r="H82" i="46"/>
  <c r="G82" i="46"/>
  <c r="I31" i="47"/>
  <c r="H31" i="47"/>
  <c r="G31" i="47"/>
  <c r="N80" i="47"/>
  <c r="O80" i="47" s="1"/>
  <c r="L80" i="47"/>
  <c r="M80" i="47" s="1"/>
  <c r="J80" i="47"/>
  <c r="K80" i="47" s="1"/>
  <c r="N79" i="47"/>
  <c r="O79" i="47" s="1"/>
  <c r="L79" i="47"/>
  <c r="M79" i="47" s="1"/>
  <c r="J79" i="47"/>
  <c r="K79" i="47" s="1"/>
  <c r="N78" i="47"/>
  <c r="O78" i="47" s="1"/>
  <c r="L78" i="47"/>
  <c r="M78" i="47" s="1"/>
  <c r="J78" i="47"/>
  <c r="K78" i="47" s="1"/>
  <c r="N77" i="47"/>
  <c r="O77" i="47" s="1"/>
  <c r="L77" i="47"/>
  <c r="M77" i="47" s="1"/>
  <c r="J77" i="47"/>
  <c r="K77" i="47" s="1"/>
  <c r="N76" i="47"/>
  <c r="O76" i="47" s="1"/>
  <c r="L76" i="47"/>
  <c r="M76" i="47" s="1"/>
  <c r="J76" i="47"/>
  <c r="K76" i="47" s="1"/>
  <c r="N75" i="47"/>
  <c r="O75" i="47" s="1"/>
  <c r="L75" i="47"/>
  <c r="M75" i="47" s="1"/>
  <c r="J75" i="47"/>
  <c r="K75" i="47" s="1"/>
  <c r="P75" i="47" s="1"/>
  <c r="N74" i="47"/>
  <c r="O74" i="47" s="1"/>
  <c r="L74" i="47"/>
  <c r="M74" i="47" s="1"/>
  <c r="J74" i="47"/>
  <c r="K74" i="47" s="1"/>
  <c r="N73" i="47"/>
  <c r="O73" i="47" s="1"/>
  <c r="L73" i="47"/>
  <c r="M73" i="47" s="1"/>
  <c r="J73" i="47"/>
  <c r="K73" i="47" s="1"/>
  <c r="N72" i="47"/>
  <c r="O72" i="47" s="1"/>
  <c r="L72" i="47"/>
  <c r="M72" i="47" s="1"/>
  <c r="J72" i="47"/>
  <c r="K72" i="47" s="1"/>
  <c r="N71" i="47"/>
  <c r="O71" i="47" s="1"/>
  <c r="L71" i="47"/>
  <c r="M71" i="47" s="1"/>
  <c r="J71" i="47"/>
  <c r="K71" i="47" s="1"/>
  <c r="N70" i="47"/>
  <c r="O70" i="47" s="1"/>
  <c r="L70" i="47"/>
  <c r="M70" i="47" s="1"/>
  <c r="J70" i="47"/>
  <c r="K70" i="47" s="1"/>
  <c r="N69" i="47"/>
  <c r="O69" i="47" s="1"/>
  <c r="L69" i="47"/>
  <c r="M69" i="47" s="1"/>
  <c r="J69" i="47"/>
  <c r="K69" i="47" s="1"/>
  <c r="N68" i="47"/>
  <c r="O68" i="47" s="1"/>
  <c r="L68" i="47"/>
  <c r="M68" i="47" s="1"/>
  <c r="J68" i="47"/>
  <c r="K68" i="47" s="1"/>
  <c r="N67" i="47"/>
  <c r="O67" i="47" s="1"/>
  <c r="L67" i="47"/>
  <c r="M67" i="47" s="1"/>
  <c r="J67" i="47"/>
  <c r="K67" i="47" s="1"/>
  <c r="P67" i="47" s="1"/>
  <c r="N66" i="47"/>
  <c r="O66" i="47" s="1"/>
  <c r="L66" i="47"/>
  <c r="M66" i="47" s="1"/>
  <c r="J66" i="47"/>
  <c r="K66" i="47" s="1"/>
  <c r="P66" i="47" s="1"/>
  <c r="N65" i="47"/>
  <c r="O65" i="47" s="1"/>
  <c r="L65" i="47"/>
  <c r="M65" i="47" s="1"/>
  <c r="J65" i="47"/>
  <c r="K65" i="47" s="1"/>
  <c r="N64" i="47"/>
  <c r="O64" i="47" s="1"/>
  <c r="L64" i="47"/>
  <c r="M64" i="47" s="1"/>
  <c r="J64" i="47"/>
  <c r="K64" i="47" s="1"/>
  <c r="N63" i="47"/>
  <c r="O63" i="47" s="1"/>
  <c r="L63" i="47"/>
  <c r="M63" i="47" s="1"/>
  <c r="J63" i="47"/>
  <c r="K63" i="47" s="1"/>
  <c r="N62" i="47"/>
  <c r="O62" i="47" s="1"/>
  <c r="L62" i="47"/>
  <c r="M62" i="47" s="1"/>
  <c r="J62" i="47"/>
  <c r="K62" i="47" s="1"/>
  <c r="N61" i="47"/>
  <c r="O61" i="47" s="1"/>
  <c r="F61" i="47"/>
  <c r="L61" i="47" s="1"/>
  <c r="M61" i="47" s="1"/>
  <c r="N60" i="47"/>
  <c r="O60" i="47" s="1"/>
  <c r="F60" i="47"/>
  <c r="L60" i="47" s="1"/>
  <c r="M60" i="47" s="1"/>
  <c r="N59" i="47"/>
  <c r="O59" i="47" s="1"/>
  <c r="L59" i="47"/>
  <c r="M59" i="47" s="1"/>
  <c r="J59" i="47"/>
  <c r="K59" i="47" s="1"/>
  <c r="N58" i="47"/>
  <c r="O58" i="47" s="1"/>
  <c r="L58" i="47"/>
  <c r="M58" i="47" s="1"/>
  <c r="J58" i="47"/>
  <c r="K58" i="47" s="1"/>
  <c r="N50" i="47"/>
  <c r="O50" i="47" s="1"/>
  <c r="L50" i="47"/>
  <c r="M50" i="47" s="1"/>
  <c r="H50" i="47"/>
  <c r="J50" i="47" s="1"/>
  <c r="R50" i="47" s="1"/>
  <c r="S50" i="47" s="1"/>
  <c r="G50" i="47"/>
  <c r="I50" i="47" s="1"/>
  <c r="H49" i="47"/>
  <c r="N49" i="47" s="1"/>
  <c r="O49" i="47" s="1"/>
  <c r="G49" i="47"/>
  <c r="I49" i="47" s="1"/>
  <c r="H48" i="47"/>
  <c r="N48" i="47" s="1"/>
  <c r="O48" i="47" s="1"/>
  <c r="G48" i="47"/>
  <c r="I48" i="47" s="1"/>
  <c r="N47" i="47"/>
  <c r="O47" i="47" s="1"/>
  <c r="L47" i="47"/>
  <c r="M47" i="47" s="1"/>
  <c r="J47" i="47"/>
  <c r="R47" i="47" s="1"/>
  <c r="S47" i="47" s="1"/>
  <c r="H47" i="47"/>
  <c r="G47" i="47"/>
  <c r="I47" i="47" s="1"/>
  <c r="P47" i="47" s="1"/>
  <c r="Q47" i="47" s="1"/>
  <c r="H46" i="47"/>
  <c r="N46" i="47" s="1"/>
  <c r="O46" i="47" s="1"/>
  <c r="G46" i="47"/>
  <c r="I46" i="47" s="1"/>
  <c r="P46" i="47" s="1"/>
  <c r="Q46" i="47" s="1"/>
  <c r="N45" i="47"/>
  <c r="O45" i="47" s="1"/>
  <c r="H45" i="47"/>
  <c r="J45" i="47" s="1"/>
  <c r="R45" i="47" s="1"/>
  <c r="S45" i="47" s="1"/>
  <c r="G45" i="47"/>
  <c r="I45" i="47" s="1"/>
  <c r="P45" i="47" s="1"/>
  <c r="Q45" i="47" s="1"/>
  <c r="M36" i="47"/>
  <c r="L36" i="47"/>
  <c r="K36" i="47"/>
  <c r="J36" i="47"/>
  <c r="I36" i="47"/>
  <c r="H35" i="47"/>
  <c r="E79" i="50" l="1"/>
  <c r="E80" i="50" s="1"/>
  <c r="E81" i="50" s="1"/>
  <c r="P58" i="47"/>
  <c r="P80" i="47"/>
  <c r="P74" i="47"/>
  <c r="P64" i="47"/>
  <c r="P79" i="47"/>
  <c r="P68" i="47"/>
  <c r="P65" i="47"/>
  <c r="P72" i="47"/>
  <c r="P77" i="47"/>
  <c r="P63" i="47"/>
  <c r="P70" i="47"/>
  <c r="J49" i="47"/>
  <c r="R49" i="47" s="1"/>
  <c r="S49" i="47" s="1"/>
  <c r="J46" i="47"/>
  <c r="R46" i="47" s="1"/>
  <c r="S46" i="47" s="1"/>
  <c r="V46" i="47" s="1"/>
  <c r="L49" i="47"/>
  <c r="M49" i="47" s="1"/>
  <c r="J48" i="47"/>
  <c r="R48" i="47" s="1"/>
  <c r="S48" i="47" s="1"/>
  <c r="L48" i="47"/>
  <c r="M48" i="47" s="1"/>
  <c r="L46" i="47"/>
  <c r="M46" i="47" s="1"/>
  <c r="L45" i="47"/>
  <c r="M45" i="47" s="1"/>
  <c r="K46" i="47"/>
  <c r="T46" i="47" s="1"/>
  <c r="U46" i="47" s="1"/>
  <c r="K47" i="47"/>
  <c r="T47" i="47" s="1"/>
  <c r="U47" i="47" s="1"/>
  <c r="P50" i="47"/>
  <c r="Q50" i="47" s="1"/>
  <c r="K50" i="47"/>
  <c r="T50" i="47" s="1"/>
  <c r="U50" i="47" s="1"/>
  <c r="V50" i="47" s="1"/>
  <c r="V47" i="47"/>
  <c r="P59" i="47"/>
  <c r="P49" i="47"/>
  <c r="Q49" i="47" s="1"/>
  <c r="K49" i="47"/>
  <c r="T49" i="47" s="1"/>
  <c r="U49" i="47" s="1"/>
  <c r="P71" i="47"/>
  <c r="P73" i="47"/>
  <c r="K45" i="47"/>
  <c r="T45" i="47" s="1"/>
  <c r="U45" i="47" s="1"/>
  <c r="P48" i="47"/>
  <c r="Q48" i="47" s="1"/>
  <c r="V48" i="47" s="1"/>
  <c r="K48" i="47"/>
  <c r="T48" i="47" s="1"/>
  <c r="U48" i="47" s="1"/>
  <c r="P62" i="47"/>
  <c r="P69" i="47"/>
  <c r="P78" i="47"/>
  <c r="P76" i="47"/>
  <c r="J61" i="47"/>
  <c r="K61" i="47" s="1"/>
  <c r="P61" i="47" s="1"/>
  <c r="J60" i="47"/>
  <c r="K60" i="47" s="1"/>
  <c r="P60" i="47" s="1"/>
  <c r="E89" i="47" l="1"/>
  <c r="V49" i="47"/>
  <c r="V45" i="47"/>
  <c r="V51" i="47"/>
  <c r="E88" i="47"/>
  <c r="E90" i="47" s="1"/>
  <c r="P81" i="47"/>
  <c r="E91" i="47" l="1"/>
  <c r="E92" i="47" s="1"/>
  <c r="E93" i="47" s="1"/>
  <c r="J80" i="46" l="1"/>
  <c r="K80" i="46" s="1"/>
  <c r="H80" i="46"/>
  <c r="L80" i="46" s="1"/>
  <c r="M80" i="46" s="1"/>
  <c r="J79" i="46"/>
  <c r="K79" i="46" s="1"/>
  <c r="H79" i="46"/>
  <c r="L79" i="46" s="1"/>
  <c r="M79" i="46" s="1"/>
  <c r="J78" i="46"/>
  <c r="K78" i="46" s="1"/>
  <c r="H78" i="46"/>
  <c r="L78" i="46" s="1"/>
  <c r="M78" i="46" s="1"/>
  <c r="L77" i="46"/>
  <c r="M77" i="46" s="1"/>
  <c r="J77" i="46"/>
  <c r="K77" i="46" s="1"/>
  <c r="P77" i="46" s="1"/>
  <c r="I77" i="46"/>
  <c r="N77" i="46" s="1"/>
  <c r="O77" i="46" s="1"/>
  <c r="H77" i="46"/>
  <c r="N76" i="46"/>
  <c r="O76" i="46" s="1"/>
  <c r="L76" i="46"/>
  <c r="M76" i="46" s="1"/>
  <c r="K76" i="46"/>
  <c r="J76" i="46"/>
  <c r="H76" i="46"/>
  <c r="I76" i="46" s="1"/>
  <c r="L75" i="46"/>
  <c r="M75" i="46" s="1"/>
  <c r="K75" i="46"/>
  <c r="J75" i="46"/>
  <c r="H75" i="46"/>
  <c r="I75" i="46" s="1"/>
  <c r="N75" i="46" s="1"/>
  <c r="O75" i="46" s="1"/>
  <c r="J74" i="46"/>
  <c r="K74" i="46" s="1"/>
  <c r="H74" i="46"/>
  <c r="I74" i="46" s="1"/>
  <c r="N74" i="46" s="1"/>
  <c r="O74" i="46" s="1"/>
  <c r="J73" i="46"/>
  <c r="K73" i="46" s="1"/>
  <c r="H73" i="46"/>
  <c r="L73" i="46" s="1"/>
  <c r="M73" i="46" s="1"/>
  <c r="J72" i="46"/>
  <c r="K72" i="46" s="1"/>
  <c r="H72" i="46"/>
  <c r="L72" i="46" s="1"/>
  <c r="M72" i="46" s="1"/>
  <c r="O71" i="46"/>
  <c r="K71" i="46"/>
  <c r="P71" i="46" s="1"/>
  <c r="J71" i="46"/>
  <c r="I71" i="46"/>
  <c r="N71" i="46" s="1"/>
  <c r="H71" i="46"/>
  <c r="L71" i="46" s="1"/>
  <c r="M71" i="46" s="1"/>
  <c r="L70" i="46"/>
  <c r="M70" i="46" s="1"/>
  <c r="J70" i="46"/>
  <c r="K70" i="46" s="1"/>
  <c r="P70" i="46" s="1"/>
  <c r="I70" i="46"/>
  <c r="N70" i="46" s="1"/>
  <c r="O70" i="46" s="1"/>
  <c r="H70" i="46"/>
  <c r="M69" i="46"/>
  <c r="L69" i="46"/>
  <c r="J69" i="46"/>
  <c r="K69" i="46" s="1"/>
  <c r="P69" i="46" s="1"/>
  <c r="I69" i="46"/>
  <c r="N69" i="46" s="1"/>
  <c r="O69" i="46" s="1"/>
  <c r="H69" i="46"/>
  <c r="N68" i="46"/>
  <c r="O68" i="46" s="1"/>
  <c r="L68" i="46"/>
  <c r="M68" i="46" s="1"/>
  <c r="J68" i="46"/>
  <c r="K68" i="46" s="1"/>
  <c r="P68" i="46" s="1"/>
  <c r="H68" i="46"/>
  <c r="I68" i="46" s="1"/>
  <c r="N67" i="46"/>
  <c r="O67" i="46" s="1"/>
  <c r="M67" i="46"/>
  <c r="L67" i="46"/>
  <c r="K67" i="46"/>
  <c r="J67" i="46"/>
  <c r="H67" i="46"/>
  <c r="I67" i="46" s="1"/>
  <c r="N66" i="46"/>
  <c r="O66" i="46" s="1"/>
  <c r="M66" i="46"/>
  <c r="L66" i="46"/>
  <c r="J66" i="46"/>
  <c r="K66" i="46" s="1"/>
  <c r="H66" i="46"/>
  <c r="I66" i="46" s="1"/>
  <c r="M65" i="46"/>
  <c r="J65" i="46"/>
  <c r="K65" i="46" s="1"/>
  <c r="H65" i="46"/>
  <c r="L65" i="46" s="1"/>
  <c r="J64" i="46"/>
  <c r="K64" i="46" s="1"/>
  <c r="H64" i="46"/>
  <c r="L64" i="46" s="1"/>
  <c r="M64" i="46" s="1"/>
  <c r="J63" i="46"/>
  <c r="K63" i="46" s="1"/>
  <c r="H63" i="46"/>
  <c r="L63" i="46" s="1"/>
  <c r="M63" i="46" s="1"/>
  <c r="K62" i="46"/>
  <c r="J62" i="46"/>
  <c r="H62" i="46"/>
  <c r="L62" i="46" s="1"/>
  <c r="M62" i="46" s="1"/>
  <c r="N61" i="46"/>
  <c r="O61" i="46" s="1"/>
  <c r="L61" i="46"/>
  <c r="M61" i="46" s="1"/>
  <c r="J61" i="46"/>
  <c r="K61" i="46" s="1"/>
  <c r="I61" i="46"/>
  <c r="H61" i="46"/>
  <c r="F61" i="46"/>
  <c r="N60" i="46"/>
  <c r="O60" i="46" s="1"/>
  <c r="H60" i="46"/>
  <c r="I60" i="46" s="1"/>
  <c r="F60" i="46"/>
  <c r="J60" i="46" s="1"/>
  <c r="K60" i="46" s="1"/>
  <c r="J59" i="46"/>
  <c r="K59" i="46" s="1"/>
  <c r="H59" i="46"/>
  <c r="L59" i="46" s="1"/>
  <c r="M59" i="46" s="1"/>
  <c r="N58" i="46"/>
  <c r="O58" i="46" s="1"/>
  <c r="K58" i="46"/>
  <c r="P58" i="46" s="1"/>
  <c r="J58" i="46"/>
  <c r="I58" i="46"/>
  <c r="H58" i="46"/>
  <c r="L58" i="46" s="1"/>
  <c r="M58" i="46" s="1"/>
  <c r="H50" i="46"/>
  <c r="N50" i="46" s="1"/>
  <c r="O50" i="46" s="1"/>
  <c r="G50" i="46"/>
  <c r="L50" i="46" s="1"/>
  <c r="M50" i="46" s="1"/>
  <c r="P49" i="46"/>
  <c r="Q49" i="46" s="1"/>
  <c r="N49" i="46"/>
  <c r="O49" i="46" s="1"/>
  <c r="K49" i="46"/>
  <c r="T49" i="46" s="1"/>
  <c r="U49" i="46" s="1"/>
  <c r="J49" i="46"/>
  <c r="R49" i="46" s="1"/>
  <c r="S49" i="46" s="1"/>
  <c r="I49" i="46"/>
  <c r="H49" i="46"/>
  <c r="G49" i="46"/>
  <c r="L49" i="46" s="1"/>
  <c r="M49" i="46" s="1"/>
  <c r="H48" i="46"/>
  <c r="N48" i="46" s="1"/>
  <c r="O48" i="46" s="1"/>
  <c r="G48" i="46"/>
  <c r="L48" i="46" s="1"/>
  <c r="M48" i="46" s="1"/>
  <c r="P47" i="46"/>
  <c r="Q47" i="46" s="1"/>
  <c r="N47" i="46"/>
  <c r="O47" i="46" s="1"/>
  <c r="K47" i="46"/>
  <c r="T47" i="46" s="1"/>
  <c r="U47" i="46" s="1"/>
  <c r="J47" i="46"/>
  <c r="R47" i="46" s="1"/>
  <c r="S47" i="46" s="1"/>
  <c r="I47" i="46"/>
  <c r="H47" i="46"/>
  <c r="G47" i="46"/>
  <c r="L47" i="46" s="1"/>
  <c r="M47" i="46" s="1"/>
  <c r="H46" i="46"/>
  <c r="N46" i="46" s="1"/>
  <c r="O46" i="46" s="1"/>
  <c r="G46" i="46"/>
  <c r="L46" i="46" s="1"/>
  <c r="M46" i="46" s="1"/>
  <c r="P45" i="46"/>
  <c r="Q45" i="46" s="1"/>
  <c r="N45" i="46"/>
  <c r="O45" i="46" s="1"/>
  <c r="K45" i="46"/>
  <c r="T45" i="46" s="1"/>
  <c r="U45" i="46" s="1"/>
  <c r="J45" i="46"/>
  <c r="R45" i="46" s="1"/>
  <c r="S45" i="46" s="1"/>
  <c r="I45" i="46"/>
  <c r="H45" i="46"/>
  <c r="G45" i="46"/>
  <c r="L45" i="46" s="1"/>
  <c r="M45" i="46" s="1"/>
  <c r="M36" i="46"/>
  <c r="L36" i="46"/>
  <c r="K36" i="46"/>
  <c r="J36" i="46"/>
  <c r="I36" i="46"/>
  <c r="H35" i="46"/>
  <c r="P65" i="46" l="1"/>
  <c r="V45" i="46"/>
  <c r="P73" i="46"/>
  <c r="V47" i="46"/>
  <c r="V49" i="46"/>
  <c r="P74" i="46"/>
  <c r="P59" i="46"/>
  <c r="P61" i="46"/>
  <c r="P66" i="46"/>
  <c r="P75" i="46"/>
  <c r="I79" i="46"/>
  <c r="N79" i="46" s="1"/>
  <c r="O79" i="46" s="1"/>
  <c r="P79" i="46" s="1"/>
  <c r="I48" i="46"/>
  <c r="L74" i="46"/>
  <c r="M74" i="46" s="1"/>
  <c r="J46" i="46"/>
  <c r="R46" i="46" s="1"/>
  <c r="S46" i="46" s="1"/>
  <c r="J48" i="46"/>
  <c r="R48" i="46" s="1"/>
  <c r="S48" i="46" s="1"/>
  <c r="J50" i="46"/>
  <c r="R50" i="46" s="1"/>
  <c r="S50" i="46" s="1"/>
  <c r="I63" i="46"/>
  <c r="N63" i="46" s="1"/>
  <c r="O63" i="46" s="1"/>
  <c r="P63" i="46" s="1"/>
  <c r="I78" i="46"/>
  <c r="N78" i="46" s="1"/>
  <c r="O78" i="46" s="1"/>
  <c r="P78" i="46" s="1"/>
  <c r="I62" i="46"/>
  <c r="N62" i="46" s="1"/>
  <c r="O62" i="46" s="1"/>
  <c r="P62" i="46" s="1"/>
  <c r="I72" i="46"/>
  <c r="N72" i="46" s="1"/>
  <c r="O72" i="46" s="1"/>
  <c r="P72" i="46" s="1"/>
  <c r="I59" i="46"/>
  <c r="N59" i="46" s="1"/>
  <c r="O59" i="46" s="1"/>
  <c r="P76" i="46"/>
  <c r="I64" i="46"/>
  <c r="N64" i="46" s="1"/>
  <c r="O64" i="46" s="1"/>
  <c r="P64" i="46" s="1"/>
  <c r="I46" i="46"/>
  <c r="I50" i="46"/>
  <c r="I73" i="46"/>
  <c r="N73" i="46" s="1"/>
  <c r="O73" i="46" s="1"/>
  <c r="L60" i="46"/>
  <c r="M60" i="46" s="1"/>
  <c r="P60" i="46" s="1"/>
  <c r="P67" i="46"/>
  <c r="I65" i="46"/>
  <c r="N65" i="46" s="1"/>
  <c r="O65" i="46" s="1"/>
  <c r="I80" i="46"/>
  <c r="N80" i="46" s="1"/>
  <c r="O80" i="46" s="1"/>
  <c r="P80" i="46" s="1"/>
  <c r="E89" i="46" l="1"/>
  <c r="P48" i="46"/>
  <c r="Q48" i="46" s="1"/>
  <c r="V48" i="46" s="1"/>
  <c r="K48" i="46"/>
  <c r="T48" i="46" s="1"/>
  <c r="U48" i="46" s="1"/>
  <c r="P50" i="46"/>
  <c r="Q50" i="46" s="1"/>
  <c r="K50" i="46"/>
  <c r="T50" i="46" s="1"/>
  <c r="U50" i="46" s="1"/>
  <c r="P81" i="46"/>
  <c r="P46" i="46"/>
  <c r="Q46" i="46" s="1"/>
  <c r="K46" i="46"/>
  <c r="T46" i="46" s="1"/>
  <c r="U46" i="46" s="1"/>
  <c r="V46" i="46" l="1"/>
  <c r="V50" i="46"/>
  <c r="E88" i="46" l="1"/>
  <c r="E90" i="46" s="1"/>
  <c r="V51" i="46"/>
  <c r="E91" i="46" l="1"/>
  <c r="E92" i="46" s="1"/>
  <c r="E93" i="46" s="1"/>
  <c r="I82" i="45" l="1"/>
  <c r="H82" i="45"/>
  <c r="G82" i="45"/>
  <c r="I31" i="45"/>
  <c r="H31" i="45"/>
  <c r="G31" i="45"/>
  <c r="L80" i="45"/>
  <c r="M80" i="45" s="1"/>
  <c r="J80" i="45"/>
  <c r="K80" i="45" s="1"/>
  <c r="H80" i="45"/>
  <c r="I80" i="45" s="1"/>
  <c r="N80" i="45" s="1"/>
  <c r="O80" i="45" s="1"/>
  <c r="L79" i="45"/>
  <c r="M79" i="45" s="1"/>
  <c r="J79" i="45"/>
  <c r="K79" i="45" s="1"/>
  <c r="P79" i="45" s="1"/>
  <c r="I79" i="45"/>
  <c r="N79" i="45" s="1"/>
  <c r="O79" i="45" s="1"/>
  <c r="H79" i="45"/>
  <c r="L78" i="45"/>
  <c r="M78" i="45" s="1"/>
  <c r="J78" i="45"/>
  <c r="K78" i="45" s="1"/>
  <c r="H78" i="45"/>
  <c r="I78" i="45" s="1"/>
  <c r="N78" i="45" s="1"/>
  <c r="O78" i="45" s="1"/>
  <c r="N77" i="45"/>
  <c r="O77" i="45" s="1"/>
  <c r="L77" i="45"/>
  <c r="M77" i="45" s="1"/>
  <c r="K77" i="45"/>
  <c r="J77" i="45"/>
  <c r="H77" i="45"/>
  <c r="I77" i="45" s="1"/>
  <c r="N76" i="45"/>
  <c r="O76" i="45" s="1"/>
  <c r="J76" i="45"/>
  <c r="K76" i="45" s="1"/>
  <c r="H76" i="45"/>
  <c r="I76" i="45" s="1"/>
  <c r="M75" i="45"/>
  <c r="J75" i="45"/>
  <c r="K75" i="45" s="1"/>
  <c r="H75" i="45"/>
  <c r="L75" i="45" s="1"/>
  <c r="J74" i="45"/>
  <c r="K74" i="45" s="1"/>
  <c r="I74" i="45"/>
  <c r="N74" i="45" s="1"/>
  <c r="O74" i="45" s="1"/>
  <c r="H74" i="45"/>
  <c r="L74" i="45" s="1"/>
  <c r="M74" i="45" s="1"/>
  <c r="J73" i="45"/>
  <c r="K73" i="45" s="1"/>
  <c r="H73" i="45"/>
  <c r="L73" i="45" s="1"/>
  <c r="M73" i="45" s="1"/>
  <c r="J72" i="45"/>
  <c r="K72" i="45" s="1"/>
  <c r="H72" i="45"/>
  <c r="L72" i="45" s="1"/>
  <c r="M72" i="45" s="1"/>
  <c r="L71" i="45"/>
  <c r="M71" i="45" s="1"/>
  <c r="K71" i="45"/>
  <c r="J71" i="45"/>
  <c r="I71" i="45"/>
  <c r="N71" i="45" s="1"/>
  <c r="O71" i="45" s="1"/>
  <c r="H71" i="45"/>
  <c r="N70" i="45"/>
  <c r="O70" i="45" s="1"/>
  <c r="L70" i="45"/>
  <c r="M70" i="45" s="1"/>
  <c r="J70" i="45"/>
  <c r="K70" i="45" s="1"/>
  <c r="P70" i="45" s="1"/>
  <c r="H70" i="45"/>
  <c r="I70" i="45" s="1"/>
  <c r="L69" i="45"/>
  <c r="M69" i="45" s="1"/>
  <c r="K69" i="45"/>
  <c r="J69" i="45"/>
  <c r="H69" i="45"/>
  <c r="I69" i="45" s="1"/>
  <c r="N69" i="45" s="1"/>
  <c r="O69" i="45" s="1"/>
  <c r="J68" i="45"/>
  <c r="K68" i="45" s="1"/>
  <c r="H68" i="45"/>
  <c r="I68" i="45" s="1"/>
  <c r="N68" i="45" s="1"/>
  <c r="O68" i="45" s="1"/>
  <c r="J67" i="45"/>
  <c r="K67" i="45" s="1"/>
  <c r="H67" i="45"/>
  <c r="L67" i="45" s="1"/>
  <c r="M67" i="45" s="1"/>
  <c r="J66" i="45"/>
  <c r="K66" i="45" s="1"/>
  <c r="H66" i="45"/>
  <c r="L66" i="45" s="1"/>
  <c r="M66" i="45" s="1"/>
  <c r="J65" i="45"/>
  <c r="K65" i="45" s="1"/>
  <c r="H65" i="45"/>
  <c r="L65" i="45" s="1"/>
  <c r="M65" i="45" s="1"/>
  <c r="J64" i="45"/>
  <c r="K64" i="45" s="1"/>
  <c r="H64" i="45"/>
  <c r="L64" i="45" s="1"/>
  <c r="M64" i="45" s="1"/>
  <c r="L63" i="45"/>
  <c r="M63" i="45" s="1"/>
  <c r="J63" i="45"/>
  <c r="K63" i="45" s="1"/>
  <c r="P63" i="45" s="1"/>
  <c r="I63" i="45"/>
  <c r="N63" i="45" s="1"/>
  <c r="O63" i="45" s="1"/>
  <c r="H63" i="45"/>
  <c r="N62" i="45"/>
  <c r="O62" i="45" s="1"/>
  <c r="M62" i="45"/>
  <c r="L62" i="45"/>
  <c r="J62" i="45"/>
  <c r="K62" i="45" s="1"/>
  <c r="P62" i="45" s="1"/>
  <c r="H62" i="45"/>
  <c r="I62" i="45" s="1"/>
  <c r="N61" i="45"/>
  <c r="O61" i="45" s="1"/>
  <c r="L61" i="45"/>
  <c r="M61" i="45" s="1"/>
  <c r="H61" i="45"/>
  <c r="I61" i="45" s="1"/>
  <c r="F61" i="45"/>
  <c r="J61" i="45" s="1"/>
  <c r="K61" i="45" s="1"/>
  <c r="P61" i="45" s="1"/>
  <c r="I60" i="45"/>
  <c r="N60" i="45" s="1"/>
  <c r="O60" i="45" s="1"/>
  <c r="H60" i="45"/>
  <c r="F60" i="45"/>
  <c r="J60" i="45" s="1"/>
  <c r="K60" i="45" s="1"/>
  <c r="J59" i="45"/>
  <c r="K59" i="45" s="1"/>
  <c r="H59" i="45"/>
  <c r="L59" i="45" s="1"/>
  <c r="M59" i="45" s="1"/>
  <c r="J58" i="45"/>
  <c r="K58" i="45" s="1"/>
  <c r="H58" i="45"/>
  <c r="L58" i="45" s="1"/>
  <c r="M58" i="45" s="1"/>
  <c r="L50" i="45"/>
  <c r="M50" i="45" s="1"/>
  <c r="J50" i="45"/>
  <c r="R50" i="45" s="1"/>
  <c r="S50" i="45" s="1"/>
  <c r="H50" i="45"/>
  <c r="N50" i="45" s="1"/>
  <c r="O50" i="45" s="1"/>
  <c r="G50" i="45"/>
  <c r="I50" i="45" s="1"/>
  <c r="H49" i="45"/>
  <c r="N49" i="45" s="1"/>
  <c r="O49" i="45" s="1"/>
  <c r="G49" i="45"/>
  <c r="L49" i="45" s="1"/>
  <c r="M49" i="45" s="1"/>
  <c r="H48" i="45"/>
  <c r="N48" i="45" s="1"/>
  <c r="O48" i="45" s="1"/>
  <c r="G48" i="45"/>
  <c r="L48" i="45" s="1"/>
  <c r="M48" i="45" s="1"/>
  <c r="L47" i="45"/>
  <c r="M47" i="45" s="1"/>
  <c r="I47" i="45"/>
  <c r="P47" i="45" s="1"/>
  <c r="Q47" i="45" s="1"/>
  <c r="H47" i="45"/>
  <c r="N47" i="45" s="1"/>
  <c r="O47" i="45" s="1"/>
  <c r="G47" i="45"/>
  <c r="H46" i="45"/>
  <c r="N46" i="45" s="1"/>
  <c r="O46" i="45" s="1"/>
  <c r="G46" i="45"/>
  <c r="L46" i="45" s="1"/>
  <c r="M46" i="45" s="1"/>
  <c r="L45" i="45"/>
  <c r="M45" i="45" s="1"/>
  <c r="H45" i="45"/>
  <c r="N45" i="45" s="1"/>
  <c r="O45" i="45" s="1"/>
  <c r="G45" i="45"/>
  <c r="I45" i="45" s="1"/>
  <c r="M36" i="45"/>
  <c r="L36" i="45"/>
  <c r="K36" i="45"/>
  <c r="J36" i="45"/>
  <c r="I36" i="45"/>
  <c r="H35" i="45"/>
  <c r="P50" i="45" l="1"/>
  <c r="Q50" i="45" s="1"/>
  <c r="V50" i="45" s="1"/>
  <c r="K50" i="45"/>
  <c r="T50" i="45" s="1"/>
  <c r="U50" i="45" s="1"/>
  <c r="K45" i="45"/>
  <c r="T45" i="45" s="1"/>
  <c r="U45" i="45" s="1"/>
  <c r="P45" i="45"/>
  <c r="Q45" i="45" s="1"/>
  <c r="V45" i="45" s="1"/>
  <c r="J47" i="45"/>
  <c r="R47" i="45" s="1"/>
  <c r="S47" i="45" s="1"/>
  <c r="I49" i="45"/>
  <c r="P49" i="45" s="1"/>
  <c r="Q49" i="45" s="1"/>
  <c r="I46" i="45"/>
  <c r="I48" i="45"/>
  <c r="P74" i="45"/>
  <c r="P72" i="45"/>
  <c r="P75" i="45"/>
  <c r="P80" i="45"/>
  <c r="P78" i="45"/>
  <c r="P71" i="45"/>
  <c r="I59" i="45"/>
  <c r="N59" i="45" s="1"/>
  <c r="O59" i="45" s="1"/>
  <c r="P59" i="45" s="1"/>
  <c r="I64" i="45"/>
  <c r="N64" i="45" s="1"/>
  <c r="O64" i="45" s="1"/>
  <c r="P64" i="45" s="1"/>
  <c r="K47" i="45"/>
  <c r="T47" i="45" s="1"/>
  <c r="U47" i="45" s="1"/>
  <c r="P69" i="45"/>
  <c r="I73" i="45"/>
  <c r="N73" i="45" s="1"/>
  <c r="O73" i="45" s="1"/>
  <c r="P73" i="45" s="1"/>
  <c r="J49" i="45"/>
  <c r="R49" i="45" s="1"/>
  <c r="S49" i="45" s="1"/>
  <c r="I58" i="45"/>
  <c r="N58" i="45" s="1"/>
  <c r="O58" i="45" s="1"/>
  <c r="P58" i="45" s="1"/>
  <c r="I67" i="45"/>
  <c r="N67" i="45" s="1"/>
  <c r="O67" i="45" s="1"/>
  <c r="P67" i="45" s="1"/>
  <c r="L68" i="45"/>
  <c r="M68" i="45" s="1"/>
  <c r="P68" i="45" s="1"/>
  <c r="J46" i="45"/>
  <c r="R46" i="45" s="1"/>
  <c r="S46" i="45" s="1"/>
  <c r="I72" i="45"/>
  <c r="N72" i="45" s="1"/>
  <c r="O72" i="45" s="1"/>
  <c r="I66" i="45"/>
  <c r="N66" i="45" s="1"/>
  <c r="O66" i="45" s="1"/>
  <c r="P66" i="45" s="1"/>
  <c r="P77" i="45"/>
  <c r="J48" i="45"/>
  <c r="R48" i="45" s="1"/>
  <c r="S48" i="45" s="1"/>
  <c r="I75" i="45"/>
  <c r="N75" i="45" s="1"/>
  <c r="O75" i="45" s="1"/>
  <c r="L76" i="45"/>
  <c r="M76" i="45" s="1"/>
  <c r="P76" i="45" s="1"/>
  <c r="J45" i="45"/>
  <c r="R45" i="45" s="1"/>
  <c r="S45" i="45" s="1"/>
  <c r="V47" i="45"/>
  <c r="L60" i="45"/>
  <c r="M60" i="45" s="1"/>
  <c r="P60" i="45" s="1"/>
  <c r="I65" i="45"/>
  <c r="N65" i="45" s="1"/>
  <c r="O65" i="45" s="1"/>
  <c r="P65" i="45" s="1"/>
  <c r="K48" i="45" l="1"/>
  <c r="T48" i="45" s="1"/>
  <c r="U48" i="45" s="1"/>
  <c r="P48" i="45"/>
  <c r="Q48" i="45" s="1"/>
  <c r="K46" i="45"/>
  <c r="T46" i="45" s="1"/>
  <c r="U46" i="45" s="1"/>
  <c r="P46" i="45"/>
  <c r="Q46" i="45" s="1"/>
  <c r="K49" i="45"/>
  <c r="T49" i="45" s="1"/>
  <c r="U49" i="45" s="1"/>
  <c r="V49" i="45" s="1"/>
  <c r="V46" i="45"/>
  <c r="V51" i="45" s="1"/>
  <c r="V48" i="45"/>
  <c r="E89" i="45"/>
  <c r="P81" i="45"/>
  <c r="E88" i="45" l="1"/>
  <c r="E90" i="45" s="1"/>
  <c r="E91" i="45"/>
  <c r="E92" i="45" s="1"/>
  <c r="E93" i="45" s="1"/>
  <c r="I82" i="44" l="1"/>
  <c r="H82" i="44"/>
  <c r="G82" i="44"/>
  <c r="I31" i="44"/>
  <c r="H31" i="44"/>
  <c r="G31" i="44"/>
  <c r="G80" i="44"/>
  <c r="J80" i="44" s="1"/>
  <c r="K80" i="44" s="1"/>
  <c r="G79" i="44"/>
  <c r="G78" i="44"/>
  <c r="J78" i="44" s="1"/>
  <c r="K78" i="44" s="1"/>
  <c r="L77" i="44"/>
  <c r="M77" i="44" s="1"/>
  <c r="J77" i="44"/>
  <c r="K77" i="44" s="1"/>
  <c r="P77" i="44" s="1"/>
  <c r="I77" i="44"/>
  <c r="N77" i="44" s="1"/>
  <c r="O77" i="44" s="1"/>
  <c r="H77" i="44"/>
  <c r="G77" i="44"/>
  <c r="K76" i="44"/>
  <c r="G76" i="44"/>
  <c r="J76" i="44" s="1"/>
  <c r="J75" i="44"/>
  <c r="K75" i="44" s="1"/>
  <c r="H75" i="44"/>
  <c r="L75" i="44" s="1"/>
  <c r="M75" i="44" s="1"/>
  <c r="G74" i="44"/>
  <c r="J74" i="44" s="1"/>
  <c r="K74" i="44" s="1"/>
  <c r="J73" i="44"/>
  <c r="K73" i="44" s="1"/>
  <c r="H73" i="44"/>
  <c r="L73" i="44" s="1"/>
  <c r="M73" i="44" s="1"/>
  <c r="G73" i="44"/>
  <c r="J72" i="44"/>
  <c r="K72" i="44" s="1"/>
  <c r="G72" i="44"/>
  <c r="H72" i="44" s="1"/>
  <c r="I72" i="44" s="1"/>
  <c r="N72" i="44" s="1"/>
  <c r="O72" i="44" s="1"/>
  <c r="G71" i="44"/>
  <c r="J71" i="44" s="1"/>
  <c r="K71" i="44" s="1"/>
  <c r="G70" i="44"/>
  <c r="J70" i="44" s="1"/>
  <c r="K70" i="44" s="1"/>
  <c r="K69" i="44"/>
  <c r="J69" i="44"/>
  <c r="H69" i="44"/>
  <c r="L69" i="44" s="1"/>
  <c r="M69" i="44" s="1"/>
  <c r="G69" i="44"/>
  <c r="L68" i="44"/>
  <c r="M68" i="44" s="1"/>
  <c r="K68" i="44"/>
  <c r="J68" i="44"/>
  <c r="G68" i="44"/>
  <c r="H68" i="44" s="1"/>
  <c r="I68" i="44" s="1"/>
  <c r="N68" i="44" s="1"/>
  <c r="O68" i="44" s="1"/>
  <c r="G67" i="44"/>
  <c r="G66" i="44"/>
  <c r="J66" i="44" s="1"/>
  <c r="K66" i="44" s="1"/>
  <c r="J65" i="44"/>
  <c r="K65" i="44" s="1"/>
  <c r="P65" i="44" s="1"/>
  <c r="I65" i="44"/>
  <c r="N65" i="44" s="1"/>
  <c r="O65" i="44" s="1"/>
  <c r="H65" i="44"/>
  <c r="L65" i="44" s="1"/>
  <c r="M65" i="44" s="1"/>
  <c r="G65" i="44"/>
  <c r="J64" i="44"/>
  <c r="K64" i="44" s="1"/>
  <c r="G64" i="44"/>
  <c r="H64" i="44" s="1"/>
  <c r="I64" i="44" s="1"/>
  <c r="N64" i="44" s="1"/>
  <c r="O64" i="44" s="1"/>
  <c r="G63" i="44"/>
  <c r="G62" i="44"/>
  <c r="J62" i="44" s="1"/>
  <c r="K62" i="44" s="1"/>
  <c r="J61" i="44"/>
  <c r="K61" i="44" s="1"/>
  <c r="H61" i="44"/>
  <c r="L61" i="44" s="1"/>
  <c r="M61" i="44" s="1"/>
  <c r="G61" i="44"/>
  <c r="F61" i="44"/>
  <c r="G60" i="44"/>
  <c r="F60" i="44"/>
  <c r="G59" i="44"/>
  <c r="J59" i="44" s="1"/>
  <c r="K59" i="44" s="1"/>
  <c r="K58" i="44"/>
  <c r="J58" i="44"/>
  <c r="H58" i="44"/>
  <c r="L58" i="44" s="1"/>
  <c r="M58" i="44" s="1"/>
  <c r="G58" i="44"/>
  <c r="H50" i="44"/>
  <c r="N50" i="44" s="1"/>
  <c r="O50" i="44" s="1"/>
  <c r="G50" i="44"/>
  <c r="I50" i="44" s="1"/>
  <c r="P50" i="44" s="1"/>
  <c r="Q50" i="44" s="1"/>
  <c r="H49" i="44"/>
  <c r="N49" i="44" s="1"/>
  <c r="O49" i="44" s="1"/>
  <c r="G49" i="44"/>
  <c r="I49" i="44" s="1"/>
  <c r="P49" i="44" s="1"/>
  <c r="Q49" i="44" s="1"/>
  <c r="H48" i="44"/>
  <c r="N48" i="44" s="1"/>
  <c r="O48" i="44" s="1"/>
  <c r="G48" i="44"/>
  <c r="L48" i="44" s="1"/>
  <c r="M48" i="44" s="1"/>
  <c r="N47" i="44"/>
  <c r="O47" i="44" s="1"/>
  <c r="H47" i="44"/>
  <c r="J47" i="44" s="1"/>
  <c r="R47" i="44" s="1"/>
  <c r="S47" i="44" s="1"/>
  <c r="G47" i="44"/>
  <c r="L47" i="44" s="1"/>
  <c r="M47" i="44" s="1"/>
  <c r="N46" i="44"/>
  <c r="O46" i="44" s="1"/>
  <c r="L46" i="44"/>
  <c r="M46" i="44" s="1"/>
  <c r="H46" i="44"/>
  <c r="J46" i="44" s="1"/>
  <c r="R46" i="44" s="1"/>
  <c r="S46" i="44" s="1"/>
  <c r="G46" i="44"/>
  <c r="I46" i="44" s="1"/>
  <c r="N45" i="44"/>
  <c r="O45" i="44" s="1"/>
  <c r="H45" i="44"/>
  <c r="J45" i="44" s="1"/>
  <c r="R45" i="44" s="1"/>
  <c r="S45" i="44" s="1"/>
  <c r="G45" i="44"/>
  <c r="L45" i="44" s="1"/>
  <c r="M45" i="44" s="1"/>
  <c r="M36" i="44"/>
  <c r="L36" i="44"/>
  <c r="K36" i="44"/>
  <c r="J36" i="44"/>
  <c r="I36" i="44"/>
  <c r="H35" i="44"/>
  <c r="P46" i="44" l="1"/>
  <c r="Q46" i="44" s="1"/>
  <c r="K46" i="44"/>
  <c r="T46" i="44" s="1"/>
  <c r="U46" i="44" s="1"/>
  <c r="J50" i="44"/>
  <c r="R50" i="44" s="1"/>
  <c r="S50" i="44" s="1"/>
  <c r="I48" i="44"/>
  <c r="P48" i="44" s="1"/>
  <c r="Q48" i="44" s="1"/>
  <c r="L50" i="44"/>
  <c r="M50" i="44" s="1"/>
  <c r="I45" i="44"/>
  <c r="P45" i="44" s="1"/>
  <c r="Q45" i="44" s="1"/>
  <c r="I47" i="44"/>
  <c r="P47" i="44" s="1"/>
  <c r="Q47" i="44" s="1"/>
  <c r="V47" i="44" s="1"/>
  <c r="L49" i="44"/>
  <c r="M49" i="44" s="1"/>
  <c r="J48" i="44"/>
  <c r="R48" i="44" s="1"/>
  <c r="S48" i="44" s="1"/>
  <c r="J49" i="44"/>
  <c r="R49" i="44" s="1"/>
  <c r="S49" i="44" s="1"/>
  <c r="P61" i="44"/>
  <c r="P72" i="44"/>
  <c r="P68" i="44"/>
  <c r="J60" i="44"/>
  <c r="K60" i="44" s="1"/>
  <c r="H67" i="44"/>
  <c r="J67" i="44"/>
  <c r="K67" i="44" s="1"/>
  <c r="H78" i="44"/>
  <c r="V46" i="44"/>
  <c r="L64" i="44"/>
  <c r="M64" i="44" s="1"/>
  <c r="P64" i="44" s="1"/>
  <c r="K50" i="44"/>
  <c r="T50" i="44" s="1"/>
  <c r="U50" i="44" s="1"/>
  <c r="V50" i="44" s="1"/>
  <c r="H74" i="44"/>
  <c r="I58" i="44"/>
  <c r="N58" i="44" s="1"/>
  <c r="O58" i="44" s="1"/>
  <c r="P58" i="44" s="1"/>
  <c r="H62" i="44"/>
  <c r="L72" i="44"/>
  <c r="M72" i="44" s="1"/>
  <c r="I61" i="44"/>
  <c r="N61" i="44" s="1"/>
  <c r="O61" i="44" s="1"/>
  <c r="I73" i="44"/>
  <c r="N73" i="44" s="1"/>
  <c r="O73" i="44" s="1"/>
  <c r="P73" i="44" s="1"/>
  <c r="K49" i="44"/>
  <c r="T49" i="44" s="1"/>
  <c r="U49" i="44" s="1"/>
  <c r="H70" i="44"/>
  <c r="P75" i="44"/>
  <c r="H59" i="44"/>
  <c r="H63" i="44"/>
  <c r="J63" i="44"/>
  <c r="K63" i="44" s="1"/>
  <c r="K47" i="44"/>
  <c r="T47" i="44" s="1"/>
  <c r="U47" i="44" s="1"/>
  <c r="H66" i="44"/>
  <c r="I69" i="44"/>
  <c r="N69" i="44" s="1"/>
  <c r="O69" i="44" s="1"/>
  <c r="P69" i="44" s="1"/>
  <c r="J79" i="44"/>
  <c r="K79" i="44" s="1"/>
  <c r="H79" i="44"/>
  <c r="K48" i="44"/>
  <c r="T48" i="44" s="1"/>
  <c r="U48" i="44" s="1"/>
  <c r="V48" i="44" s="1"/>
  <c r="H71" i="44"/>
  <c r="I75" i="44"/>
  <c r="N75" i="44" s="1"/>
  <c r="O75" i="44" s="1"/>
  <c r="H60" i="44"/>
  <c r="H76" i="44"/>
  <c r="H80" i="44"/>
  <c r="V49" i="44" l="1"/>
  <c r="K45" i="44"/>
  <c r="T45" i="44" s="1"/>
  <c r="U45" i="44" s="1"/>
  <c r="V45" i="44" s="1"/>
  <c r="I80" i="44"/>
  <c r="N80" i="44" s="1"/>
  <c r="O80" i="44" s="1"/>
  <c r="L80" i="44"/>
  <c r="M80" i="44" s="1"/>
  <c r="P80" i="44" s="1"/>
  <c r="I63" i="44"/>
  <c r="N63" i="44" s="1"/>
  <c r="O63" i="44" s="1"/>
  <c r="L63" i="44"/>
  <c r="M63" i="44" s="1"/>
  <c r="P63" i="44" s="1"/>
  <c r="I76" i="44"/>
  <c r="N76" i="44" s="1"/>
  <c r="O76" i="44" s="1"/>
  <c r="L76" i="44"/>
  <c r="M76" i="44" s="1"/>
  <c r="L79" i="44"/>
  <c r="M79" i="44" s="1"/>
  <c r="I79" i="44"/>
  <c r="N79" i="44" s="1"/>
  <c r="O79" i="44" s="1"/>
  <c r="L59" i="44"/>
  <c r="M59" i="44" s="1"/>
  <c r="I59" i="44"/>
  <c r="N59" i="44" s="1"/>
  <c r="O59" i="44" s="1"/>
  <c r="P79" i="44"/>
  <c r="L62" i="44"/>
  <c r="M62" i="44" s="1"/>
  <c r="P62" i="44" s="1"/>
  <c r="I62" i="44"/>
  <c r="N62" i="44" s="1"/>
  <c r="O62" i="44" s="1"/>
  <c r="L70" i="44"/>
  <c r="M70" i="44" s="1"/>
  <c r="I70" i="44"/>
  <c r="N70" i="44" s="1"/>
  <c r="O70" i="44" s="1"/>
  <c r="I67" i="44"/>
  <c r="N67" i="44" s="1"/>
  <c r="O67" i="44" s="1"/>
  <c r="L67" i="44"/>
  <c r="M67" i="44" s="1"/>
  <c r="P67" i="44" s="1"/>
  <c r="I74" i="44"/>
  <c r="N74" i="44" s="1"/>
  <c r="O74" i="44" s="1"/>
  <c r="L74" i="44"/>
  <c r="M74" i="44" s="1"/>
  <c r="P74" i="44" s="1"/>
  <c r="I60" i="44"/>
  <c r="N60" i="44" s="1"/>
  <c r="O60" i="44" s="1"/>
  <c r="L60" i="44"/>
  <c r="M60" i="44" s="1"/>
  <c r="L78" i="44"/>
  <c r="M78" i="44" s="1"/>
  <c r="I78" i="44"/>
  <c r="N78" i="44" s="1"/>
  <c r="O78" i="44" s="1"/>
  <c r="I71" i="44"/>
  <c r="N71" i="44" s="1"/>
  <c r="O71" i="44" s="1"/>
  <c r="L71" i="44"/>
  <c r="M71" i="44" s="1"/>
  <c r="P71" i="44" s="1"/>
  <c r="L66" i="44"/>
  <c r="M66" i="44" s="1"/>
  <c r="I66" i="44"/>
  <c r="N66" i="44" s="1"/>
  <c r="O66" i="44" s="1"/>
  <c r="P60" i="44"/>
  <c r="V51" i="44" l="1"/>
  <c r="E88" i="44"/>
  <c r="P66" i="44"/>
  <c r="P78" i="44"/>
  <c r="P70" i="44"/>
  <c r="P76" i="44"/>
  <c r="P59" i="44"/>
  <c r="P81" i="44" l="1"/>
  <c r="E89" i="44"/>
  <c r="E90" i="44" s="1"/>
  <c r="E91" i="44" l="1"/>
  <c r="E92" i="44" s="1"/>
  <c r="E93" i="44" s="1"/>
  <c r="I82" i="43" l="1"/>
  <c r="H82" i="43"/>
  <c r="G82" i="43"/>
  <c r="I31" i="43"/>
  <c r="H31" i="43"/>
  <c r="G31" i="43"/>
  <c r="O80" i="43"/>
  <c r="N80" i="43"/>
  <c r="L80" i="43"/>
  <c r="M80" i="43" s="1"/>
  <c r="J80" i="43"/>
  <c r="K80" i="43" s="1"/>
  <c r="P80" i="43" s="1"/>
  <c r="O79" i="43"/>
  <c r="N79" i="43"/>
  <c r="M79" i="43"/>
  <c r="L79" i="43"/>
  <c r="J79" i="43"/>
  <c r="K79" i="43" s="1"/>
  <c r="P79" i="43" s="1"/>
  <c r="N78" i="43"/>
  <c r="O78" i="43" s="1"/>
  <c r="M78" i="43"/>
  <c r="L78" i="43"/>
  <c r="J78" i="43"/>
  <c r="K78" i="43" s="1"/>
  <c r="N77" i="43"/>
  <c r="O77" i="43" s="1"/>
  <c r="M77" i="43"/>
  <c r="P77" i="43" s="1"/>
  <c r="L77" i="43"/>
  <c r="K77" i="43"/>
  <c r="J77" i="43"/>
  <c r="N76" i="43"/>
  <c r="O76" i="43" s="1"/>
  <c r="L76" i="43"/>
  <c r="M76" i="43" s="1"/>
  <c r="P76" i="43" s="1"/>
  <c r="K76" i="43"/>
  <c r="J76" i="43"/>
  <c r="N75" i="43"/>
  <c r="O75" i="43" s="1"/>
  <c r="L75" i="43"/>
  <c r="M75" i="43" s="1"/>
  <c r="K75" i="43"/>
  <c r="P75" i="43" s="1"/>
  <c r="J75" i="43"/>
  <c r="N74" i="43"/>
  <c r="O74" i="43" s="1"/>
  <c r="L74" i="43"/>
  <c r="M74" i="43" s="1"/>
  <c r="J74" i="43"/>
  <c r="K74" i="43" s="1"/>
  <c r="P74" i="43" s="1"/>
  <c r="O73" i="43"/>
  <c r="N73" i="43"/>
  <c r="L73" i="43"/>
  <c r="M73" i="43" s="1"/>
  <c r="J73" i="43"/>
  <c r="K73" i="43" s="1"/>
  <c r="P73" i="43" s="1"/>
  <c r="O72" i="43"/>
  <c r="N72" i="43"/>
  <c r="L72" i="43"/>
  <c r="M72" i="43" s="1"/>
  <c r="J72" i="43"/>
  <c r="K72" i="43" s="1"/>
  <c r="P72" i="43" s="1"/>
  <c r="O71" i="43"/>
  <c r="N71" i="43"/>
  <c r="M71" i="43"/>
  <c r="L71" i="43"/>
  <c r="J71" i="43"/>
  <c r="K71" i="43" s="1"/>
  <c r="P71" i="43" s="1"/>
  <c r="N70" i="43"/>
  <c r="O70" i="43" s="1"/>
  <c r="M70" i="43"/>
  <c r="L70" i="43"/>
  <c r="J70" i="43"/>
  <c r="K70" i="43" s="1"/>
  <c r="P70" i="43" s="1"/>
  <c r="N69" i="43"/>
  <c r="O69" i="43" s="1"/>
  <c r="M69" i="43"/>
  <c r="P69" i="43" s="1"/>
  <c r="L69" i="43"/>
  <c r="K69" i="43"/>
  <c r="J69" i="43"/>
  <c r="N68" i="43"/>
  <c r="O68" i="43" s="1"/>
  <c r="L68" i="43"/>
  <c r="M68" i="43" s="1"/>
  <c r="P68" i="43" s="1"/>
  <c r="K68" i="43"/>
  <c r="J68" i="43"/>
  <c r="N67" i="43"/>
  <c r="O67" i="43" s="1"/>
  <c r="L67" i="43"/>
  <c r="M67" i="43" s="1"/>
  <c r="K67" i="43"/>
  <c r="P67" i="43" s="1"/>
  <c r="J67" i="43"/>
  <c r="N66" i="43"/>
  <c r="O66" i="43" s="1"/>
  <c r="L66" i="43"/>
  <c r="M66" i="43" s="1"/>
  <c r="J66" i="43"/>
  <c r="K66" i="43" s="1"/>
  <c r="P66" i="43" s="1"/>
  <c r="O65" i="43"/>
  <c r="N65" i="43"/>
  <c r="L65" i="43"/>
  <c r="M65" i="43" s="1"/>
  <c r="J65" i="43"/>
  <c r="K65" i="43" s="1"/>
  <c r="P65" i="43" s="1"/>
  <c r="O64" i="43"/>
  <c r="N64" i="43"/>
  <c r="L64" i="43"/>
  <c r="M64" i="43" s="1"/>
  <c r="J64" i="43"/>
  <c r="K64" i="43" s="1"/>
  <c r="P64" i="43" s="1"/>
  <c r="O63" i="43"/>
  <c r="N63" i="43"/>
  <c r="M63" i="43"/>
  <c r="L63" i="43"/>
  <c r="J63" i="43"/>
  <c r="K63" i="43" s="1"/>
  <c r="P63" i="43" s="1"/>
  <c r="N62" i="43"/>
  <c r="O62" i="43" s="1"/>
  <c r="M62" i="43"/>
  <c r="L62" i="43"/>
  <c r="J62" i="43"/>
  <c r="K62" i="43" s="1"/>
  <c r="P62" i="43" s="1"/>
  <c r="N61" i="43"/>
  <c r="O61" i="43" s="1"/>
  <c r="F61" i="43"/>
  <c r="L61" i="43" s="1"/>
  <c r="M61" i="43" s="1"/>
  <c r="N60" i="43"/>
  <c r="O60" i="43" s="1"/>
  <c r="F60" i="43"/>
  <c r="L60" i="43" s="1"/>
  <c r="M60" i="43" s="1"/>
  <c r="N59" i="43"/>
  <c r="O59" i="43" s="1"/>
  <c r="M59" i="43"/>
  <c r="P59" i="43" s="1"/>
  <c r="L59" i="43"/>
  <c r="K59" i="43"/>
  <c r="J59" i="43"/>
  <c r="N58" i="43"/>
  <c r="O58" i="43" s="1"/>
  <c r="L58" i="43"/>
  <c r="M58" i="43" s="1"/>
  <c r="P58" i="43" s="1"/>
  <c r="K58" i="43"/>
  <c r="J58" i="43"/>
  <c r="N50" i="43"/>
  <c r="O50" i="43" s="1"/>
  <c r="L50" i="43"/>
  <c r="M50" i="43" s="1"/>
  <c r="H50" i="43"/>
  <c r="J50" i="43" s="1"/>
  <c r="R50" i="43" s="1"/>
  <c r="S50" i="43" s="1"/>
  <c r="G50" i="43"/>
  <c r="I50" i="43" s="1"/>
  <c r="N49" i="43"/>
  <c r="O49" i="43" s="1"/>
  <c r="L49" i="43"/>
  <c r="M49" i="43" s="1"/>
  <c r="H49" i="43"/>
  <c r="J49" i="43" s="1"/>
  <c r="R49" i="43" s="1"/>
  <c r="S49" i="43" s="1"/>
  <c r="G49" i="43"/>
  <c r="I49" i="43" s="1"/>
  <c r="N48" i="43"/>
  <c r="O48" i="43" s="1"/>
  <c r="L48" i="43"/>
  <c r="M48" i="43" s="1"/>
  <c r="J48" i="43"/>
  <c r="R48" i="43" s="1"/>
  <c r="S48" i="43" s="1"/>
  <c r="H48" i="43"/>
  <c r="G48" i="43"/>
  <c r="I48" i="43" s="1"/>
  <c r="N47" i="43"/>
  <c r="O47" i="43" s="1"/>
  <c r="L47" i="43"/>
  <c r="M47" i="43" s="1"/>
  <c r="J47" i="43"/>
  <c r="R47" i="43" s="1"/>
  <c r="S47" i="43" s="1"/>
  <c r="I47" i="43"/>
  <c r="P47" i="43" s="1"/>
  <c r="Q47" i="43" s="1"/>
  <c r="H47" i="43"/>
  <c r="G47" i="43"/>
  <c r="L46" i="43"/>
  <c r="M46" i="43" s="1"/>
  <c r="I46" i="43"/>
  <c r="P46" i="43" s="1"/>
  <c r="Q46" i="43" s="1"/>
  <c r="H46" i="43"/>
  <c r="J46" i="43" s="1"/>
  <c r="R46" i="43" s="1"/>
  <c r="S46" i="43" s="1"/>
  <c r="G46" i="43"/>
  <c r="H45" i="43"/>
  <c r="N45" i="43" s="1"/>
  <c r="O45" i="43" s="1"/>
  <c r="G45" i="43"/>
  <c r="L45" i="43" s="1"/>
  <c r="M45" i="43" s="1"/>
  <c r="M36" i="43"/>
  <c r="L36" i="43"/>
  <c r="K36" i="43"/>
  <c r="J36" i="43"/>
  <c r="I36" i="43"/>
  <c r="H35" i="43"/>
  <c r="I30" i="43"/>
  <c r="H30" i="43"/>
  <c r="G30" i="43"/>
  <c r="I29" i="43"/>
  <c r="H29" i="43"/>
  <c r="G29" i="43"/>
  <c r="I28" i="43"/>
  <c r="H28" i="43"/>
  <c r="G28" i="43"/>
  <c r="I27" i="43"/>
  <c r="H27" i="43"/>
  <c r="G27" i="43"/>
  <c r="I26" i="43"/>
  <c r="H26" i="43"/>
  <c r="G26" i="43"/>
  <c r="I25" i="43"/>
  <c r="H25" i="43"/>
  <c r="G25" i="43"/>
  <c r="P50" i="43" l="1"/>
  <c r="Q50" i="43" s="1"/>
  <c r="K50" i="43"/>
  <c r="T50" i="43" s="1"/>
  <c r="U50" i="43" s="1"/>
  <c r="P49" i="43"/>
  <c r="Q49" i="43" s="1"/>
  <c r="K49" i="43"/>
  <c r="T49" i="43" s="1"/>
  <c r="U49" i="43" s="1"/>
  <c r="P48" i="43"/>
  <c r="Q48" i="43" s="1"/>
  <c r="K48" i="43"/>
  <c r="T48" i="43" s="1"/>
  <c r="U48" i="43" s="1"/>
  <c r="V48" i="43" s="1"/>
  <c r="I45" i="43"/>
  <c r="K47" i="43"/>
  <c r="T47" i="43" s="1"/>
  <c r="U47" i="43" s="1"/>
  <c r="V47" i="43" s="1"/>
  <c r="J45" i="43"/>
  <c r="R45" i="43" s="1"/>
  <c r="S45" i="43" s="1"/>
  <c r="K46" i="43"/>
  <c r="T46" i="43" s="1"/>
  <c r="U46" i="43" s="1"/>
  <c r="N46" i="43"/>
  <c r="O46" i="43" s="1"/>
  <c r="V46" i="43" s="1"/>
  <c r="V50" i="43"/>
  <c r="P78" i="43"/>
  <c r="V49" i="43"/>
  <c r="J60" i="43"/>
  <c r="K60" i="43" s="1"/>
  <c r="P60" i="43" s="1"/>
  <c r="E89" i="43" s="1"/>
  <c r="J61" i="43"/>
  <c r="K61" i="43" s="1"/>
  <c r="P61" i="43" s="1"/>
  <c r="P81" i="43" s="1"/>
  <c r="P45" i="43" l="1"/>
  <c r="Q45" i="43" s="1"/>
  <c r="K45" i="43"/>
  <c r="T45" i="43" s="1"/>
  <c r="U45" i="43" s="1"/>
  <c r="V45" i="43" l="1"/>
  <c r="E88" i="43" l="1"/>
  <c r="E90" i="43" s="1"/>
  <c r="E91" i="43" s="1"/>
  <c r="E92" i="43" s="1"/>
  <c r="E93" i="43" s="1"/>
  <c r="V51" i="43"/>
  <c r="I82" i="42"/>
  <c r="H82" i="42"/>
  <c r="G82" i="42"/>
  <c r="I31" i="42"/>
  <c r="H31" i="42"/>
  <c r="G31" i="42"/>
  <c r="G80" i="42"/>
  <c r="J80" i="42" s="1"/>
  <c r="K80" i="42" s="1"/>
  <c r="P79" i="42"/>
  <c r="J79" i="42"/>
  <c r="K79" i="42" s="1"/>
  <c r="I79" i="42"/>
  <c r="N79" i="42" s="1"/>
  <c r="O79" i="42" s="1"/>
  <c r="H79" i="42"/>
  <c r="L79" i="42" s="1"/>
  <c r="M79" i="42" s="1"/>
  <c r="G79" i="42"/>
  <c r="J78" i="42"/>
  <c r="K78" i="42" s="1"/>
  <c r="G78" i="42"/>
  <c r="H78" i="42" s="1"/>
  <c r="I78" i="42" s="1"/>
  <c r="N78" i="42" s="1"/>
  <c r="O78" i="42" s="1"/>
  <c r="G77" i="42"/>
  <c r="H76" i="42"/>
  <c r="L76" i="42" s="1"/>
  <c r="M76" i="42" s="1"/>
  <c r="G76" i="42"/>
  <c r="J76" i="42" s="1"/>
  <c r="K76" i="42" s="1"/>
  <c r="M75" i="42"/>
  <c r="K75" i="42"/>
  <c r="J75" i="42"/>
  <c r="H75" i="42"/>
  <c r="L75" i="42" s="1"/>
  <c r="G75" i="42"/>
  <c r="O74" i="42"/>
  <c r="L74" i="42"/>
  <c r="M74" i="42" s="1"/>
  <c r="K74" i="42"/>
  <c r="J74" i="42"/>
  <c r="G74" i="42"/>
  <c r="H74" i="42" s="1"/>
  <c r="I74" i="42" s="1"/>
  <c r="N74" i="42" s="1"/>
  <c r="G73" i="42"/>
  <c r="G72" i="42"/>
  <c r="J72" i="42" s="1"/>
  <c r="K72" i="42" s="1"/>
  <c r="M71" i="42"/>
  <c r="J71" i="42"/>
  <c r="K71" i="42" s="1"/>
  <c r="P71" i="42" s="1"/>
  <c r="I71" i="42"/>
  <c r="N71" i="42" s="1"/>
  <c r="O71" i="42" s="1"/>
  <c r="H71" i="42"/>
  <c r="L71" i="42" s="1"/>
  <c r="G71" i="42"/>
  <c r="O70" i="42"/>
  <c r="G70" i="42"/>
  <c r="H70" i="42" s="1"/>
  <c r="I70" i="42" s="1"/>
  <c r="N70" i="42" s="1"/>
  <c r="G69" i="42"/>
  <c r="K68" i="42"/>
  <c r="I68" i="42"/>
  <c r="N68" i="42" s="1"/>
  <c r="O68" i="42" s="1"/>
  <c r="H68" i="42"/>
  <c r="L68" i="42" s="1"/>
  <c r="M68" i="42" s="1"/>
  <c r="G68" i="42"/>
  <c r="J68" i="42" s="1"/>
  <c r="K67" i="42"/>
  <c r="J67" i="42"/>
  <c r="H67" i="42"/>
  <c r="L67" i="42" s="1"/>
  <c r="M67" i="42" s="1"/>
  <c r="G67" i="42"/>
  <c r="G66" i="42"/>
  <c r="H66" i="42" s="1"/>
  <c r="I66" i="42" s="1"/>
  <c r="N66" i="42" s="1"/>
  <c r="O66" i="42" s="1"/>
  <c r="G65" i="42"/>
  <c r="K64" i="42"/>
  <c r="G64" i="42"/>
  <c r="J64" i="42" s="1"/>
  <c r="J63" i="42"/>
  <c r="K63" i="42" s="1"/>
  <c r="I63" i="42"/>
  <c r="N63" i="42" s="1"/>
  <c r="O63" i="42" s="1"/>
  <c r="H63" i="42"/>
  <c r="L63" i="42" s="1"/>
  <c r="M63" i="42" s="1"/>
  <c r="G63" i="42"/>
  <c r="J62" i="42"/>
  <c r="K62" i="42" s="1"/>
  <c r="G62" i="42"/>
  <c r="H62" i="42" s="1"/>
  <c r="I62" i="42" s="1"/>
  <c r="N62" i="42" s="1"/>
  <c r="O62" i="42" s="1"/>
  <c r="G61" i="42"/>
  <c r="F61" i="42"/>
  <c r="G60" i="42"/>
  <c r="J60" i="42" s="1"/>
  <c r="K60" i="42" s="1"/>
  <c r="F60" i="42"/>
  <c r="O59" i="42"/>
  <c r="J59" i="42"/>
  <c r="K59" i="42" s="1"/>
  <c r="G59" i="42"/>
  <c r="H59" i="42" s="1"/>
  <c r="I59" i="42" s="1"/>
  <c r="N59" i="42" s="1"/>
  <c r="G58" i="42"/>
  <c r="J50" i="42"/>
  <c r="R50" i="42" s="1"/>
  <c r="S50" i="42" s="1"/>
  <c r="H50" i="42"/>
  <c r="N50" i="42" s="1"/>
  <c r="O50" i="42" s="1"/>
  <c r="G50" i="42"/>
  <c r="H49" i="42"/>
  <c r="J49" i="42" s="1"/>
  <c r="R49" i="42" s="1"/>
  <c r="S49" i="42" s="1"/>
  <c r="G49" i="42"/>
  <c r="H48" i="42"/>
  <c r="N48" i="42" s="1"/>
  <c r="O48" i="42" s="1"/>
  <c r="G48" i="42"/>
  <c r="H47" i="42"/>
  <c r="J47" i="42" s="1"/>
  <c r="R47" i="42" s="1"/>
  <c r="S47" i="42" s="1"/>
  <c r="G47" i="42"/>
  <c r="H46" i="42"/>
  <c r="N46" i="42" s="1"/>
  <c r="O46" i="42" s="1"/>
  <c r="G46" i="42"/>
  <c r="H45" i="42"/>
  <c r="J45" i="42" s="1"/>
  <c r="R45" i="42" s="1"/>
  <c r="S45" i="42" s="1"/>
  <c r="G45" i="42"/>
  <c r="M36" i="42"/>
  <c r="L36" i="42"/>
  <c r="K36" i="42"/>
  <c r="J36" i="42"/>
  <c r="I36" i="42"/>
  <c r="H35" i="42"/>
  <c r="I30" i="42"/>
  <c r="H30" i="42"/>
  <c r="G30" i="42"/>
  <c r="G29" i="42"/>
  <c r="H29" i="42" s="1"/>
  <c r="I29" i="42" s="1"/>
  <c r="I28" i="42"/>
  <c r="G28" i="42"/>
  <c r="H28" i="42" s="1"/>
  <c r="H27" i="42"/>
  <c r="I27" i="42" s="1"/>
  <c r="G27" i="42"/>
  <c r="G26" i="42"/>
  <c r="H26" i="42" s="1"/>
  <c r="I26" i="42" s="1"/>
  <c r="G25" i="42"/>
  <c r="H25" i="42" s="1"/>
  <c r="I25" i="42" s="1"/>
  <c r="J48" i="42" l="1"/>
  <c r="R48" i="42" s="1"/>
  <c r="S48" i="42" s="1"/>
  <c r="N47" i="42"/>
  <c r="O47" i="42" s="1"/>
  <c r="J46" i="42"/>
  <c r="R46" i="42" s="1"/>
  <c r="S46" i="42" s="1"/>
  <c r="P78" i="42"/>
  <c r="P68" i="42"/>
  <c r="P63" i="42"/>
  <c r="P67" i="42"/>
  <c r="L46" i="42"/>
  <c r="M46" i="42" s="1"/>
  <c r="I46" i="42"/>
  <c r="J61" i="42"/>
  <c r="K61" i="42" s="1"/>
  <c r="H61" i="42"/>
  <c r="I67" i="42"/>
  <c r="N67" i="42" s="1"/>
  <c r="O67" i="42" s="1"/>
  <c r="H60" i="42"/>
  <c r="L62" i="42"/>
  <c r="M62" i="42" s="1"/>
  <c r="P62" i="42" s="1"/>
  <c r="J66" i="42"/>
  <c r="K66" i="42" s="1"/>
  <c r="P66" i="42" s="1"/>
  <c r="L78" i="42"/>
  <c r="M78" i="42" s="1"/>
  <c r="H80" i="42"/>
  <c r="H72" i="42"/>
  <c r="J77" i="42"/>
  <c r="K77" i="42" s="1"/>
  <c r="H77" i="42"/>
  <c r="N45" i="42"/>
  <c r="O45" i="42" s="1"/>
  <c r="L47" i="42"/>
  <c r="M47" i="42" s="1"/>
  <c r="I47" i="42"/>
  <c r="N49" i="42"/>
  <c r="O49" i="42" s="1"/>
  <c r="J65" i="42"/>
  <c r="K65" i="42" s="1"/>
  <c r="H65" i="42"/>
  <c r="J58" i="42"/>
  <c r="K58" i="42" s="1"/>
  <c r="H58" i="42"/>
  <c r="L66" i="42"/>
  <c r="M66" i="42" s="1"/>
  <c r="J70" i="42"/>
  <c r="K70" i="42" s="1"/>
  <c r="P70" i="42" s="1"/>
  <c r="I76" i="42"/>
  <c r="N76" i="42" s="1"/>
  <c r="O76" i="42" s="1"/>
  <c r="P76" i="42" s="1"/>
  <c r="L48" i="42"/>
  <c r="M48" i="42" s="1"/>
  <c r="I48" i="42"/>
  <c r="L59" i="42"/>
  <c r="M59" i="42" s="1"/>
  <c r="P59" i="42" s="1"/>
  <c r="H64" i="42"/>
  <c r="J69" i="42"/>
  <c r="K69" i="42" s="1"/>
  <c r="H69" i="42"/>
  <c r="I75" i="42"/>
  <c r="N75" i="42" s="1"/>
  <c r="O75" i="42" s="1"/>
  <c r="P75" i="42" s="1"/>
  <c r="L50" i="42"/>
  <c r="M50" i="42" s="1"/>
  <c r="I50" i="42"/>
  <c r="L70" i="42"/>
  <c r="M70" i="42" s="1"/>
  <c r="L45" i="42"/>
  <c r="M45" i="42" s="1"/>
  <c r="I45" i="42"/>
  <c r="L49" i="42"/>
  <c r="M49" i="42" s="1"/>
  <c r="I49" i="42"/>
  <c r="J73" i="42"/>
  <c r="K73" i="42" s="1"/>
  <c r="H73" i="42"/>
  <c r="P74" i="42"/>
  <c r="I73" i="42" l="1"/>
  <c r="N73" i="42" s="1"/>
  <c r="O73" i="42" s="1"/>
  <c r="L73" i="42"/>
  <c r="M73" i="42" s="1"/>
  <c r="P73" i="42" s="1"/>
  <c r="K47" i="42"/>
  <c r="T47" i="42" s="1"/>
  <c r="U47" i="42" s="1"/>
  <c r="P47" i="42"/>
  <c r="Q47" i="42" s="1"/>
  <c r="V47" i="42" s="1"/>
  <c r="K49" i="42"/>
  <c r="T49" i="42" s="1"/>
  <c r="U49" i="42" s="1"/>
  <c r="P49" i="42"/>
  <c r="Q49" i="42" s="1"/>
  <c r="V49" i="42" s="1"/>
  <c r="L69" i="42"/>
  <c r="M69" i="42" s="1"/>
  <c r="P69" i="42" s="1"/>
  <c r="I69" i="42"/>
  <c r="N69" i="42" s="1"/>
  <c r="O69" i="42" s="1"/>
  <c r="L60" i="42"/>
  <c r="M60" i="42" s="1"/>
  <c r="I60" i="42"/>
  <c r="N60" i="42" s="1"/>
  <c r="O60" i="42" s="1"/>
  <c r="K45" i="42"/>
  <c r="T45" i="42" s="1"/>
  <c r="U45" i="42" s="1"/>
  <c r="P45" i="42"/>
  <c r="Q45" i="42" s="1"/>
  <c r="V45" i="42" s="1"/>
  <c r="L64" i="42"/>
  <c r="M64" i="42" s="1"/>
  <c r="P64" i="42" s="1"/>
  <c r="I64" i="42"/>
  <c r="N64" i="42" s="1"/>
  <c r="O64" i="42" s="1"/>
  <c r="L61" i="42"/>
  <c r="M61" i="42" s="1"/>
  <c r="I61" i="42"/>
  <c r="N61" i="42" s="1"/>
  <c r="O61" i="42" s="1"/>
  <c r="L65" i="42"/>
  <c r="M65" i="42" s="1"/>
  <c r="P65" i="42" s="1"/>
  <c r="I65" i="42"/>
  <c r="N65" i="42" s="1"/>
  <c r="O65" i="42" s="1"/>
  <c r="L72" i="42"/>
  <c r="M72" i="42" s="1"/>
  <c r="P72" i="42" s="1"/>
  <c r="I72" i="42"/>
  <c r="N72" i="42" s="1"/>
  <c r="O72" i="42" s="1"/>
  <c r="K48" i="42"/>
  <c r="T48" i="42" s="1"/>
  <c r="U48" i="42" s="1"/>
  <c r="P48" i="42"/>
  <c r="Q48" i="42" s="1"/>
  <c r="V48" i="42" s="1"/>
  <c r="L80" i="42"/>
  <c r="M80" i="42" s="1"/>
  <c r="I80" i="42"/>
  <c r="N80" i="42" s="1"/>
  <c r="O80" i="42" s="1"/>
  <c r="K46" i="42"/>
  <c r="T46" i="42" s="1"/>
  <c r="U46" i="42" s="1"/>
  <c r="P46" i="42"/>
  <c r="Q46" i="42" s="1"/>
  <c r="V46" i="42" s="1"/>
  <c r="L58" i="42"/>
  <c r="M58" i="42" s="1"/>
  <c r="I58" i="42"/>
  <c r="N58" i="42" s="1"/>
  <c r="O58" i="42" s="1"/>
  <c r="L77" i="42"/>
  <c r="M77" i="42" s="1"/>
  <c r="P77" i="42" s="1"/>
  <c r="I77" i="42"/>
  <c r="N77" i="42" s="1"/>
  <c r="O77" i="42" s="1"/>
  <c r="P58" i="42"/>
  <c r="P61" i="42"/>
  <c r="K50" i="42"/>
  <c r="T50" i="42" s="1"/>
  <c r="U50" i="42" s="1"/>
  <c r="P50" i="42"/>
  <c r="Q50" i="42" s="1"/>
  <c r="V50" i="42" s="1"/>
  <c r="E88" i="42" l="1"/>
  <c r="V51" i="42"/>
  <c r="P60" i="42"/>
  <c r="E89" i="42" s="1"/>
  <c r="P81" i="42"/>
  <c r="P80" i="42"/>
  <c r="E90" i="42" l="1"/>
  <c r="E91" i="42" l="1"/>
  <c r="E92" i="42" s="1"/>
  <c r="E93" i="42"/>
  <c r="I82" i="41" l="1"/>
  <c r="H82" i="41"/>
  <c r="G82" i="41"/>
  <c r="I31" i="41"/>
  <c r="H31" i="41"/>
  <c r="G31" i="41"/>
  <c r="N80" i="41"/>
  <c r="O80" i="41" s="1"/>
  <c r="L80" i="41"/>
  <c r="M80" i="41" s="1"/>
  <c r="J80" i="41"/>
  <c r="K80" i="41" s="1"/>
  <c r="P80" i="41" s="1"/>
  <c r="O79" i="41"/>
  <c r="P79" i="41" s="1"/>
  <c r="N79" i="41"/>
  <c r="L79" i="41"/>
  <c r="M79" i="41" s="1"/>
  <c r="J79" i="41"/>
  <c r="K79" i="41" s="1"/>
  <c r="N78" i="41"/>
  <c r="O78" i="41" s="1"/>
  <c r="L78" i="41"/>
  <c r="M78" i="41" s="1"/>
  <c r="J78" i="41"/>
  <c r="K78" i="41" s="1"/>
  <c r="N77" i="41"/>
  <c r="O77" i="41" s="1"/>
  <c r="M77" i="41"/>
  <c r="L77" i="41"/>
  <c r="J77" i="41"/>
  <c r="K77" i="41" s="1"/>
  <c r="N76" i="41"/>
  <c r="O76" i="41" s="1"/>
  <c r="L76" i="41"/>
  <c r="M76" i="41" s="1"/>
  <c r="J76" i="41"/>
  <c r="K76" i="41" s="1"/>
  <c r="N75" i="41"/>
  <c r="O75" i="41" s="1"/>
  <c r="L75" i="41"/>
  <c r="M75" i="41" s="1"/>
  <c r="K75" i="41"/>
  <c r="J75" i="41"/>
  <c r="N74" i="41"/>
  <c r="O74" i="41" s="1"/>
  <c r="L74" i="41"/>
  <c r="M74" i="41" s="1"/>
  <c r="J74" i="41"/>
  <c r="K74" i="41" s="1"/>
  <c r="P74" i="41" s="1"/>
  <c r="N73" i="41"/>
  <c r="O73" i="41" s="1"/>
  <c r="L73" i="41"/>
  <c r="M73" i="41" s="1"/>
  <c r="J73" i="41"/>
  <c r="K73" i="41" s="1"/>
  <c r="N72" i="41"/>
  <c r="O72" i="41" s="1"/>
  <c r="L72" i="41"/>
  <c r="M72" i="41" s="1"/>
  <c r="J72" i="41"/>
  <c r="K72" i="41" s="1"/>
  <c r="P72" i="41" s="1"/>
  <c r="O71" i="41"/>
  <c r="P71" i="41" s="1"/>
  <c r="N71" i="41"/>
  <c r="L71" i="41"/>
  <c r="M71" i="41" s="1"/>
  <c r="J71" i="41"/>
  <c r="K71" i="41" s="1"/>
  <c r="N70" i="41"/>
  <c r="O70" i="41" s="1"/>
  <c r="L70" i="41"/>
  <c r="M70" i="41" s="1"/>
  <c r="J70" i="41"/>
  <c r="K70" i="41" s="1"/>
  <c r="N69" i="41"/>
  <c r="O69" i="41" s="1"/>
  <c r="M69" i="41"/>
  <c r="L69" i="41"/>
  <c r="J69" i="41"/>
  <c r="K69" i="41" s="1"/>
  <c r="N68" i="41"/>
  <c r="O68" i="41" s="1"/>
  <c r="L68" i="41"/>
  <c r="M68" i="41" s="1"/>
  <c r="J68" i="41"/>
  <c r="K68" i="41" s="1"/>
  <c r="N67" i="41"/>
  <c r="O67" i="41" s="1"/>
  <c r="L67" i="41"/>
  <c r="M67" i="41" s="1"/>
  <c r="K67" i="41"/>
  <c r="J67" i="41"/>
  <c r="N66" i="41"/>
  <c r="O66" i="41" s="1"/>
  <c r="L66" i="41"/>
  <c r="M66" i="41" s="1"/>
  <c r="J66" i="41"/>
  <c r="K66" i="41" s="1"/>
  <c r="P66" i="41" s="1"/>
  <c r="N65" i="41"/>
  <c r="O65" i="41" s="1"/>
  <c r="L65" i="41"/>
  <c r="M65" i="41" s="1"/>
  <c r="J65" i="41"/>
  <c r="K65" i="41" s="1"/>
  <c r="N64" i="41"/>
  <c r="O64" i="41" s="1"/>
  <c r="L64" i="41"/>
  <c r="M64" i="41" s="1"/>
  <c r="J64" i="41"/>
  <c r="K64" i="41" s="1"/>
  <c r="P64" i="41" s="1"/>
  <c r="O63" i="41"/>
  <c r="P63" i="41" s="1"/>
  <c r="N63" i="41"/>
  <c r="L63" i="41"/>
  <c r="M63" i="41" s="1"/>
  <c r="J63" i="41"/>
  <c r="K63" i="41" s="1"/>
  <c r="N62" i="41"/>
  <c r="O62" i="41" s="1"/>
  <c r="L62" i="41"/>
  <c r="M62" i="41" s="1"/>
  <c r="J62" i="41"/>
  <c r="K62" i="41" s="1"/>
  <c r="N61" i="41"/>
  <c r="O61" i="41" s="1"/>
  <c r="M61" i="41"/>
  <c r="F61" i="41"/>
  <c r="L61" i="41" s="1"/>
  <c r="N60" i="41"/>
  <c r="O60" i="41" s="1"/>
  <c r="F60" i="41"/>
  <c r="L60" i="41" s="1"/>
  <c r="M60" i="41" s="1"/>
  <c r="N59" i="41"/>
  <c r="O59" i="41" s="1"/>
  <c r="M59" i="41"/>
  <c r="L59" i="41"/>
  <c r="J59" i="41"/>
  <c r="K59" i="41" s="1"/>
  <c r="N58" i="41"/>
  <c r="O58" i="41" s="1"/>
  <c r="L58" i="41"/>
  <c r="M58" i="41" s="1"/>
  <c r="J58" i="41"/>
  <c r="K58" i="41" s="1"/>
  <c r="H50" i="41"/>
  <c r="N50" i="41" s="1"/>
  <c r="O50" i="41" s="1"/>
  <c r="G50" i="41"/>
  <c r="I50" i="41" s="1"/>
  <c r="P50" i="41" s="1"/>
  <c r="Q50" i="41" s="1"/>
  <c r="N49" i="41"/>
  <c r="O49" i="41" s="1"/>
  <c r="H49" i="41"/>
  <c r="J49" i="41" s="1"/>
  <c r="R49" i="41" s="1"/>
  <c r="S49" i="41" s="1"/>
  <c r="G49" i="41"/>
  <c r="I49" i="41" s="1"/>
  <c r="P49" i="41" s="1"/>
  <c r="Q49" i="41" s="1"/>
  <c r="N48" i="41"/>
  <c r="O48" i="41" s="1"/>
  <c r="L48" i="41"/>
  <c r="M48" i="41" s="1"/>
  <c r="K48" i="41"/>
  <c r="T48" i="41" s="1"/>
  <c r="U48" i="41" s="1"/>
  <c r="J48" i="41"/>
  <c r="R48" i="41" s="1"/>
  <c r="S48" i="41" s="1"/>
  <c r="H48" i="41"/>
  <c r="G48" i="41"/>
  <c r="I48" i="41" s="1"/>
  <c r="P48" i="41" s="1"/>
  <c r="Q48" i="41" s="1"/>
  <c r="H47" i="41"/>
  <c r="N47" i="41" s="1"/>
  <c r="O47" i="41" s="1"/>
  <c r="G47" i="41"/>
  <c r="I47" i="41" s="1"/>
  <c r="P47" i="41" s="1"/>
  <c r="Q47" i="41" s="1"/>
  <c r="H46" i="41"/>
  <c r="N46" i="41" s="1"/>
  <c r="O46" i="41" s="1"/>
  <c r="G46" i="41"/>
  <c r="I46" i="41" s="1"/>
  <c r="P46" i="41" s="1"/>
  <c r="Q46" i="41" s="1"/>
  <c r="H45" i="41"/>
  <c r="N45" i="41" s="1"/>
  <c r="O45" i="41" s="1"/>
  <c r="G45" i="41"/>
  <c r="I45" i="41" s="1"/>
  <c r="P45" i="41" s="1"/>
  <c r="Q45" i="41" s="1"/>
  <c r="M36" i="41"/>
  <c r="L36" i="41"/>
  <c r="K36" i="41"/>
  <c r="J36" i="41"/>
  <c r="I36" i="41"/>
  <c r="H35" i="41"/>
  <c r="J46" i="41" l="1"/>
  <c r="R46" i="41" s="1"/>
  <c r="S46" i="41" s="1"/>
  <c r="K47" i="41"/>
  <c r="T47" i="41" s="1"/>
  <c r="U47" i="41" s="1"/>
  <c r="J45" i="41"/>
  <c r="R45" i="41" s="1"/>
  <c r="S45" i="41" s="1"/>
  <c r="J47" i="41"/>
  <c r="R47" i="41" s="1"/>
  <c r="S47" i="41" s="1"/>
  <c r="J50" i="41"/>
  <c r="R50" i="41" s="1"/>
  <c r="S50" i="41" s="1"/>
  <c r="K46" i="41"/>
  <c r="T46" i="41" s="1"/>
  <c r="U46" i="41" s="1"/>
  <c r="L47" i="41"/>
  <c r="M47" i="41" s="1"/>
  <c r="V47" i="41" s="1"/>
  <c r="L50" i="41"/>
  <c r="M50" i="41" s="1"/>
  <c r="V50" i="41" s="1"/>
  <c r="L46" i="41"/>
  <c r="M46" i="41" s="1"/>
  <c r="L45" i="41"/>
  <c r="M45" i="41" s="1"/>
  <c r="L49" i="41"/>
  <c r="M49" i="41" s="1"/>
  <c r="V46" i="41"/>
  <c r="P58" i="41"/>
  <c r="P62" i="41"/>
  <c r="P68" i="41"/>
  <c r="P76" i="41"/>
  <c r="K49" i="41"/>
  <c r="T49" i="41" s="1"/>
  <c r="U49" i="41" s="1"/>
  <c r="V49" i="41"/>
  <c r="V45" i="41"/>
  <c r="P70" i="41"/>
  <c r="P78" i="41"/>
  <c r="V48" i="41"/>
  <c r="K50" i="41"/>
  <c r="T50" i="41" s="1"/>
  <c r="U50" i="41" s="1"/>
  <c r="P59" i="41"/>
  <c r="P69" i="41"/>
  <c r="P77" i="41"/>
  <c r="K45" i="41"/>
  <c r="T45" i="41" s="1"/>
  <c r="U45" i="41" s="1"/>
  <c r="P65" i="41"/>
  <c r="P67" i="41"/>
  <c r="P73" i="41"/>
  <c r="P75" i="41"/>
  <c r="J60" i="41"/>
  <c r="K60" i="41" s="1"/>
  <c r="P60" i="41" s="1"/>
  <c r="J61" i="41"/>
  <c r="K61" i="41" s="1"/>
  <c r="P61" i="41" s="1"/>
  <c r="V51" i="41" l="1"/>
  <c r="E88" i="41"/>
  <c r="E89" i="41"/>
  <c r="P81" i="41"/>
  <c r="E90" i="41" l="1"/>
  <c r="E91" i="41" l="1"/>
  <c r="E92" i="41" s="1"/>
  <c r="E93" i="41" s="1"/>
  <c r="I82" i="40" l="1"/>
  <c r="H82" i="40"/>
  <c r="G82" i="40"/>
  <c r="I31" i="40"/>
  <c r="H31" i="40"/>
  <c r="G31" i="40"/>
  <c r="I31" i="39"/>
  <c r="H31" i="39"/>
  <c r="G31" i="39"/>
  <c r="L80" i="40"/>
  <c r="M80" i="40" s="1"/>
  <c r="J80" i="40"/>
  <c r="K80" i="40" s="1"/>
  <c r="H80" i="40"/>
  <c r="I80" i="40" s="1"/>
  <c r="N80" i="40" s="1"/>
  <c r="O80" i="40" s="1"/>
  <c r="L79" i="40"/>
  <c r="M79" i="40" s="1"/>
  <c r="J79" i="40"/>
  <c r="K79" i="40" s="1"/>
  <c r="P79" i="40" s="1"/>
  <c r="I79" i="40"/>
  <c r="N79" i="40" s="1"/>
  <c r="O79" i="40" s="1"/>
  <c r="H79" i="40"/>
  <c r="L78" i="40"/>
  <c r="M78" i="40" s="1"/>
  <c r="J78" i="40"/>
  <c r="K78" i="40" s="1"/>
  <c r="H78" i="40"/>
  <c r="I78" i="40" s="1"/>
  <c r="N78" i="40" s="1"/>
  <c r="O78" i="40" s="1"/>
  <c r="N77" i="40"/>
  <c r="O77" i="40" s="1"/>
  <c r="L77" i="40"/>
  <c r="M77" i="40" s="1"/>
  <c r="K77" i="40"/>
  <c r="J77" i="40"/>
  <c r="H77" i="40"/>
  <c r="I77" i="40" s="1"/>
  <c r="N76" i="40"/>
  <c r="O76" i="40" s="1"/>
  <c r="J76" i="40"/>
  <c r="K76" i="40" s="1"/>
  <c r="H76" i="40"/>
  <c r="I76" i="40" s="1"/>
  <c r="M75" i="40"/>
  <c r="J75" i="40"/>
  <c r="K75" i="40" s="1"/>
  <c r="H75" i="40"/>
  <c r="L75" i="40" s="1"/>
  <c r="J74" i="40"/>
  <c r="K74" i="40" s="1"/>
  <c r="I74" i="40"/>
  <c r="N74" i="40" s="1"/>
  <c r="O74" i="40" s="1"/>
  <c r="H74" i="40"/>
  <c r="L74" i="40" s="1"/>
  <c r="M74" i="40" s="1"/>
  <c r="J73" i="40"/>
  <c r="K73" i="40" s="1"/>
  <c r="H73" i="40"/>
  <c r="L73" i="40" s="1"/>
  <c r="M73" i="40" s="1"/>
  <c r="J72" i="40"/>
  <c r="K72" i="40" s="1"/>
  <c r="H72" i="40"/>
  <c r="L72" i="40" s="1"/>
  <c r="M72" i="40" s="1"/>
  <c r="L71" i="40"/>
  <c r="M71" i="40" s="1"/>
  <c r="K71" i="40"/>
  <c r="J71" i="40"/>
  <c r="I71" i="40"/>
  <c r="N71" i="40" s="1"/>
  <c r="O71" i="40" s="1"/>
  <c r="H71" i="40"/>
  <c r="N70" i="40"/>
  <c r="O70" i="40" s="1"/>
  <c r="L70" i="40"/>
  <c r="M70" i="40" s="1"/>
  <c r="J70" i="40"/>
  <c r="K70" i="40" s="1"/>
  <c r="P70" i="40" s="1"/>
  <c r="H70" i="40"/>
  <c r="I70" i="40" s="1"/>
  <c r="L69" i="40"/>
  <c r="M69" i="40" s="1"/>
  <c r="K69" i="40"/>
  <c r="J69" i="40"/>
  <c r="H69" i="40"/>
  <c r="I69" i="40" s="1"/>
  <c r="N69" i="40" s="1"/>
  <c r="O69" i="40" s="1"/>
  <c r="J68" i="40"/>
  <c r="K68" i="40" s="1"/>
  <c r="H68" i="40"/>
  <c r="I68" i="40" s="1"/>
  <c r="N68" i="40" s="1"/>
  <c r="O68" i="40" s="1"/>
  <c r="J67" i="40"/>
  <c r="K67" i="40" s="1"/>
  <c r="H67" i="40"/>
  <c r="L67" i="40" s="1"/>
  <c r="M67" i="40" s="1"/>
  <c r="J66" i="40"/>
  <c r="K66" i="40" s="1"/>
  <c r="H66" i="40"/>
  <c r="L66" i="40" s="1"/>
  <c r="M66" i="40" s="1"/>
  <c r="J65" i="40"/>
  <c r="K65" i="40" s="1"/>
  <c r="H65" i="40"/>
  <c r="L65" i="40" s="1"/>
  <c r="M65" i="40" s="1"/>
  <c r="J64" i="40"/>
  <c r="K64" i="40" s="1"/>
  <c r="H64" i="40"/>
  <c r="L64" i="40" s="1"/>
  <c r="M64" i="40" s="1"/>
  <c r="L63" i="40"/>
  <c r="M63" i="40" s="1"/>
  <c r="J63" i="40"/>
  <c r="K63" i="40" s="1"/>
  <c r="P63" i="40" s="1"/>
  <c r="I63" i="40"/>
  <c r="N63" i="40" s="1"/>
  <c r="O63" i="40" s="1"/>
  <c r="H63" i="40"/>
  <c r="N62" i="40"/>
  <c r="O62" i="40" s="1"/>
  <c r="M62" i="40"/>
  <c r="L62" i="40"/>
  <c r="J62" i="40"/>
  <c r="K62" i="40" s="1"/>
  <c r="P62" i="40" s="1"/>
  <c r="H62" i="40"/>
  <c r="I62" i="40" s="1"/>
  <c r="G61" i="40"/>
  <c r="F61" i="40"/>
  <c r="J60" i="40"/>
  <c r="K60" i="40" s="1"/>
  <c r="I60" i="40"/>
  <c r="N60" i="40" s="1"/>
  <c r="O60" i="40" s="1"/>
  <c r="H60" i="40"/>
  <c r="F60" i="40"/>
  <c r="J59" i="40"/>
  <c r="K59" i="40" s="1"/>
  <c r="H59" i="40"/>
  <c r="L59" i="40" s="1"/>
  <c r="M59" i="40" s="1"/>
  <c r="L58" i="40"/>
  <c r="M58" i="40" s="1"/>
  <c r="J58" i="40"/>
  <c r="K58" i="40" s="1"/>
  <c r="P58" i="40" s="1"/>
  <c r="I58" i="40"/>
  <c r="N58" i="40" s="1"/>
  <c r="O58" i="40" s="1"/>
  <c r="H58" i="40"/>
  <c r="N50" i="40"/>
  <c r="O50" i="40" s="1"/>
  <c r="L50" i="40"/>
  <c r="M50" i="40" s="1"/>
  <c r="J50" i="40"/>
  <c r="R50" i="40" s="1"/>
  <c r="S50" i="40" s="1"/>
  <c r="H50" i="40"/>
  <c r="G50" i="40"/>
  <c r="I50" i="40" s="1"/>
  <c r="N49" i="40"/>
  <c r="O49" i="40" s="1"/>
  <c r="L49" i="40"/>
  <c r="M49" i="40" s="1"/>
  <c r="J49" i="40"/>
  <c r="R49" i="40" s="1"/>
  <c r="S49" i="40" s="1"/>
  <c r="H49" i="40"/>
  <c r="G49" i="40"/>
  <c r="I49" i="40" s="1"/>
  <c r="P49" i="40" s="1"/>
  <c r="Q49" i="40" s="1"/>
  <c r="N48" i="40"/>
  <c r="O48" i="40" s="1"/>
  <c r="L48" i="40"/>
  <c r="M48" i="40" s="1"/>
  <c r="J48" i="40"/>
  <c r="R48" i="40" s="1"/>
  <c r="S48" i="40" s="1"/>
  <c r="H48" i="40"/>
  <c r="G48" i="40"/>
  <c r="I48" i="40" s="1"/>
  <c r="P48" i="40" s="1"/>
  <c r="Q48" i="40" s="1"/>
  <c r="L47" i="40"/>
  <c r="M47" i="40" s="1"/>
  <c r="I47" i="40"/>
  <c r="P47" i="40" s="1"/>
  <c r="Q47" i="40" s="1"/>
  <c r="H47" i="40"/>
  <c r="J47" i="40" s="1"/>
  <c r="R47" i="40" s="1"/>
  <c r="S47" i="40" s="1"/>
  <c r="G47" i="40"/>
  <c r="L46" i="40"/>
  <c r="M46" i="40" s="1"/>
  <c r="I46" i="40"/>
  <c r="P46" i="40" s="1"/>
  <c r="Q46" i="40" s="1"/>
  <c r="H46" i="40"/>
  <c r="J46" i="40" s="1"/>
  <c r="R46" i="40" s="1"/>
  <c r="S46" i="40" s="1"/>
  <c r="G46" i="40"/>
  <c r="L45" i="40"/>
  <c r="M45" i="40" s="1"/>
  <c r="I45" i="40"/>
  <c r="P45" i="40" s="1"/>
  <c r="Q45" i="40" s="1"/>
  <c r="H45" i="40"/>
  <c r="N45" i="40" s="1"/>
  <c r="O45" i="40" s="1"/>
  <c r="G45" i="40"/>
  <c r="M36" i="40"/>
  <c r="L36" i="40"/>
  <c r="K36" i="40"/>
  <c r="J36" i="40"/>
  <c r="I36" i="40"/>
  <c r="H35" i="40"/>
  <c r="P50" i="40" l="1"/>
  <c r="Q50" i="40" s="1"/>
  <c r="K50" i="40"/>
  <c r="T50" i="40" s="1"/>
  <c r="U50" i="40" s="1"/>
  <c r="V50" i="40" s="1"/>
  <c r="J45" i="40"/>
  <c r="R45" i="40" s="1"/>
  <c r="S45" i="40" s="1"/>
  <c r="N46" i="40"/>
  <c r="O46" i="40" s="1"/>
  <c r="N47" i="40"/>
  <c r="O47" i="40" s="1"/>
  <c r="V47" i="40" s="1"/>
  <c r="P74" i="40"/>
  <c r="P59" i="40"/>
  <c r="P68" i="40"/>
  <c r="P80" i="40"/>
  <c r="P78" i="40"/>
  <c r="V46" i="40"/>
  <c r="P71" i="40"/>
  <c r="I59" i="40"/>
  <c r="N59" i="40" s="1"/>
  <c r="O59" i="40" s="1"/>
  <c r="I64" i="40"/>
  <c r="N64" i="40" s="1"/>
  <c r="O64" i="40" s="1"/>
  <c r="P64" i="40" s="1"/>
  <c r="K47" i="40"/>
  <c r="T47" i="40" s="1"/>
  <c r="U47" i="40" s="1"/>
  <c r="P69" i="40"/>
  <c r="I73" i="40"/>
  <c r="N73" i="40" s="1"/>
  <c r="O73" i="40" s="1"/>
  <c r="P73" i="40" s="1"/>
  <c r="I67" i="40"/>
  <c r="N67" i="40" s="1"/>
  <c r="O67" i="40" s="1"/>
  <c r="P67" i="40" s="1"/>
  <c r="L68" i="40"/>
  <c r="M68" i="40" s="1"/>
  <c r="K49" i="40"/>
  <c r="T49" i="40" s="1"/>
  <c r="U49" i="40" s="1"/>
  <c r="V49" i="40" s="1"/>
  <c r="I72" i="40"/>
  <c r="N72" i="40" s="1"/>
  <c r="O72" i="40" s="1"/>
  <c r="P72" i="40" s="1"/>
  <c r="K46" i="40"/>
  <c r="T46" i="40" s="1"/>
  <c r="U46" i="40" s="1"/>
  <c r="I66" i="40"/>
  <c r="N66" i="40" s="1"/>
  <c r="O66" i="40" s="1"/>
  <c r="P66" i="40" s="1"/>
  <c r="P77" i="40"/>
  <c r="J61" i="40"/>
  <c r="K61" i="40" s="1"/>
  <c r="H61" i="40"/>
  <c r="I75" i="40"/>
  <c r="N75" i="40" s="1"/>
  <c r="O75" i="40" s="1"/>
  <c r="P75" i="40" s="1"/>
  <c r="L76" i="40"/>
  <c r="M76" i="40" s="1"/>
  <c r="P76" i="40" s="1"/>
  <c r="K45" i="40"/>
  <c r="T45" i="40" s="1"/>
  <c r="U45" i="40" s="1"/>
  <c r="V45" i="40" s="1"/>
  <c r="K48" i="40"/>
  <c r="T48" i="40" s="1"/>
  <c r="U48" i="40" s="1"/>
  <c r="V48" i="40" s="1"/>
  <c r="L60" i="40"/>
  <c r="M60" i="40" s="1"/>
  <c r="P60" i="40" s="1"/>
  <c r="I65" i="40"/>
  <c r="N65" i="40" s="1"/>
  <c r="O65" i="40" s="1"/>
  <c r="P65" i="40" s="1"/>
  <c r="V51" i="40" l="1"/>
  <c r="E88" i="40"/>
  <c r="I61" i="40"/>
  <c r="N61" i="40" s="1"/>
  <c r="O61" i="40" s="1"/>
  <c r="L61" i="40"/>
  <c r="M61" i="40" s="1"/>
  <c r="P61" i="40"/>
  <c r="E89" i="40" s="1"/>
  <c r="P81" i="40" l="1"/>
  <c r="E90" i="40"/>
  <c r="E91" i="40" l="1"/>
  <c r="E92" i="40" s="1"/>
  <c r="E93" i="40" s="1"/>
  <c r="I82" i="39" l="1"/>
  <c r="H82" i="39"/>
  <c r="G82" i="39"/>
  <c r="I82" i="38"/>
  <c r="H82" i="38"/>
  <c r="G82" i="38"/>
  <c r="N80" i="39"/>
  <c r="O80" i="39" s="1"/>
  <c r="L80" i="39"/>
  <c r="M80" i="39" s="1"/>
  <c r="J80" i="39"/>
  <c r="K80" i="39" s="1"/>
  <c r="O79" i="39"/>
  <c r="N79" i="39"/>
  <c r="M79" i="39"/>
  <c r="L79" i="39"/>
  <c r="J79" i="39"/>
  <c r="K79" i="39" s="1"/>
  <c r="P79" i="39" s="1"/>
  <c r="N78" i="39"/>
  <c r="O78" i="39" s="1"/>
  <c r="L78" i="39"/>
  <c r="M78" i="39" s="1"/>
  <c r="J78" i="39"/>
  <c r="K78" i="39" s="1"/>
  <c r="N77" i="39"/>
  <c r="O77" i="39" s="1"/>
  <c r="M77" i="39"/>
  <c r="P77" i="39" s="1"/>
  <c r="L77" i="39"/>
  <c r="K77" i="39"/>
  <c r="J77" i="39"/>
  <c r="N76" i="39"/>
  <c r="O76" i="39" s="1"/>
  <c r="L76" i="39"/>
  <c r="M76" i="39" s="1"/>
  <c r="J76" i="39"/>
  <c r="K76" i="39" s="1"/>
  <c r="N75" i="39"/>
  <c r="O75" i="39" s="1"/>
  <c r="L75" i="39"/>
  <c r="M75" i="39" s="1"/>
  <c r="K75" i="39"/>
  <c r="P75" i="39" s="1"/>
  <c r="J75" i="39"/>
  <c r="N74" i="39"/>
  <c r="O74" i="39" s="1"/>
  <c r="L74" i="39"/>
  <c r="M74" i="39" s="1"/>
  <c r="J74" i="39"/>
  <c r="K74" i="39" s="1"/>
  <c r="O73" i="39"/>
  <c r="N73" i="39"/>
  <c r="L73" i="39"/>
  <c r="M73" i="39" s="1"/>
  <c r="J73" i="39"/>
  <c r="K73" i="39" s="1"/>
  <c r="P73" i="39" s="1"/>
  <c r="N72" i="39"/>
  <c r="O72" i="39" s="1"/>
  <c r="L72" i="39"/>
  <c r="M72" i="39" s="1"/>
  <c r="J72" i="39"/>
  <c r="K72" i="39" s="1"/>
  <c r="P72" i="39" s="1"/>
  <c r="O71" i="39"/>
  <c r="N71" i="39"/>
  <c r="M71" i="39"/>
  <c r="L71" i="39"/>
  <c r="J71" i="39"/>
  <c r="K71" i="39" s="1"/>
  <c r="P71" i="39" s="1"/>
  <c r="N70" i="39"/>
  <c r="O70" i="39" s="1"/>
  <c r="L70" i="39"/>
  <c r="M70" i="39" s="1"/>
  <c r="J70" i="39"/>
  <c r="K70" i="39" s="1"/>
  <c r="P70" i="39" s="1"/>
  <c r="N69" i="39"/>
  <c r="O69" i="39" s="1"/>
  <c r="M69" i="39"/>
  <c r="L69" i="39"/>
  <c r="K69" i="39"/>
  <c r="J69" i="39"/>
  <c r="N68" i="39"/>
  <c r="O68" i="39" s="1"/>
  <c r="L68" i="39"/>
  <c r="M68" i="39" s="1"/>
  <c r="J68" i="39"/>
  <c r="K68" i="39" s="1"/>
  <c r="P68" i="39" s="1"/>
  <c r="N67" i="39"/>
  <c r="O67" i="39" s="1"/>
  <c r="L67" i="39"/>
  <c r="M67" i="39" s="1"/>
  <c r="K67" i="39"/>
  <c r="J67" i="39"/>
  <c r="N66" i="39"/>
  <c r="O66" i="39" s="1"/>
  <c r="L66" i="39"/>
  <c r="M66" i="39" s="1"/>
  <c r="J66" i="39"/>
  <c r="K66" i="39" s="1"/>
  <c r="P66" i="39" s="1"/>
  <c r="O65" i="39"/>
  <c r="N65" i="39"/>
  <c r="L65" i="39"/>
  <c r="M65" i="39" s="1"/>
  <c r="J65" i="39"/>
  <c r="K65" i="39" s="1"/>
  <c r="P65" i="39" s="1"/>
  <c r="N64" i="39"/>
  <c r="O64" i="39" s="1"/>
  <c r="L64" i="39"/>
  <c r="M64" i="39" s="1"/>
  <c r="J64" i="39"/>
  <c r="K64" i="39" s="1"/>
  <c r="P64" i="39" s="1"/>
  <c r="O63" i="39"/>
  <c r="N63" i="39"/>
  <c r="M63" i="39"/>
  <c r="L63" i="39"/>
  <c r="J63" i="39"/>
  <c r="K63" i="39" s="1"/>
  <c r="P63" i="39" s="1"/>
  <c r="N62" i="39"/>
  <c r="O62" i="39" s="1"/>
  <c r="L62" i="39"/>
  <c r="M62" i="39" s="1"/>
  <c r="J62" i="39"/>
  <c r="K62" i="39" s="1"/>
  <c r="P62" i="39" s="1"/>
  <c r="N61" i="39"/>
  <c r="O61" i="39" s="1"/>
  <c r="F61" i="39"/>
  <c r="L61" i="39" s="1"/>
  <c r="M61" i="39" s="1"/>
  <c r="N60" i="39"/>
  <c r="O60" i="39" s="1"/>
  <c r="F60" i="39"/>
  <c r="L60" i="39" s="1"/>
  <c r="M60" i="39" s="1"/>
  <c r="N59" i="39"/>
  <c r="O59" i="39" s="1"/>
  <c r="M59" i="39"/>
  <c r="P59" i="39" s="1"/>
  <c r="L59" i="39"/>
  <c r="K59" i="39"/>
  <c r="J59" i="39"/>
  <c r="N58" i="39"/>
  <c r="O58" i="39" s="1"/>
  <c r="L58" i="39"/>
  <c r="M58" i="39" s="1"/>
  <c r="J58" i="39"/>
  <c r="K58" i="39" s="1"/>
  <c r="H50" i="39"/>
  <c r="N50" i="39" s="1"/>
  <c r="O50" i="39" s="1"/>
  <c r="G50" i="39"/>
  <c r="I50" i="39" s="1"/>
  <c r="H49" i="39"/>
  <c r="N49" i="39" s="1"/>
  <c r="O49" i="39" s="1"/>
  <c r="G49" i="39"/>
  <c r="I49" i="39" s="1"/>
  <c r="H48" i="39"/>
  <c r="N48" i="39" s="1"/>
  <c r="O48" i="39" s="1"/>
  <c r="G48" i="39"/>
  <c r="I48" i="39" s="1"/>
  <c r="L47" i="39"/>
  <c r="M47" i="39" s="1"/>
  <c r="H47" i="39"/>
  <c r="N47" i="39" s="1"/>
  <c r="O47" i="39" s="1"/>
  <c r="G47" i="39"/>
  <c r="I47" i="39" s="1"/>
  <c r="H46" i="39"/>
  <c r="N46" i="39" s="1"/>
  <c r="O46" i="39" s="1"/>
  <c r="G46" i="39"/>
  <c r="I46" i="39" s="1"/>
  <c r="H45" i="39"/>
  <c r="J45" i="39" s="1"/>
  <c r="R45" i="39" s="1"/>
  <c r="S45" i="39" s="1"/>
  <c r="G45" i="39"/>
  <c r="I45" i="39" s="1"/>
  <c r="M36" i="39"/>
  <c r="L36" i="39"/>
  <c r="K36" i="39"/>
  <c r="J36" i="39"/>
  <c r="I36" i="39"/>
  <c r="H35" i="39"/>
  <c r="N45" i="39" l="1"/>
  <c r="O45" i="39" s="1"/>
  <c r="J47" i="39"/>
  <c r="R47" i="39" s="1"/>
  <c r="S47" i="39" s="1"/>
  <c r="L46" i="39"/>
  <c r="M46" i="39" s="1"/>
  <c r="J46" i="39"/>
  <c r="R46" i="39" s="1"/>
  <c r="S46" i="39" s="1"/>
  <c r="J48" i="39"/>
  <c r="R48" i="39" s="1"/>
  <c r="S48" i="39" s="1"/>
  <c r="L48" i="39"/>
  <c r="M48" i="39" s="1"/>
  <c r="L45" i="39"/>
  <c r="M45" i="39" s="1"/>
  <c r="J50" i="39"/>
  <c r="R50" i="39" s="1"/>
  <c r="S50" i="39" s="1"/>
  <c r="L50" i="39"/>
  <c r="M50" i="39" s="1"/>
  <c r="J49" i="39"/>
  <c r="R49" i="39" s="1"/>
  <c r="S49" i="39" s="1"/>
  <c r="L49" i="39"/>
  <c r="M49" i="39" s="1"/>
  <c r="V49" i="39" s="1"/>
  <c r="P45" i="39"/>
  <c r="Q45" i="39" s="1"/>
  <c r="K45" i="39"/>
  <c r="T45" i="39" s="1"/>
  <c r="U45" i="39" s="1"/>
  <c r="P50" i="39"/>
  <c r="Q50" i="39" s="1"/>
  <c r="K50" i="39"/>
  <c r="T50" i="39" s="1"/>
  <c r="U50" i="39" s="1"/>
  <c r="V50" i="39" s="1"/>
  <c r="P47" i="39"/>
  <c r="Q47" i="39" s="1"/>
  <c r="K47" i="39"/>
  <c r="T47" i="39" s="1"/>
  <c r="U47" i="39" s="1"/>
  <c r="P49" i="39"/>
  <c r="Q49" i="39" s="1"/>
  <c r="K49" i="39"/>
  <c r="T49" i="39" s="1"/>
  <c r="U49" i="39" s="1"/>
  <c r="K46" i="39"/>
  <c r="T46" i="39" s="1"/>
  <c r="U46" i="39" s="1"/>
  <c r="P46" i="39"/>
  <c r="Q46" i="39" s="1"/>
  <c r="P67" i="39"/>
  <c r="P58" i="39"/>
  <c r="P69" i="39"/>
  <c r="P76" i="39"/>
  <c r="P78" i="39"/>
  <c r="P80" i="39"/>
  <c r="P48" i="39"/>
  <c r="Q48" i="39" s="1"/>
  <c r="K48" i="39"/>
  <c r="T48" i="39" s="1"/>
  <c r="U48" i="39" s="1"/>
  <c r="P74" i="39"/>
  <c r="J60" i="39"/>
  <c r="K60" i="39" s="1"/>
  <c r="P60" i="39" s="1"/>
  <c r="J61" i="39"/>
  <c r="K61" i="39" s="1"/>
  <c r="P61" i="39" s="1"/>
  <c r="V48" i="39" l="1"/>
  <c r="V45" i="39"/>
  <c r="V51" i="39" s="1"/>
  <c r="V47" i="39"/>
  <c r="V46" i="39"/>
  <c r="E89" i="39"/>
  <c r="P81" i="39"/>
  <c r="E88" i="39" l="1"/>
  <c r="E90" i="39"/>
  <c r="E91" i="39" l="1"/>
  <c r="E92" i="39" s="1"/>
  <c r="E93" i="39" s="1"/>
  <c r="I31" i="38" l="1"/>
  <c r="H31" i="38"/>
  <c r="G31" i="38"/>
  <c r="O80" i="38" l="1"/>
  <c r="N80" i="38"/>
  <c r="L80" i="38"/>
  <c r="M80" i="38" s="1"/>
  <c r="J80" i="38"/>
  <c r="K80" i="38" s="1"/>
  <c r="P80" i="38" s="1"/>
  <c r="O79" i="38"/>
  <c r="N79" i="38"/>
  <c r="L79" i="38"/>
  <c r="M79" i="38" s="1"/>
  <c r="J79" i="38"/>
  <c r="K79" i="38" s="1"/>
  <c r="P79" i="38" s="1"/>
  <c r="N78" i="38"/>
  <c r="O78" i="38" s="1"/>
  <c r="M78" i="38"/>
  <c r="L78" i="38"/>
  <c r="J78" i="38"/>
  <c r="K78" i="38" s="1"/>
  <c r="P78" i="38" s="1"/>
  <c r="N77" i="38"/>
  <c r="O77" i="38" s="1"/>
  <c r="M77" i="38"/>
  <c r="L77" i="38"/>
  <c r="J77" i="38"/>
  <c r="K77" i="38" s="1"/>
  <c r="P77" i="38" s="1"/>
  <c r="N76" i="38"/>
  <c r="O76" i="38" s="1"/>
  <c r="L76" i="38"/>
  <c r="M76" i="38" s="1"/>
  <c r="K76" i="38"/>
  <c r="P76" i="38" s="1"/>
  <c r="J76" i="38"/>
  <c r="N75" i="38"/>
  <c r="O75" i="38" s="1"/>
  <c r="L75" i="38"/>
  <c r="M75" i="38" s="1"/>
  <c r="K75" i="38"/>
  <c r="P75" i="38" s="1"/>
  <c r="J75" i="38"/>
  <c r="N74" i="38"/>
  <c r="O74" i="38" s="1"/>
  <c r="L74" i="38"/>
  <c r="M74" i="38" s="1"/>
  <c r="J74" i="38"/>
  <c r="K74" i="38" s="1"/>
  <c r="P74" i="38" s="1"/>
  <c r="N73" i="38"/>
  <c r="O73" i="38" s="1"/>
  <c r="L73" i="38"/>
  <c r="M73" i="38" s="1"/>
  <c r="J73" i="38"/>
  <c r="K73" i="38" s="1"/>
  <c r="P73" i="38" s="1"/>
  <c r="O72" i="38"/>
  <c r="N72" i="38"/>
  <c r="L72" i="38"/>
  <c r="M72" i="38" s="1"/>
  <c r="J72" i="38"/>
  <c r="K72" i="38" s="1"/>
  <c r="P72" i="38" s="1"/>
  <c r="O71" i="38"/>
  <c r="N71" i="38"/>
  <c r="L71" i="38"/>
  <c r="M71" i="38" s="1"/>
  <c r="J71" i="38"/>
  <c r="K71" i="38" s="1"/>
  <c r="P71" i="38" s="1"/>
  <c r="N70" i="38"/>
  <c r="O70" i="38" s="1"/>
  <c r="M70" i="38"/>
  <c r="L70" i="38"/>
  <c r="J70" i="38"/>
  <c r="K70" i="38" s="1"/>
  <c r="N69" i="38"/>
  <c r="O69" i="38" s="1"/>
  <c r="M69" i="38"/>
  <c r="L69" i="38"/>
  <c r="J69" i="38"/>
  <c r="K69" i="38" s="1"/>
  <c r="P69" i="38" s="1"/>
  <c r="N68" i="38"/>
  <c r="O68" i="38" s="1"/>
  <c r="L68" i="38"/>
  <c r="M68" i="38" s="1"/>
  <c r="K68" i="38"/>
  <c r="J68" i="38"/>
  <c r="N67" i="38"/>
  <c r="O67" i="38" s="1"/>
  <c r="L67" i="38"/>
  <c r="M67" i="38" s="1"/>
  <c r="K67" i="38"/>
  <c r="P67" i="38" s="1"/>
  <c r="J67" i="38"/>
  <c r="N66" i="38"/>
  <c r="O66" i="38" s="1"/>
  <c r="L66" i="38"/>
  <c r="M66" i="38" s="1"/>
  <c r="J66" i="38"/>
  <c r="K66" i="38" s="1"/>
  <c r="N65" i="38"/>
  <c r="O65" i="38" s="1"/>
  <c r="L65" i="38"/>
  <c r="M65" i="38" s="1"/>
  <c r="J65" i="38"/>
  <c r="K65" i="38" s="1"/>
  <c r="P65" i="38" s="1"/>
  <c r="O64" i="38"/>
  <c r="N64" i="38"/>
  <c r="L64" i="38"/>
  <c r="M64" i="38" s="1"/>
  <c r="J64" i="38"/>
  <c r="K64" i="38" s="1"/>
  <c r="P64" i="38" s="1"/>
  <c r="O63" i="38"/>
  <c r="N63" i="38"/>
  <c r="L63" i="38"/>
  <c r="M63" i="38" s="1"/>
  <c r="J63" i="38"/>
  <c r="K63" i="38" s="1"/>
  <c r="P63" i="38" s="1"/>
  <c r="N62" i="38"/>
  <c r="O62" i="38" s="1"/>
  <c r="M62" i="38"/>
  <c r="L62" i="38"/>
  <c r="J62" i="38"/>
  <c r="K62" i="38" s="1"/>
  <c r="P62" i="38" s="1"/>
  <c r="N61" i="38"/>
  <c r="O61" i="38" s="1"/>
  <c r="M61" i="38"/>
  <c r="L61" i="38"/>
  <c r="F61" i="38"/>
  <c r="J61" i="38" s="1"/>
  <c r="K61" i="38" s="1"/>
  <c r="P61" i="38" s="1"/>
  <c r="N60" i="38"/>
  <c r="O60" i="38" s="1"/>
  <c r="M60" i="38"/>
  <c r="L60" i="38"/>
  <c r="F60" i="38"/>
  <c r="J60" i="38" s="1"/>
  <c r="K60" i="38" s="1"/>
  <c r="P60" i="38" s="1"/>
  <c r="N59" i="38"/>
  <c r="O59" i="38" s="1"/>
  <c r="M59" i="38"/>
  <c r="L59" i="38"/>
  <c r="J59" i="38"/>
  <c r="K59" i="38" s="1"/>
  <c r="P59" i="38" s="1"/>
  <c r="N58" i="38"/>
  <c r="O58" i="38" s="1"/>
  <c r="L58" i="38"/>
  <c r="M58" i="38" s="1"/>
  <c r="K58" i="38"/>
  <c r="P58" i="38" s="1"/>
  <c r="J58" i="38"/>
  <c r="H50" i="38"/>
  <c r="J50" i="38" s="1"/>
  <c r="R50" i="38" s="1"/>
  <c r="S50" i="38" s="1"/>
  <c r="G50" i="38"/>
  <c r="I50" i="38" s="1"/>
  <c r="H49" i="38"/>
  <c r="J49" i="38" s="1"/>
  <c r="R49" i="38" s="1"/>
  <c r="S49" i="38" s="1"/>
  <c r="G49" i="38"/>
  <c r="I49" i="38" s="1"/>
  <c r="H48" i="38"/>
  <c r="N48" i="38" s="1"/>
  <c r="O48" i="38" s="1"/>
  <c r="G48" i="38"/>
  <c r="I48" i="38" s="1"/>
  <c r="H47" i="38"/>
  <c r="N47" i="38" s="1"/>
  <c r="O47" i="38" s="1"/>
  <c r="G47" i="38"/>
  <c r="L47" i="38" s="1"/>
  <c r="M47" i="38" s="1"/>
  <c r="H46" i="38"/>
  <c r="N46" i="38" s="1"/>
  <c r="O46" i="38" s="1"/>
  <c r="G46" i="38"/>
  <c r="L46" i="38" s="1"/>
  <c r="M46" i="38" s="1"/>
  <c r="H45" i="38"/>
  <c r="J45" i="38" s="1"/>
  <c r="R45" i="38" s="1"/>
  <c r="S45" i="38" s="1"/>
  <c r="G45" i="38"/>
  <c r="L45" i="38" s="1"/>
  <c r="M45" i="38" s="1"/>
  <c r="M36" i="38"/>
  <c r="L36" i="38"/>
  <c r="K36" i="38"/>
  <c r="J36" i="38"/>
  <c r="I36" i="38"/>
  <c r="H35" i="38"/>
  <c r="N49" i="38" l="1"/>
  <c r="O49" i="38" s="1"/>
  <c r="J48" i="38"/>
  <c r="R48" i="38" s="1"/>
  <c r="S48" i="38" s="1"/>
  <c r="L48" i="38"/>
  <c r="M48" i="38" s="1"/>
  <c r="I47" i="38"/>
  <c r="P47" i="38" s="1"/>
  <c r="Q47" i="38" s="1"/>
  <c r="I46" i="38"/>
  <c r="P46" i="38" s="1"/>
  <c r="Q46" i="38" s="1"/>
  <c r="N50" i="38"/>
  <c r="O50" i="38" s="1"/>
  <c r="L50" i="38"/>
  <c r="M50" i="38" s="1"/>
  <c r="J47" i="38"/>
  <c r="R47" i="38" s="1"/>
  <c r="S47" i="38" s="1"/>
  <c r="V47" i="38" s="1"/>
  <c r="L49" i="38"/>
  <c r="M49" i="38" s="1"/>
  <c r="P49" i="38"/>
  <c r="Q49" i="38" s="1"/>
  <c r="K49" i="38"/>
  <c r="T49" i="38" s="1"/>
  <c r="U49" i="38" s="1"/>
  <c r="P48" i="38"/>
  <c r="Q48" i="38" s="1"/>
  <c r="K48" i="38"/>
  <c r="T48" i="38" s="1"/>
  <c r="U48" i="38" s="1"/>
  <c r="V48" i="38" s="1"/>
  <c r="P50" i="38"/>
  <c r="Q50" i="38" s="1"/>
  <c r="K50" i="38"/>
  <c r="T50" i="38" s="1"/>
  <c r="U50" i="38" s="1"/>
  <c r="I45" i="38"/>
  <c r="J46" i="38"/>
  <c r="R46" i="38" s="1"/>
  <c r="S46" i="38" s="1"/>
  <c r="N45" i="38"/>
  <c r="O45" i="38" s="1"/>
  <c r="K47" i="38"/>
  <c r="T47" i="38" s="1"/>
  <c r="U47" i="38" s="1"/>
  <c r="P70" i="38"/>
  <c r="P66" i="38"/>
  <c r="E89" i="38" s="1"/>
  <c r="P68" i="38"/>
  <c r="P81" i="38" s="1"/>
  <c r="V50" i="38" l="1"/>
  <c r="V49" i="38"/>
  <c r="K46" i="38"/>
  <c r="T46" i="38" s="1"/>
  <c r="U46" i="38" s="1"/>
  <c r="V46" i="38" s="1"/>
  <c r="P45" i="38"/>
  <c r="Q45" i="38" s="1"/>
  <c r="K45" i="38"/>
  <c r="T45" i="38" s="1"/>
  <c r="U45" i="38" s="1"/>
  <c r="V45" i="38" l="1"/>
  <c r="V51" i="38" l="1"/>
  <c r="E88" i="38"/>
  <c r="E90" i="38" s="1"/>
  <c r="E91" i="38" s="1"/>
  <c r="E92" i="38" s="1"/>
  <c r="E93" i="38" s="1"/>
  <c r="I82" i="37"/>
  <c r="H82" i="37"/>
  <c r="G82" i="37"/>
  <c r="I31" i="37"/>
  <c r="H31" i="37"/>
  <c r="G31" i="37"/>
  <c r="G80" i="37"/>
  <c r="J80" i="37" s="1"/>
  <c r="K80" i="37" s="1"/>
  <c r="K79" i="37"/>
  <c r="J79" i="37"/>
  <c r="G79" i="37"/>
  <c r="H79" i="37" s="1"/>
  <c r="L79" i="37" s="1"/>
  <c r="M79" i="37" s="1"/>
  <c r="G78" i="37"/>
  <c r="J78" i="37" s="1"/>
  <c r="K78" i="37" s="1"/>
  <c r="G77" i="37"/>
  <c r="G76" i="37"/>
  <c r="J76" i="37" s="1"/>
  <c r="K76" i="37" s="1"/>
  <c r="K75" i="37"/>
  <c r="J75" i="37"/>
  <c r="G75" i="37"/>
  <c r="H75" i="37" s="1"/>
  <c r="L75" i="37" s="1"/>
  <c r="M75" i="37" s="1"/>
  <c r="G74" i="37"/>
  <c r="J74" i="37" s="1"/>
  <c r="K74" i="37" s="1"/>
  <c r="G73" i="37"/>
  <c r="H72" i="37"/>
  <c r="L72" i="37" s="1"/>
  <c r="M72" i="37" s="1"/>
  <c r="G72" i="37"/>
  <c r="J72" i="37" s="1"/>
  <c r="K72" i="37" s="1"/>
  <c r="J71" i="37"/>
  <c r="K71" i="37" s="1"/>
  <c r="G71" i="37"/>
  <c r="H71" i="37" s="1"/>
  <c r="L71" i="37" s="1"/>
  <c r="M71" i="37" s="1"/>
  <c r="K70" i="37"/>
  <c r="G70" i="37"/>
  <c r="J70" i="37" s="1"/>
  <c r="G69" i="37"/>
  <c r="J69" i="37" s="1"/>
  <c r="K69" i="37" s="1"/>
  <c r="G68" i="37"/>
  <c r="J68" i="37" s="1"/>
  <c r="K68" i="37" s="1"/>
  <c r="L67" i="37"/>
  <c r="M67" i="37" s="1"/>
  <c r="K67" i="37"/>
  <c r="P67" i="37" s="1"/>
  <c r="J67" i="37"/>
  <c r="I67" i="37"/>
  <c r="N67" i="37" s="1"/>
  <c r="O67" i="37" s="1"/>
  <c r="H67" i="37"/>
  <c r="G67" i="37"/>
  <c r="K66" i="37"/>
  <c r="G66" i="37"/>
  <c r="J66" i="37" s="1"/>
  <c r="G65" i="37"/>
  <c r="J65" i="37" s="1"/>
  <c r="K65" i="37" s="1"/>
  <c r="G64" i="37"/>
  <c r="J64" i="37" s="1"/>
  <c r="K64" i="37" s="1"/>
  <c r="L63" i="37"/>
  <c r="M63" i="37" s="1"/>
  <c r="J63" i="37"/>
  <c r="K63" i="37" s="1"/>
  <c r="P63" i="37" s="1"/>
  <c r="I63" i="37"/>
  <c r="N63" i="37" s="1"/>
  <c r="O63" i="37" s="1"/>
  <c r="H63" i="37"/>
  <c r="G63" i="37"/>
  <c r="G62" i="37"/>
  <c r="J62" i="37" s="1"/>
  <c r="K62" i="37" s="1"/>
  <c r="G61" i="37"/>
  <c r="F61" i="37"/>
  <c r="K60" i="37"/>
  <c r="J60" i="37"/>
  <c r="H60" i="37"/>
  <c r="L60" i="37" s="1"/>
  <c r="M60" i="37" s="1"/>
  <c r="G60" i="37"/>
  <c r="F60" i="37"/>
  <c r="G59" i="37"/>
  <c r="J59" i="37" s="1"/>
  <c r="K59" i="37" s="1"/>
  <c r="H58" i="37"/>
  <c r="G58" i="37"/>
  <c r="J58" i="37" s="1"/>
  <c r="K58" i="37" s="1"/>
  <c r="I50" i="37"/>
  <c r="K50" i="37" s="1"/>
  <c r="T50" i="37" s="1"/>
  <c r="U50" i="37" s="1"/>
  <c r="H50" i="37"/>
  <c r="J50" i="37" s="1"/>
  <c r="R50" i="37" s="1"/>
  <c r="S50" i="37" s="1"/>
  <c r="G50" i="37"/>
  <c r="L50" i="37" s="1"/>
  <c r="M50" i="37" s="1"/>
  <c r="H49" i="37"/>
  <c r="J49" i="37" s="1"/>
  <c r="R49" i="37" s="1"/>
  <c r="S49" i="37" s="1"/>
  <c r="G49" i="37"/>
  <c r="L49" i="37" s="1"/>
  <c r="M49" i="37" s="1"/>
  <c r="H48" i="37"/>
  <c r="J48" i="37" s="1"/>
  <c r="R48" i="37" s="1"/>
  <c r="S48" i="37" s="1"/>
  <c r="G48" i="37"/>
  <c r="L48" i="37" s="1"/>
  <c r="M48" i="37" s="1"/>
  <c r="H47" i="37"/>
  <c r="J47" i="37" s="1"/>
  <c r="R47" i="37" s="1"/>
  <c r="S47" i="37" s="1"/>
  <c r="G47" i="37"/>
  <c r="L47" i="37" s="1"/>
  <c r="M47" i="37" s="1"/>
  <c r="H46" i="37"/>
  <c r="J46" i="37" s="1"/>
  <c r="R46" i="37" s="1"/>
  <c r="S46" i="37" s="1"/>
  <c r="G46" i="37"/>
  <c r="L46" i="37" s="1"/>
  <c r="M46" i="37" s="1"/>
  <c r="H45" i="37"/>
  <c r="J45" i="37" s="1"/>
  <c r="R45" i="37" s="1"/>
  <c r="S45" i="37" s="1"/>
  <c r="G45" i="37"/>
  <c r="L45" i="37" s="1"/>
  <c r="M45" i="37" s="1"/>
  <c r="M36" i="37"/>
  <c r="L36" i="37"/>
  <c r="K36" i="37"/>
  <c r="J36" i="37"/>
  <c r="I36" i="37"/>
  <c r="H35" i="37"/>
  <c r="I30" i="37"/>
  <c r="I29" i="37"/>
  <c r="I28" i="37"/>
  <c r="I27" i="37"/>
  <c r="I26" i="37"/>
  <c r="I25" i="37"/>
  <c r="I46" i="37" l="1"/>
  <c r="K46" i="37" s="1"/>
  <c r="T46" i="37" s="1"/>
  <c r="U46" i="37" s="1"/>
  <c r="N46" i="37"/>
  <c r="O46" i="37" s="1"/>
  <c r="N50" i="37"/>
  <c r="O50" i="37" s="1"/>
  <c r="I48" i="37"/>
  <c r="K48" i="37" s="1"/>
  <c r="T48" i="37" s="1"/>
  <c r="U48" i="37" s="1"/>
  <c r="N48" i="37"/>
  <c r="O48" i="37" s="1"/>
  <c r="I45" i="37"/>
  <c r="K45" i="37" s="1"/>
  <c r="T45" i="37" s="1"/>
  <c r="U45" i="37" s="1"/>
  <c r="I47" i="37"/>
  <c r="K47" i="37" s="1"/>
  <c r="T47" i="37" s="1"/>
  <c r="U47" i="37" s="1"/>
  <c r="I49" i="37"/>
  <c r="K49" i="37" s="1"/>
  <c r="T49" i="37" s="1"/>
  <c r="U49" i="37" s="1"/>
  <c r="N45" i="37"/>
  <c r="O45" i="37" s="1"/>
  <c r="N47" i="37"/>
  <c r="O47" i="37" s="1"/>
  <c r="N49" i="37"/>
  <c r="O49" i="37" s="1"/>
  <c r="P71" i="37"/>
  <c r="L58" i="37"/>
  <c r="M58" i="37" s="1"/>
  <c r="I58" i="37"/>
  <c r="N58" i="37" s="1"/>
  <c r="O58" i="37" s="1"/>
  <c r="H69" i="37"/>
  <c r="H76" i="37"/>
  <c r="J61" i="37"/>
  <c r="K61" i="37" s="1"/>
  <c r="H65" i="37"/>
  <c r="H80" i="37"/>
  <c r="P46" i="37"/>
  <c r="Q46" i="37" s="1"/>
  <c r="V46" i="37" s="1"/>
  <c r="P48" i="37"/>
  <c r="Q48" i="37" s="1"/>
  <c r="V48" i="37" s="1"/>
  <c r="P50" i="37"/>
  <c r="Q50" i="37" s="1"/>
  <c r="V50" i="37" s="1"/>
  <c r="H61" i="37"/>
  <c r="H68" i="37"/>
  <c r="H64" i="37"/>
  <c r="I71" i="37"/>
  <c r="N71" i="37" s="1"/>
  <c r="O71" i="37" s="1"/>
  <c r="J73" i="37"/>
  <c r="K73" i="37" s="1"/>
  <c r="H73" i="37"/>
  <c r="I60" i="37"/>
  <c r="N60" i="37" s="1"/>
  <c r="O60" i="37" s="1"/>
  <c r="P60" i="37" s="1"/>
  <c r="I75" i="37"/>
  <c r="N75" i="37" s="1"/>
  <c r="O75" i="37" s="1"/>
  <c r="J77" i="37"/>
  <c r="K77" i="37" s="1"/>
  <c r="H77" i="37"/>
  <c r="P79" i="37"/>
  <c r="I72" i="37"/>
  <c r="N72" i="37" s="1"/>
  <c r="O72" i="37" s="1"/>
  <c r="P72" i="37" s="1"/>
  <c r="I79" i="37"/>
  <c r="N79" i="37" s="1"/>
  <c r="O79" i="37" s="1"/>
  <c r="P75" i="37"/>
  <c r="H62" i="37"/>
  <c r="H70" i="37"/>
  <c r="H74" i="37"/>
  <c r="H78" i="37"/>
  <c r="H59" i="37"/>
  <c r="H66" i="37"/>
  <c r="P45" i="37" l="1"/>
  <c r="Q45" i="37" s="1"/>
  <c r="V45" i="37" s="1"/>
  <c r="P49" i="37"/>
  <c r="Q49" i="37" s="1"/>
  <c r="V49" i="37"/>
  <c r="P47" i="37"/>
  <c r="Q47" i="37" s="1"/>
  <c r="V47" i="37" s="1"/>
  <c r="E88" i="37" s="1"/>
  <c r="I66" i="37"/>
  <c r="N66" i="37" s="1"/>
  <c r="O66" i="37" s="1"/>
  <c r="L66" i="37"/>
  <c r="M66" i="37" s="1"/>
  <c r="P66" i="37" s="1"/>
  <c r="I78" i="37"/>
  <c r="N78" i="37" s="1"/>
  <c r="O78" i="37" s="1"/>
  <c r="L78" i="37"/>
  <c r="M78" i="37" s="1"/>
  <c r="P78" i="37" s="1"/>
  <c r="L73" i="37"/>
  <c r="M73" i="37" s="1"/>
  <c r="P73" i="37" s="1"/>
  <c r="I73" i="37"/>
  <c r="N73" i="37" s="1"/>
  <c r="O73" i="37" s="1"/>
  <c r="P58" i="37"/>
  <c r="I62" i="37"/>
  <c r="N62" i="37" s="1"/>
  <c r="O62" i="37" s="1"/>
  <c r="L62" i="37"/>
  <c r="M62" i="37" s="1"/>
  <c r="L64" i="37"/>
  <c r="M64" i="37" s="1"/>
  <c r="I64" i="37"/>
  <c r="N64" i="37" s="1"/>
  <c r="O64" i="37" s="1"/>
  <c r="L77" i="37"/>
  <c r="M77" i="37" s="1"/>
  <c r="P77" i="37" s="1"/>
  <c r="I77" i="37"/>
  <c r="N77" i="37" s="1"/>
  <c r="O77" i="37" s="1"/>
  <c r="L61" i="37"/>
  <c r="M61" i="37" s="1"/>
  <c r="P61" i="37" s="1"/>
  <c r="I61" i="37"/>
  <c r="N61" i="37" s="1"/>
  <c r="O61" i="37" s="1"/>
  <c r="L69" i="37"/>
  <c r="M69" i="37" s="1"/>
  <c r="P69" i="37" s="1"/>
  <c r="I69" i="37"/>
  <c r="N69" i="37" s="1"/>
  <c r="O69" i="37" s="1"/>
  <c r="I74" i="37"/>
  <c r="N74" i="37" s="1"/>
  <c r="O74" i="37" s="1"/>
  <c r="L74" i="37"/>
  <c r="M74" i="37" s="1"/>
  <c r="P74" i="37" s="1"/>
  <c r="L80" i="37"/>
  <c r="M80" i="37" s="1"/>
  <c r="I80" i="37"/>
  <c r="N80" i="37" s="1"/>
  <c r="O80" i="37" s="1"/>
  <c r="L68" i="37"/>
  <c r="M68" i="37" s="1"/>
  <c r="I68" i="37"/>
  <c r="N68" i="37" s="1"/>
  <c r="O68" i="37" s="1"/>
  <c r="L76" i="37"/>
  <c r="M76" i="37" s="1"/>
  <c r="I76" i="37"/>
  <c r="N76" i="37" s="1"/>
  <c r="O76" i="37" s="1"/>
  <c r="I59" i="37"/>
  <c r="N59" i="37" s="1"/>
  <c r="O59" i="37" s="1"/>
  <c r="L59" i="37"/>
  <c r="M59" i="37" s="1"/>
  <c r="P59" i="37" s="1"/>
  <c r="I70" i="37"/>
  <c r="N70" i="37" s="1"/>
  <c r="O70" i="37" s="1"/>
  <c r="L70" i="37"/>
  <c r="M70" i="37" s="1"/>
  <c r="P70" i="37" s="1"/>
  <c r="L65" i="37"/>
  <c r="M65" i="37" s="1"/>
  <c r="I65" i="37"/>
  <c r="N65" i="37" s="1"/>
  <c r="O65" i="37" s="1"/>
  <c r="V51" i="37" l="1"/>
  <c r="P65" i="37"/>
  <c r="P76" i="37"/>
  <c r="P62" i="37"/>
  <c r="P81" i="37" s="1"/>
  <c r="P80" i="37"/>
  <c r="P64" i="37"/>
  <c r="P68" i="37"/>
  <c r="E89" i="37"/>
  <c r="E90" i="37" s="1"/>
  <c r="E91" i="37" l="1"/>
  <c r="E92" i="37" s="1"/>
  <c r="E93" i="37" s="1"/>
  <c r="I82" i="36" l="1"/>
  <c r="H82" i="36"/>
  <c r="G82" i="36"/>
  <c r="I82" i="15" l="1"/>
  <c r="H82" i="15"/>
  <c r="G82" i="15"/>
  <c r="I31" i="15"/>
  <c r="H31" i="15"/>
  <c r="G31" i="15"/>
  <c r="N80" i="36" l="1"/>
  <c r="O80" i="36" s="1"/>
  <c r="L80" i="36"/>
  <c r="M80" i="36" s="1"/>
  <c r="J80" i="36"/>
  <c r="K80" i="36" s="1"/>
  <c r="N79" i="36"/>
  <c r="O79" i="36" s="1"/>
  <c r="L79" i="36"/>
  <c r="M79" i="36" s="1"/>
  <c r="J79" i="36"/>
  <c r="K79" i="36" s="1"/>
  <c r="N78" i="36"/>
  <c r="O78" i="36" s="1"/>
  <c r="L78" i="36"/>
  <c r="M78" i="36" s="1"/>
  <c r="J78" i="36"/>
  <c r="K78" i="36" s="1"/>
  <c r="N77" i="36"/>
  <c r="O77" i="36" s="1"/>
  <c r="L77" i="36"/>
  <c r="M77" i="36" s="1"/>
  <c r="J77" i="36"/>
  <c r="K77" i="36" s="1"/>
  <c r="N76" i="36"/>
  <c r="O76" i="36" s="1"/>
  <c r="L76" i="36"/>
  <c r="M76" i="36" s="1"/>
  <c r="J76" i="36"/>
  <c r="K76" i="36" s="1"/>
  <c r="N75" i="36"/>
  <c r="O75" i="36" s="1"/>
  <c r="L75" i="36"/>
  <c r="M75" i="36" s="1"/>
  <c r="J75" i="36"/>
  <c r="K75" i="36" s="1"/>
  <c r="N74" i="36"/>
  <c r="O74" i="36" s="1"/>
  <c r="L74" i="36"/>
  <c r="M74" i="36" s="1"/>
  <c r="J74" i="36"/>
  <c r="K74" i="36" s="1"/>
  <c r="P74" i="36" s="1"/>
  <c r="N73" i="36"/>
  <c r="O73" i="36" s="1"/>
  <c r="L73" i="36"/>
  <c r="M73" i="36" s="1"/>
  <c r="J73" i="36"/>
  <c r="K73" i="36" s="1"/>
  <c r="N72" i="36"/>
  <c r="O72" i="36" s="1"/>
  <c r="L72" i="36"/>
  <c r="M72" i="36" s="1"/>
  <c r="J72" i="36"/>
  <c r="K72" i="36" s="1"/>
  <c r="N71" i="36"/>
  <c r="O71" i="36" s="1"/>
  <c r="L71" i="36"/>
  <c r="M71" i="36" s="1"/>
  <c r="J71" i="36"/>
  <c r="K71" i="36" s="1"/>
  <c r="N70" i="36"/>
  <c r="O70" i="36" s="1"/>
  <c r="L70" i="36"/>
  <c r="M70" i="36" s="1"/>
  <c r="J70" i="36"/>
  <c r="K70" i="36" s="1"/>
  <c r="N69" i="36"/>
  <c r="O69" i="36" s="1"/>
  <c r="L69" i="36"/>
  <c r="M69" i="36" s="1"/>
  <c r="J69" i="36"/>
  <c r="K69" i="36" s="1"/>
  <c r="N68" i="36"/>
  <c r="O68" i="36" s="1"/>
  <c r="L68" i="36"/>
  <c r="M68" i="36" s="1"/>
  <c r="J68" i="36"/>
  <c r="K68" i="36" s="1"/>
  <c r="N67" i="36"/>
  <c r="O67" i="36" s="1"/>
  <c r="L67" i="36"/>
  <c r="M67" i="36" s="1"/>
  <c r="J67" i="36"/>
  <c r="K67" i="36" s="1"/>
  <c r="N66" i="36"/>
  <c r="O66" i="36" s="1"/>
  <c r="L66" i="36"/>
  <c r="M66" i="36" s="1"/>
  <c r="J66" i="36"/>
  <c r="K66" i="36" s="1"/>
  <c r="P66" i="36" s="1"/>
  <c r="N65" i="36"/>
  <c r="O65" i="36" s="1"/>
  <c r="L65" i="36"/>
  <c r="M65" i="36" s="1"/>
  <c r="J65" i="36"/>
  <c r="K65" i="36" s="1"/>
  <c r="N64" i="36"/>
  <c r="O64" i="36" s="1"/>
  <c r="L64" i="36"/>
  <c r="M64" i="36" s="1"/>
  <c r="J64" i="36"/>
  <c r="K64" i="36" s="1"/>
  <c r="N63" i="36"/>
  <c r="O63" i="36" s="1"/>
  <c r="L63" i="36"/>
  <c r="M63" i="36" s="1"/>
  <c r="J63" i="36"/>
  <c r="K63" i="36" s="1"/>
  <c r="N62" i="36"/>
  <c r="O62" i="36" s="1"/>
  <c r="L62" i="36"/>
  <c r="M62" i="36" s="1"/>
  <c r="J62" i="36"/>
  <c r="K62" i="36" s="1"/>
  <c r="F61" i="36"/>
  <c r="L61" i="36" s="1"/>
  <c r="M61" i="36" s="1"/>
  <c r="F60" i="36"/>
  <c r="L60" i="36" s="1"/>
  <c r="M60" i="36" s="1"/>
  <c r="N59" i="36"/>
  <c r="O59" i="36" s="1"/>
  <c r="L59" i="36"/>
  <c r="M59" i="36" s="1"/>
  <c r="J59" i="36"/>
  <c r="K59" i="36" s="1"/>
  <c r="O58" i="36"/>
  <c r="N58" i="36"/>
  <c r="L58" i="36"/>
  <c r="M58" i="36" s="1"/>
  <c r="J58" i="36"/>
  <c r="K58" i="36" s="1"/>
  <c r="H50" i="36"/>
  <c r="N50" i="36" s="1"/>
  <c r="O50" i="36" s="1"/>
  <c r="G50" i="36"/>
  <c r="I50" i="36" s="1"/>
  <c r="P50" i="36" s="1"/>
  <c r="Q50" i="36" s="1"/>
  <c r="H49" i="36"/>
  <c r="N49" i="36" s="1"/>
  <c r="O49" i="36" s="1"/>
  <c r="G49" i="36"/>
  <c r="I49" i="36" s="1"/>
  <c r="P49" i="36" s="1"/>
  <c r="Q49" i="36" s="1"/>
  <c r="H48" i="36"/>
  <c r="J48" i="36" s="1"/>
  <c r="R48" i="36" s="1"/>
  <c r="S48" i="36" s="1"/>
  <c r="G48" i="36"/>
  <c r="I48" i="36" s="1"/>
  <c r="P48" i="36" s="1"/>
  <c r="Q48" i="36" s="1"/>
  <c r="H47" i="36"/>
  <c r="N47" i="36" s="1"/>
  <c r="O47" i="36" s="1"/>
  <c r="G47" i="36"/>
  <c r="I47" i="36" s="1"/>
  <c r="P47" i="36" s="1"/>
  <c r="Q47" i="36" s="1"/>
  <c r="H46" i="36"/>
  <c r="J46" i="36" s="1"/>
  <c r="R46" i="36" s="1"/>
  <c r="S46" i="36" s="1"/>
  <c r="G46" i="36"/>
  <c r="I46" i="36" s="1"/>
  <c r="P46" i="36" s="1"/>
  <c r="Q46" i="36" s="1"/>
  <c r="H45" i="36"/>
  <c r="J45" i="36" s="1"/>
  <c r="R45" i="36" s="1"/>
  <c r="S45" i="36" s="1"/>
  <c r="G45" i="36"/>
  <c r="I45" i="36" s="1"/>
  <c r="P45" i="36" s="1"/>
  <c r="Q45" i="36" s="1"/>
  <c r="M36" i="36"/>
  <c r="L36" i="36"/>
  <c r="K36" i="36"/>
  <c r="J36" i="36"/>
  <c r="I36" i="36"/>
  <c r="H35" i="36"/>
  <c r="G25" i="36"/>
  <c r="N46" i="36" l="1"/>
  <c r="O46" i="36" s="1"/>
  <c r="P59" i="36"/>
  <c r="L50" i="36"/>
  <c r="M50" i="36" s="1"/>
  <c r="P64" i="36"/>
  <c r="P80" i="36"/>
  <c r="K50" i="36"/>
  <c r="T50" i="36" s="1"/>
  <c r="U50" i="36" s="1"/>
  <c r="G29" i="36"/>
  <c r="H29" i="36" s="1"/>
  <c r="N45" i="36"/>
  <c r="O45" i="36" s="1"/>
  <c r="N61" i="36"/>
  <c r="O61" i="36" s="1"/>
  <c r="G26" i="36"/>
  <c r="P71" i="36"/>
  <c r="K48" i="36"/>
  <c r="T48" i="36" s="1"/>
  <c r="U48" i="36" s="1"/>
  <c r="K46" i="36"/>
  <c r="T46" i="36" s="1"/>
  <c r="U46" i="36" s="1"/>
  <c r="N48" i="36"/>
  <c r="O48" i="36" s="1"/>
  <c r="P72" i="36"/>
  <c r="P78" i="36"/>
  <c r="P77" i="36"/>
  <c r="G28" i="36"/>
  <c r="J50" i="36"/>
  <c r="R50" i="36" s="1"/>
  <c r="S50" i="36" s="1"/>
  <c r="P70" i="36"/>
  <c r="J49" i="36"/>
  <c r="R49" i="36" s="1"/>
  <c r="S49" i="36" s="1"/>
  <c r="L49" i="36"/>
  <c r="M49" i="36" s="1"/>
  <c r="J47" i="36"/>
  <c r="R47" i="36" s="1"/>
  <c r="S47" i="36" s="1"/>
  <c r="P62" i="36"/>
  <c r="G30" i="36"/>
  <c r="L47" i="36"/>
  <c r="M47" i="36" s="1"/>
  <c r="L48" i="36"/>
  <c r="M48" i="36" s="1"/>
  <c r="P63" i="36"/>
  <c r="L45" i="36"/>
  <c r="M45" i="36" s="1"/>
  <c r="L46" i="36"/>
  <c r="M46" i="36" s="1"/>
  <c r="N60" i="36"/>
  <c r="O60" i="36" s="1"/>
  <c r="P79" i="36"/>
  <c r="P69" i="36"/>
  <c r="P68" i="36"/>
  <c r="P76" i="36"/>
  <c r="P58" i="36"/>
  <c r="K47" i="36"/>
  <c r="T47" i="36" s="1"/>
  <c r="U47" i="36" s="1"/>
  <c r="P65" i="36"/>
  <c r="P73" i="36"/>
  <c r="K45" i="36"/>
  <c r="T45" i="36" s="1"/>
  <c r="U45" i="36" s="1"/>
  <c r="K49" i="36"/>
  <c r="T49" i="36" s="1"/>
  <c r="U49" i="36" s="1"/>
  <c r="P67" i="36"/>
  <c r="P75" i="36"/>
  <c r="J60" i="36"/>
  <c r="K60" i="36" s="1"/>
  <c r="P60" i="36" s="1"/>
  <c r="J61" i="36"/>
  <c r="K61" i="36" s="1"/>
  <c r="P61" i="36" s="1"/>
  <c r="H25" i="36"/>
  <c r="V46" i="36" l="1"/>
  <c r="V50" i="36"/>
  <c r="V45" i="36"/>
  <c r="V47" i="36"/>
  <c r="V48" i="36"/>
  <c r="H30" i="36"/>
  <c r="G27" i="36"/>
  <c r="G31" i="36" s="1"/>
  <c r="H26" i="36"/>
  <c r="I25" i="36"/>
  <c r="H28" i="36"/>
  <c r="V49" i="36"/>
  <c r="V51" i="36" s="1"/>
  <c r="I29" i="36"/>
  <c r="E89" i="36"/>
  <c r="P81" i="36"/>
  <c r="E88" i="36" l="1"/>
  <c r="E90" i="36" s="1"/>
  <c r="I26" i="36"/>
  <c r="I28" i="36"/>
  <c r="H27" i="36"/>
  <c r="H31" i="36" s="1"/>
  <c r="I30" i="36"/>
  <c r="I27" i="36" l="1"/>
  <c r="E91" i="36"/>
  <c r="E92" i="36" s="1"/>
  <c r="E93" i="36" s="1"/>
  <c r="I31" i="36" l="1"/>
  <c r="N59" i="15" l="1"/>
  <c r="O59" i="15" s="1"/>
  <c r="N62" i="15"/>
  <c r="O62" i="15" s="1"/>
  <c r="N63" i="15"/>
  <c r="O63" i="15" s="1"/>
  <c r="N64" i="15"/>
  <c r="O64" i="15" s="1"/>
  <c r="N65" i="15"/>
  <c r="O65" i="15" s="1"/>
  <c r="N66" i="15"/>
  <c r="O66" i="15" s="1"/>
  <c r="N67" i="15"/>
  <c r="O67" i="15" s="1"/>
  <c r="N68" i="15"/>
  <c r="O68" i="15" s="1"/>
  <c r="N69" i="15"/>
  <c r="O69" i="15" s="1"/>
  <c r="N70" i="15"/>
  <c r="O70" i="15" s="1"/>
  <c r="N71" i="15"/>
  <c r="O71" i="15" s="1"/>
  <c r="N72" i="15"/>
  <c r="O72" i="15" s="1"/>
  <c r="N73" i="15"/>
  <c r="O73" i="15" s="1"/>
  <c r="N74" i="15"/>
  <c r="O74" i="15" s="1"/>
  <c r="N75" i="15"/>
  <c r="O75" i="15" s="1"/>
  <c r="N76" i="15"/>
  <c r="O76" i="15" s="1"/>
  <c r="N77" i="15"/>
  <c r="O77" i="15" s="1"/>
  <c r="N78" i="15"/>
  <c r="O78" i="15" s="1"/>
  <c r="N79" i="15"/>
  <c r="O79" i="15" s="1"/>
  <c r="N80" i="15"/>
  <c r="O80" i="15" s="1"/>
  <c r="N58" i="15"/>
  <c r="O58" i="15" s="1"/>
  <c r="L59" i="15"/>
  <c r="M59" i="15" s="1"/>
  <c r="L62" i="15"/>
  <c r="M62" i="15" s="1"/>
  <c r="L63" i="15"/>
  <c r="M63" i="15" s="1"/>
  <c r="L64" i="15"/>
  <c r="M64" i="15" s="1"/>
  <c r="L65" i="15"/>
  <c r="M65" i="15" s="1"/>
  <c r="L66" i="15"/>
  <c r="M66" i="15" s="1"/>
  <c r="L67" i="15"/>
  <c r="M67" i="15" s="1"/>
  <c r="L68" i="15"/>
  <c r="M68" i="15" s="1"/>
  <c r="L69" i="15"/>
  <c r="M69" i="15" s="1"/>
  <c r="L70" i="15"/>
  <c r="M70" i="15" s="1"/>
  <c r="L71" i="15"/>
  <c r="M71" i="15" s="1"/>
  <c r="L72" i="15"/>
  <c r="M72" i="15" s="1"/>
  <c r="L73" i="15"/>
  <c r="M73" i="15" s="1"/>
  <c r="L74" i="15"/>
  <c r="M74" i="15" s="1"/>
  <c r="L75" i="15"/>
  <c r="M75" i="15" s="1"/>
  <c r="L76" i="15"/>
  <c r="M76" i="15" s="1"/>
  <c r="L77" i="15"/>
  <c r="M77" i="15" s="1"/>
  <c r="L78" i="15"/>
  <c r="M78" i="15" s="1"/>
  <c r="L79" i="15"/>
  <c r="M79" i="15" s="1"/>
  <c r="L80" i="15"/>
  <c r="M80" i="15" s="1"/>
  <c r="L58" i="15"/>
  <c r="M58" i="15" s="1"/>
  <c r="K36" i="15"/>
  <c r="J36" i="15"/>
  <c r="I36" i="15"/>
  <c r="H35" i="15"/>
  <c r="R46" i="15" l="1"/>
  <c r="S46" i="15" s="1"/>
  <c r="R49" i="15"/>
  <c r="S49" i="15" s="1"/>
  <c r="R47" i="15"/>
  <c r="S47" i="15" s="1"/>
  <c r="R50" i="15"/>
  <c r="S50" i="15" s="1"/>
  <c r="R48" i="15"/>
  <c r="S48" i="15" s="1"/>
  <c r="N60" i="15" l="1"/>
  <c r="O60" i="15" s="1"/>
  <c r="L60" i="15"/>
  <c r="M60" i="15" s="1"/>
  <c r="L61" i="15"/>
  <c r="M61" i="15" s="1"/>
  <c r="N61" i="15"/>
  <c r="O61" i="15" s="1"/>
  <c r="J59" i="15"/>
  <c r="K59" i="15" s="1"/>
  <c r="P59" i="15" s="1"/>
  <c r="J60" i="15"/>
  <c r="K60" i="15" s="1"/>
  <c r="J61" i="15"/>
  <c r="K61" i="15" s="1"/>
  <c r="J62" i="15"/>
  <c r="K62" i="15" s="1"/>
  <c r="P62" i="15" s="1"/>
  <c r="J63" i="15"/>
  <c r="K63" i="15" s="1"/>
  <c r="P63" i="15" s="1"/>
  <c r="J64" i="15"/>
  <c r="K64" i="15" s="1"/>
  <c r="P64" i="15" s="1"/>
  <c r="J65" i="15"/>
  <c r="K65" i="15" s="1"/>
  <c r="P65" i="15" s="1"/>
  <c r="J66" i="15"/>
  <c r="K66" i="15" s="1"/>
  <c r="P66" i="15" s="1"/>
  <c r="J67" i="15"/>
  <c r="K67" i="15" s="1"/>
  <c r="P67" i="15" s="1"/>
  <c r="J68" i="15"/>
  <c r="K68" i="15" s="1"/>
  <c r="P68" i="15" s="1"/>
  <c r="J69" i="15"/>
  <c r="K69" i="15" s="1"/>
  <c r="P69" i="15" s="1"/>
  <c r="J70" i="15"/>
  <c r="K70" i="15" s="1"/>
  <c r="P70" i="15" s="1"/>
  <c r="J71" i="15"/>
  <c r="K71" i="15" s="1"/>
  <c r="P71" i="15" s="1"/>
  <c r="J72" i="15"/>
  <c r="K72" i="15" s="1"/>
  <c r="P72" i="15" s="1"/>
  <c r="J73" i="15"/>
  <c r="K73" i="15" s="1"/>
  <c r="P73" i="15" s="1"/>
  <c r="J74" i="15"/>
  <c r="K74" i="15" s="1"/>
  <c r="P74" i="15" s="1"/>
  <c r="J75" i="15"/>
  <c r="K75" i="15" s="1"/>
  <c r="P75" i="15" s="1"/>
  <c r="J76" i="15"/>
  <c r="K76" i="15" s="1"/>
  <c r="P76" i="15" s="1"/>
  <c r="J77" i="15"/>
  <c r="K77" i="15" s="1"/>
  <c r="P77" i="15" s="1"/>
  <c r="J78" i="15"/>
  <c r="K78" i="15" s="1"/>
  <c r="P78" i="15" s="1"/>
  <c r="J79" i="15"/>
  <c r="K79" i="15" s="1"/>
  <c r="P79" i="15" s="1"/>
  <c r="J80" i="15"/>
  <c r="K80" i="15" s="1"/>
  <c r="P80" i="15" s="1"/>
  <c r="J58" i="15"/>
  <c r="K58" i="15" s="1"/>
  <c r="P58" i="15" s="1"/>
  <c r="P61" i="15" l="1"/>
  <c r="P60" i="15"/>
  <c r="E91" i="15" s="1"/>
  <c r="P49" i="15" l="1"/>
  <c r="Q49" i="15" s="1"/>
  <c r="P50" i="15"/>
  <c r="Q50" i="15" s="1"/>
  <c r="P81" i="15"/>
  <c r="L49" i="15" l="1"/>
  <c r="T49" i="15"/>
  <c r="U49" i="15" s="1"/>
  <c r="L50" i="15"/>
  <c r="T50" i="15"/>
  <c r="U50" i="15" s="1"/>
  <c r="M50" i="15"/>
  <c r="M49" i="15"/>
  <c r="N50" i="15"/>
  <c r="O50" i="15" s="1"/>
  <c r="N49" i="15"/>
  <c r="O49" i="15" s="1"/>
  <c r="N48" i="15"/>
  <c r="O48" i="15" s="1"/>
  <c r="N47" i="15"/>
  <c r="O47" i="15" s="1"/>
  <c r="N46" i="15"/>
  <c r="O46" i="15" s="1"/>
  <c r="V49" i="15" l="1"/>
  <c r="V50" i="15"/>
  <c r="C17" i="18"/>
  <c r="G15" i="18"/>
  <c r="F16" i="18" s="1"/>
  <c r="G16" i="18"/>
  <c r="F17" i="18" s="1"/>
  <c r="G17" i="18"/>
  <c r="E15" i="18"/>
  <c r="D16" i="18" s="1"/>
  <c r="E16" i="18"/>
  <c r="D17" i="18" s="1"/>
  <c r="E17" i="18"/>
  <c r="C15" i="18"/>
  <c r="B16" i="18" s="1"/>
  <c r="C16" i="18"/>
  <c r="B17" i="18" s="1"/>
  <c r="C14" i="18"/>
  <c r="B15" i="18" s="1"/>
  <c r="D14" i="18"/>
  <c r="E14" i="18"/>
  <c r="D15" i="18" s="1"/>
  <c r="F14" i="18"/>
  <c r="G14" i="18"/>
  <c r="F15" i="18" s="1"/>
  <c r="B14" i="18"/>
  <c r="P48" i="15" l="1"/>
  <c r="Q48" i="15" s="1"/>
  <c r="R45" i="15"/>
  <c r="S45" i="15" s="1"/>
  <c r="L48" i="15" l="1"/>
  <c r="T48" i="15"/>
  <c r="U48" i="15" s="1"/>
  <c r="T46" i="15"/>
  <c r="U46" i="15" s="1"/>
  <c r="T47" i="15"/>
  <c r="U47" i="15" s="1"/>
  <c r="M48" i="15"/>
  <c r="N45" i="15"/>
  <c r="O45" i="15" s="1"/>
  <c r="V48" i="15" l="1"/>
  <c r="P47" i="15"/>
  <c r="Q47" i="15" s="1"/>
  <c r="L47" i="15"/>
  <c r="M47" i="15" s="1"/>
  <c r="L46" i="15"/>
  <c r="M46" i="15" s="1"/>
  <c r="P46" i="15"/>
  <c r="Q46" i="15" s="1"/>
  <c r="P45" i="15"/>
  <c r="Q45" i="15" s="1"/>
  <c r="T45" i="15"/>
  <c r="U45" i="15" s="1"/>
  <c r="L45" i="15"/>
  <c r="M45" i="15" s="1"/>
  <c r="V47" i="15" l="1"/>
  <c r="V46" i="15"/>
  <c r="V45" i="15"/>
  <c r="V51" i="15" s="1"/>
  <c r="E90" i="15" l="1"/>
  <c r="E92" i="15" s="1"/>
  <c r="E93" i="15" s="1"/>
  <c r="E94" i="15" s="1"/>
  <c r="E95" i="15"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Lucia Alexandra Vargas Yemail</author>
  </authors>
  <commentList>
    <comment ref="E12" authorId="0" shapeId="0" xr:uid="{14FE2A83-D1CC-40D9-97C2-0215A27EF2A7}">
      <text>
        <r>
          <rPr>
            <sz val="8"/>
            <color indexed="81"/>
            <rFont val="Arial"/>
            <family val="2"/>
          </rPr>
          <t xml:space="preserve">Dec.1860/21: </t>
        </r>
        <r>
          <rPr>
            <i/>
            <sz val="8"/>
            <color indexed="81"/>
            <rFont val="Arial"/>
            <family val="2"/>
          </rPr>
          <t>"Se entenderá como empleos del nivel directivo aquellos cuyas funciones están relacionadas con la dirección de áreas misionales de la empresa y la toma de decisiones a nivel estratégico. En este sentido, serán cargos de nivel directivo los que dentro de la organización de la empresa se encuentran ubicados en un nivel de mando o los que por su jerarquía desempeñan cargos encaminados al cumplimiento de funciones orientadas a representar al empleador."</t>
        </r>
      </text>
    </comment>
    <comment ref="E22" authorId="0" shapeId="0" xr:uid="{C26E7534-282B-4C18-B7C5-812ED2628C6C}">
      <text>
        <r>
          <rPr>
            <sz val="8"/>
            <color indexed="81"/>
            <rFont val="Arial"/>
            <family val="2"/>
          </rPr>
          <t xml:space="preserve">El Dec.1860/21 define como </t>
        </r>
        <r>
          <rPr>
            <b/>
            <sz val="8"/>
            <color indexed="81"/>
            <rFont val="Arial"/>
            <family val="2"/>
          </rPr>
          <t>sujetos de especial protección constitucional</t>
        </r>
        <r>
          <rPr>
            <sz val="8"/>
            <color indexed="81"/>
            <rFont val="Arial"/>
            <family val="2"/>
          </rPr>
          <t xml:space="preserve"> </t>
        </r>
        <r>
          <rPr>
            <i/>
            <sz val="8"/>
            <color indexed="81"/>
            <rFont val="Arial"/>
            <family val="2"/>
          </rPr>
          <t>"aquellas personas que debido a su particular condición física, psicológica o social merecen una acción positiva estatal para efectos de lograr una igualdad real y efectiva. Dentro de esta categoría se encuentran, entre otros, las víctimas del conflicto armado interno, las mujeres cabeza de familia, los adultos mayores, las personas en condición de discapacidad, así como la población de las comunidades indígena, negra, afrocolombiana, raizal, palanquera, Rrom o gitanas."</t>
        </r>
        <r>
          <rPr>
            <i/>
            <sz val="9"/>
            <color indexed="81"/>
            <rFont val="Tahoma"/>
            <family val="2"/>
          </rPr>
          <t xml:space="preserve">
</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<sst xmlns="http://schemas.openxmlformats.org/spreadsheetml/2006/main" count="4627" uniqueCount="1372">
  <si>
    <t>CLASIFICACIÓN DE LA INFORMACIÓN 
PÚBLICA</t>
  </si>
  <si>
    <t>Celular</t>
  </si>
  <si>
    <t>8010</t>
  </si>
  <si>
    <t>8020</t>
  </si>
  <si>
    <r>
      <t>3.1. Condiciones para ser considerados como</t>
    </r>
    <r>
      <rPr>
        <b/>
        <sz val="8"/>
        <color theme="1"/>
        <rFont val="Arial"/>
        <family val="2"/>
      </rPr>
      <t xml:space="preserve"> </t>
    </r>
    <r>
      <rPr>
        <b/>
        <sz val="9"/>
        <color theme="1"/>
        <rFont val="Arial"/>
        <family val="2"/>
      </rPr>
      <t>emprendimientos o empresas de mujeres</t>
    </r>
    <r>
      <rPr>
        <sz val="9"/>
        <color theme="1"/>
        <rFont val="Arial"/>
        <family val="2"/>
      </rPr>
      <t xml:space="preserve"> </t>
    </r>
    <r>
      <rPr>
        <sz val="8"/>
        <color theme="1"/>
        <rFont val="Arial"/>
        <family val="2"/>
      </rPr>
      <t>en el sistema de compras públicas (Art. 2.2.1.2.4.2.14. del Dec.1860/21):</t>
    </r>
  </si>
  <si>
    <t>Para contestar las preguntas tenga en cuenta que se estima que el cierre del proceso de selección se de en aproximadamente 3 meses y que se deberá acreditar la condición de emprendimientos o empresas de mujeres mediante los documentos señalados en el Dec.1860/21 en el marco del proceso de selección.</t>
  </si>
  <si>
    <r>
      <t xml:space="preserve">¿Más del cincuenta por ciento (50%) de las acciones, partes de interés o cuotas de participación de la </t>
    </r>
    <r>
      <rPr>
        <b/>
        <u/>
        <sz val="8"/>
        <color theme="1"/>
        <rFont val="Arial"/>
        <family val="2"/>
      </rPr>
      <t>persona jurídica</t>
    </r>
    <r>
      <rPr>
        <sz val="8"/>
        <color theme="1"/>
        <rFont val="Arial"/>
        <family val="2"/>
      </rPr>
      <t xml:space="preserve"> pertenecen a mujeres y los derechos de propiedad han pertenecido a estas durante al menos el último año anterior a la fecha de cierre del Proceso de Selección? </t>
    </r>
  </si>
  <si>
    <t>No</t>
  </si>
  <si>
    <t>Grupo</t>
  </si>
  <si>
    <t>NO_APLICA</t>
  </si>
  <si>
    <t>APLICA</t>
  </si>
  <si>
    <t>APLICA.</t>
  </si>
  <si>
    <t>Si</t>
  </si>
  <si>
    <r>
      <t xml:space="preserve">¿Por lo menos el cincuenta por ciento (50%) de los empleos del nivel directivo de la persona jurídica son ejercidos por mujeres y estas han estado vinculadas laboralmente a la </t>
    </r>
    <r>
      <rPr>
        <b/>
        <u/>
        <sz val="8"/>
        <color theme="1"/>
        <rFont val="Arial"/>
        <family val="2"/>
      </rPr>
      <t>empresa</t>
    </r>
    <r>
      <rPr>
        <sz val="8"/>
        <color theme="1"/>
        <rFont val="Arial"/>
        <family val="2"/>
      </rPr>
      <t xml:space="preserve"> durante al menos el último año anterior a la fecha de cierre del Proceso de Selección en el mismo cargo u otro del mismo nivel?</t>
    </r>
  </si>
  <si>
    <t>No es Asociación ni Cooperativa</t>
  </si>
  <si>
    <r>
      <t xml:space="preserve">En los casos en los que la </t>
    </r>
    <r>
      <rPr>
        <b/>
        <u/>
        <sz val="8"/>
        <color theme="1"/>
        <rFont val="Arial"/>
        <family val="2"/>
      </rPr>
      <t>persona natural</t>
    </r>
    <r>
      <rPr>
        <b/>
        <sz val="8"/>
        <color theme="1"/>
        <rFont val="Arial"/>
        <family val="2"/>
      </rPr>
      <t xml:space="preserve"> </t>
    </r>
    <r>
      <rPr>
        <sz val="8"/>
        <color theme="1"/>
        <rFont val="Arial"/>
        <family val="2"/>
      </rPr>
      <t>es mujer: ¿ha ejercido actividades comerciales a través de un establecimiento de comercio durante al menos el último año anterior a la fecha de cierre del proceso de selección?</t>
    </r>
  </si>
  <si>
    <r>
      <t xml:space="preserve">Para las </t>
    </r>
    <r>
      <rPr>
        <b/>
        <u/>
        <sz val="8"/>
        <color theme="1"/>
        <rFont val="Arial"/>
        <family val="2"/>
      </rPr>
      <t>asociaciones y cooperativas</t>
    </r>
    <r>
      <rPr>
        <b/>
        <sz val="8"/>
        <color theme="1"/>
        <rFont val="Arial"/>
        <family val="2"/>
      </rPr>
      <t>:</t>
    </r>
    <r>
      <rPr>
        <sz val="8"/>
        <color theme="1"/>
        <rFont val="Arial"/>
        <family val="2"/>
      </rPr>
      <t>¿Más del cincuenta por ciento (50%) de los asociados son mujeres y la participación les ha correspondido a estas durante al menos el último año anterior a la fecha de cierre del Proceso de Selección?</t>
    </r>
  </si>
  <si>
    <t>De resultar adjudicatario del proceso de selección, ¿qué porcentaje de los bienes o servicios requeridos para la ejecución del contrato serán provistos por parte de población en pobreza extrema, desplazados por la violencia, personas en proceso de reintegración o reincorporación y sujetos de especial protección constitucional, garantizando las condiciones de calidad?</t>
  </si>
  <si>
    <t>TALENTO HUMANO</t>
  </si>
  <si>
    <t>INFO FCT</t>
  </si>
  <si>
    <t>FUENTE PRECIOS</t>
  </si>
  <si>
    <t>Supervisor Fijo</t>
  </si>
  <si>
    <t>Circular</t>
  </si>
  <si>
    <t>Otros Turnos definidos en la FCT</t>
  </si>
  <si>
    <t>12 horas nocturnas pero la circular solo tiene 9 horas</t>
  </si>
  <si>
    <t>Supervisor para verificación Móvil (Motorizado)</t>
  </si>
  <si>
    <t>No hay perfil "con moto" en la circular, pero lo tienen relacionado coomo TH con arma</t>
  </si>
  <si>
    <t>Cotizar</t>
  </si>
  <si>
    <t>Coordinador</t>
  </si>
  <si>
    <t>Hace visitias de control, visitas de verificación
En el numeral 7.1.1.11 hablan de un representante, es el mismo coordinador?</t>
  </si>
  <si>
    <t>MEDIOS TECNOLÓGICOS</t>
  </si>
  <si>
    <t>INFORMACION GENERAL FCT</t>
  </si>
  <si>
    <t>NOTAS EN LA SDC</t>
  </si>
  <si>
    <t>Detector Manual de Metales</t>
  </si>
  <si>
    <t xml:space="preserve">deberá incorporar la instalación, traslado, operación, reubicaciones, mantenimiento preventivo y correctivo
Reubicaciones de CCTV y cámaras: hasta un máximo de dos (2) reubicaciones por sitio
7.1.4.7.	La capacidad de los CCTV instalados, deben garantizar 90 días de grabación (Almacenamiento). Pasados los tres (03) meses, debe realizarse copia de seguridad y así sucesivamente hasta finalizar la prestación del servicio.
</t>
  </si>
  <si>
    <t xml:space="preserve">Medios tecnológicos nuevos, plazo para instalarlos. 
</t>
  </si>
  <si>
    <t>Arco detector de metales</t>
  </si>
  <si>
    <t>Equipos all in One</t>
  </si>
  <si>
    <t xml:space="preserve">Unificar nombres, papelería, </t>
  </si>
  <si>
    <t>Software para control de visitantes</t>
  </si>
  <si>
    <t>Falta aclarar si es un por All in One, cotizarlo por equipo y con el PC?</t>
  </si>
  <si>
    <t>Rayos X</t>
  </si>
  <si>
    <t>Incuye UPS y regulador de corriente</t>
  </si>
  <si>
    <t>CCTV</t>
  </si>
  <si>
    <t xml:space="preserve">Incluye descripción de 9 elementos pero cantidades de solo 3. Que es para cada CCTV y que es para la Sala de Monitoreo. Incluye reubicaciones. </t>
  </si>
  <si>
    <t>Radio de Comunicación</t>
  </si>
  <si>
    <t>Marcador de Rondas y puesto</t>
  </si>
  <si>
    <t>Sala de Monitoreo</t>
  </si>
  <si>
    <t xml:space="preserve">se entiende que los CCTV deben estar conectados a la Sala de Monitoreo, pero no es claro que debe instalarse allí q hace parte de laCCTV (solo se indica que debe tener myebles y equipos: controladores PTZ, escritorios, equipos para revisión de videos , etc) </t>
  </si>
  <si>
    <t>Armamento: revólver calibre 38</t>
  </si>
  <si>
    <t>Armerillo Capacidad 3 armas</t>
  </si>
  <si>
    <t>Armerillo Capacidad 6 armas</t>
  </si>
  <si>
    <t>Tubos de descargue</t>
  </si>
  <si>
    <t>Espejos cóncavos con lámpara</t>
  </si>
  <si>
    <t>No hay imagen de referencia en la FCT ni cuadro con especificaciones</t>
  </si>
  <si>
    <t>Linternas</t>
  </si>
  <si>
    <t>Lámparas de emergencia</t>
  </si>
  <si>
    <t>Alarmas de pánico</t>
  </si>
  <si>
    <t>Puntos de marcación para marcador</t>
  </si>
  <si>
    <t>OTROS ELEMENTOS</t>
  </si>
  <si>
    <t>Reubicaciones de medios tecnológicos</t>
  </si>
  <si>
    <t>Grabacioes disco duro</t>
  </si>
  <si>
    <t>Almacenamiento y custodia de las grabaciones</t>
  </si>
  <si>
    <t>7.1.4.8.	Las copias de seguridad de los CCTV, deben ser almacenados en custodia externa, que incluya transporte de medios magnéticos, bóvedas especiales, personal capacitado en la manipulación de información y estrictas medidas de seguridad, que permitan garantizar la conservación y seguridad de la información, debidamente certificados de acuerdo a la Ley General de Archivos y los acuerdos 049 y 050 de 2000 que establecen las condiciones ambientales que se deben  tener en  cuenta para la conservación y el almacenamiento de los medios magnéticos.
7.1.4.11.	El almacenamiento de los videos de los CCTV en el tiempo real estará a cargo del Contratista.
7.1.4.12.	Los discos duros utilizados para las copias de seguridad y su custodia externa estarán a cargo del Contratista.
7.1.4.13.	Una vez finalizada la prestación del servicio, el Contratista debe garantizar la custodia de las grabaciones por seis (06) meses.</t>
  </si>
  <si>
    <t>UPS de los sistemas de CCTV</t>
  </si>
  <si>
    <t xml:space="preserve">Copias de seguridad de los CCTV </t>
  </si>
  <si>
    <t>90 dias y luego 6 meses</t>
  </si>
  <si>
    <t>Aprovisionamiento e instalación</t>
  </si>
  <si>
    <t>Instalación de acometidas, derivados de internet</t>
  </si>
  <si>
    <t>Dotación adicional del vigilante</t>
  </si>
  <si>
    <t>a)	Dotación de invierno: capas impermeables, paraguas y botas de caucho (dotación por cada vigilante anual y se debe cambiar por deterioro).
b)	Silbato.
c)	Bolígrafo.
d)	Libreta de anotaciones.
e)	Carné de identificación empresarial.
f)	Carné de la ARL.
g)	Tonfa y porta tonfa para la totalidad de puestos de servicio 24 horas para la Macro Región Uno (1).</t>
  </si>
  <si>
    <t>Dotación mínima de los puestos de servicio</t>
  </si>
  <si>
    <t>Equipo de comunicación, lockers individuales, directorio telefónico, puntos de control electrónico, un detector manual de metales, espejo cóncavo, armerillos, tubo de descargue</t>
  </si>
  <si>
    <t>Documentación mínima de los puestos de servicio</t>
  </si>
  <si>
    <t xml:space="preserve">Libro de minuta de puesto, control de entrada y salida de vehículos, de funcionarios y contratistas, equipos de cómputo y elementos varios. Elementos de papelería y útiles de escritorio; licencias. </t>
  </si>
  <si>
    <t>Archivo para cada puesto de vigilancia</t>
  </si>
  <si>
    <t>consignas generales y específicas del puesto de vigilancia, ordenes de entrada y salida de elementos pertenecientes a los sitios donde se preste el servicio, Ordenes de ingreso de personal en horario no laboral o de personal particular ajeno al sitio, las consignas impartidas por el supervisor que se designe para tal fin, libros, las minutas de vigilancia para cada puesto y las minutas para cada cambio de turno, el control de ingreso y salida de equipos y elementos de propiedad de la empresa de vigilancia</t>
  </si>
  <si>
    <t>Casetas</t>
  </si>
  <si>
    <t>No hay información técnica en la FCT</t>
  </si>
  <si>
    <t>Mantenimiento preventivo y correctivo</t>
  </si>
  <si>
    <t xml:space="preserve">7.1.6.5.	Conservar durante toda la ejecución de la negociación y por un término de seis (06) meses siguientes a la terminación del Contrato los archivos consignas, libros, cuadernos, minutas y demás documentación relativa a la prestación del servicio en concordancia con lo establecido en la Ley 594 de 2000, después de la finalización del mismo. </t>
  </si>
  <si>
    <t>SOLICITUD DE COTIZACIÓN</t>
  </si>
  <si>
    <t>Denominación del Bien o Servicio</t>
  </si>
  <si>
    <t>La presente cotización:</t>
  </si>
  <si>
    <t>1. INFORMACIÓN PARA CALCULAR LA TARIFA DEL SERVICIO</t>
  </si>
  <si>
    <t>CANTIDAD DE DÍAS</t>
  </si>
  <si>
    <t>JORNADA LABORAL</t>
  </si>
  <si>
    <t>Variable de Proporcionalidad</t>
  </si>
  <si>
    <t>PORCENTAJE DE GASTOS DE ADMINISTRACIÓN Y SUPERVISIÓN</t>
  </si>
  <si>
    <t>Lunes a viernes sin festivos</t>
  </si>
  <si>
    <t>Medio Humano sin Arma</t>
  </si>
  <si>
    <t>Lunes a viernes con festivos</t>
  </si>
  <si>
    <t>Medio Humano Con Arma</t>
  </si>
  <si>
    <t>Lunes a sábados sin festivos</t>
  </si>
  <si>
    <t>Nocturno</t>
  </si>
  <si>
    <t>Medio Humano Con Canino</t>
  </si>
  <si>
    <t>Lunes a sábados con festivos</t>
  </si>
  <si>
    <t>Festivos</t>
  </si>
  <si>
    <t xml:space="preserve">Sábados y Domingos </t>
  </si>
  <si>
    <t xml:space="preserve">Sábados, Domingos y festivos </t>
  </si>
  <si>
    <t>Días necesarios</t>
  </si>
  <si>
    <t>Administración y Supervisión</t>
  </si>
  <si>
    <t>PERÍODO DE TIEMPO</t>
  </si>
  <si>
    <t>Tarifa Mínima</t>
  </si>
  <si>
    <t>Horas requeridas</t>
  </si>
  <si>
    <t>Días</t>
  </si>
  <si>
    <t>Jornada</t>
  </si>
  <si>
    <t>Tipo de Servicio</t>
  </si>
  <si>
    <t>Lunes a Domingo</t>
  </si>
  <si>
    <t>Completa</t>
  </si>
  <si>
    <t>Lunes a Viernes sin Festivo</t>
  </si>
  <si>
    <t>Diurnas</t>
  </si>
  <si>
    <t>Costo Directo
Turno</t>
  </si>
  <si>
    <t>Administración y Supervisión (sobre Costo Directo + Prima del Seguro)</t>
  </si>
  <si>
    <t xml:space="preserve"> Valor Total Turno (Costo Directo + prima del seguro + AyS)</t>
  </si>
  <si>
    <r>
      <t xml:space="preserve">PREGUNTAS </t>
    </r>
    <r>
      <rPr>
        <b/>
        <sz val="12"/>
        <color rgb="FFFF0000"/>
        <rFont val="Arial"/>
        <family val="2"/>
      </rPr>
      <t>(Nota 1)</t>
    </r>
  </si>
  <si>
    <t>¿Qué tipo de Organización es?</t>
  </si>
  <si>
    <t>Si es Cooperativa, indique qué descuento podría ofrecer sobre el valor de la tarifa.</t>
  </si>
  <si>
    <r>
      <t xml:space="preserve">3
</t>
    </r>
    <r>
      <rPr>
        <b/>
        <sz val="10"/>
        <color rgb="FFFF0000"/>
        <rFont val="Arial"/>
        <family val="2"/>
      </rPr>
      <t>(Nota 1)</t>
    </r>
  </si>
  <si>
    <t>Valor de la prima del seguro de vida según servicios</t>
  </si>
  <si>
    <t>PLAZO ESTIMADO DE EJECUCIÓN</t>
  </si>
  <si>
    <t>AÑO 2024</t>
  </si>
  <si>
    <r>
      <t xml:space="preserve">Tiempo estimado de ejecución </t>
    </r>
    <r>
      <rPr>
        <b/>
        <sz val="10"/>
        <color rgb="FFFF0000"/>
        <rFont val="Arial"/>
        <family val="2"/>
      </rPr>
      <t>(Notas 2 y 7)</t>
    </r>
  </si>
  <si>
    <t>SERVICIOS INCLUIDO EN LA CIRCULAR EXTERNA 20221300000675 
DEL 29 DE DICIEMBRE DE 2022</t>
  </si>
  <si>
    <t>Cantidad</t>
  </si>
  <si>
    <t>MEDIO</t>
  </si>
  <si>
    <t>Precio Unitario Mensual
Antes de IVA 2024</t>
  </si>
  <si>
    <t>CAMARAS IP - TIPO BALA</t>
  </si>
  <si>
    <t xml:space="preserve">JOISTYCK PARA CONTROL DE CÁMARAS DOMO PTZ   </t>
  </si>
  <si>
    <t>UPS 3KVA</t>
  </si>
  <si>
    <t>BOTON DE PANICO</t>
  </si>
  <si>
    <t>Cilindro de Descarga</t>
  </si>
  <si>
    <t>Espejos Concavos para inspección Vehicular</t>
  </si>
  <si>
    <t>COMPONENTE</t>
  </si>
  <si>
    <t>SERVICIOS DE VIGILANCIA</t>
  </si>
  <si>
    <t>MEDIOS TECNOLÓGICOS, DE MONITOREO Y DE APOYO</t>
  </si>
  <si>
    <t>SUBTOTAL</t>
  </si>
  <si>
    <t>IVA</t>
  </si>
  <si>
    <t>OCULTAR ESTA HOJA ANTES DE ENVIAR AL MERCADO</t>
  </si>
  <si>
    <t>Cálculos para determinar el tamaño empresarial</t>
  </si>
  <si>
    <t>UVT 2021 ---&gt;</t>
  </si>
  <si>
    <t>UVT debe corresponder al último año que se solicita información finanicera.</t>
  </si>
  <si>
    <t>Resolución conjunta número 2225 de 2019 MinCIT - Artículo 1°</t>
  </si>
  <si>
    <t>Decreto 957 de 2019</t>
  </si>
  <si>
    <t>Manufacturero</t>
  </si>
  <si>
    <t>Servicio</t>
  </si>
  <si>
    <t>Comercio</t>
  </si>
  <si>
    <t>Microempresa</t>
  </si>
  <si>
    <t>Pequeña empresa</t>
  </si>
  <si>
    <t>Mediana empresa</t>
  </si>
  <si>
    <t xml:space="preserve">Gran empresa </t>
  </si>
  <si>
    <r>
      <t xml:space="preserve">Resolución conjunta número 2225 de 2019 - Artículo 3°. </t>
    </r>
    <r>
      <rPr>
        <sz val="8"/>
        <color theme="1"/>
        <rFont val="Arial"/>
        <family val="2"/>
      </rPr>
      <t>Correspondencia de los sectores. Para efectos de determinar cuál es el rango de tamaño aplicable por actividad económica, considérese la siguiente correspondencia, de acuerdo con lo dispuesto en el parágrafo 4° del artículo 2.2.1.13.2.2 del Decreto número 1074 de 2015, así:</t>
    </r>
  </si>
  <si>
    <t>CIIU SIN LETRA</t>
  </si>
  <si>
    <t>Descripción Clasificación Industrial Internacional Uniforme Versión 4 A.C</t>
  </si>
  <si>
    <t>Sector</t>
  </si>
  <si>
    <t>0111</t>
  </si>
  <si>
    <r>
      <t>Cultivo de cereales (excepto arroz), legumbres y semillas oleaginosas</t>
    </r>
    <r>
      <rPr>
        <b/>
        <sz val="8"/>
        <rFont val="Arial"/>
        <family val="2"/>
      </rPr>
      <t xml:space="preserve"> </t>
    </r>
  </si>
  <si>
    <t>0112</t>
  </si>
  <si>
    <r>
      <t>Cultivo de arroz</t>
    </r>
    <r>
      <rPr>
        <b/>
        <sz val="8"/>
        <rFont val="Arial"/>
        <family val="2"/>
      </rPr>
      <t xml:space="preserve"> </t>
    </r>
  </si>
  <si>
    <t>0113</t>
  </si>
  <si>
    <r>
      <t>Cultivo de hortalizas, raíces y tubérculos</t>
    </r>
    <r>
      <rPr>
        <b/>
        <sz val="8"/>
        <rFont val="Arial"/>
        <family val="2"/>
      </rPr>
      <t xml:space="preserve"> </t>
    </r>
  </si>
  <si>
    <t>0114</t>
  </si>
  <si>
    <r>
      <t>Cultivo de tabaco</t>
    </r>
    <r>
      <rPr>
        <b/>
        <sz val="8"/>
        <rFont val="Arial"/>
        <family val="2"/>
      </rPr>
      <t xml:space="preserve"> </t>
    </r>
  </si>
  <si>
    <t>0115</t>
  </si>
  <si>
    <r>
      <t>Cultivo de plantas textiles</t>
    </r>
    <r>
      <rPr>
        <b/>
        <sz val="8"/>
        <rFont val="Arial"/>
        <family val="2"/>
      </rPr>
      <t xml:space="preserve"> </t>
    </r>
  </si>
  <si>
    <t>0119</t>
  </si>
  <si>
    <t>Otros cultivos transitorios n.c.p.</t>
  </si>
  <si>
    <t>0121</t>
  </si>
  <si>
    <t>Cultivo de frutas tropicales y subtropicales</t>
  </si>
  <si>
    <t>0122</t>
  </si>
  <si>
    <t>Cultivo de plátano y banano</t>
  </si>
  <si>
    <t>0123</t>
  </si>
  <si>
    <t>Cultivo de café</t>
  </si>
  <si>
    <t>0124</t>
  </si>
  <si>
    <t>Cultivo de caña de azúcar</t>
  </si>
  <si>
    <t>0125</t>
  </si>
  <si>
    <t>Cultivo de flor de corte</t>
  </si>
  <si>
    <t>0126</t>
  </si>
  <si>
    <t>Cultivo de palma para aceite (palma africana) y otros frutos oleaginosos</t>
  </si>
  <si>
    <t>0127</t>
  </si>
  <si>
    <t>Cultivo de plantas con las que se preparan bebidas</t>
  </si>
  <si>
    <t>0128</t>
  </si>
  <si>
    <t xml:space="preserve">Cultivo de especias y de plantas aromáticas y medicinales </t>
  </si>
  <si>
    <t>0129</t>
  </si>
  <si>
    <t>Otros cultivos permanentes n.c.p.</t>
  </si>
  <si>
    <t>0130</t>
  </si>
  <si>
    <t xml:space="preserve">Propagación de plantas (actividades de los viveros, excepto viveros forestales) </t>
  </si>
  <si>
    <t>0141</t>
  </si>
  <si>
    <t>Cría de ganado bovino y bufalino</t>
  </si>
  <si>
    <t>0142</t>
  </si>
  <si>
    <t xml:space="preserve">Cría de caballos y otros equinos </t>
  </si>
  <si>
    <t>0143</t>
  </si>
  <si>
    <t xml:space="preserve">Cría de ovejas y cabras </t>
  </si>
  <si>
    <t>0144</t>
  </si>
  <si>
    <t>Cría de ganado porcino</t>
  </si>
  <si>
    <t>0145</t>
  </si>
  <si>
    <t>Cría de aves de corral</t>
  </si>
  <si>
    <t>0149</t>
  </si>
  <si>
    <t>Cría de otros animales n.c.p.</t>
  </si>
  <si>
    <t>0150</t>
  </si>
  <si>
    <t xml:space="preserve">Explotación mixta (agrícola y pecuaria) </t>
  </si>
  <si>
    <t>0161</t>
  </si>
  <si>
    <t xml:space="preserve">Actividades de apoyo a la agricultura </t>
  </si>
  <si>
    <t>0162</t>
  </si>
  <si>
    <t>Actividades de apoyo a la ganadería</t>
  </si>
  <si>
    <t>0163</t>
  </si>
  <si>
    <t xml:space="preserve">Actividades posteriores a la cosecha </t>
  </si>
  <si>
    <t>0164</t>
  </si>
  <si>
    <t xml:space="preserve">Tratamiento de semillas para propagación </t>
  </si>
  <si>
    <t>0170</t>
  </si>
  <si>
    <t xml:space="preserve">Caza ordinaria y mediante trampas y actividades de servicios conexas </t>
  </si>
  <si>
    <t>0210</t>
  </si>
  <si>
    <t>Silvicultura y otras actividades forestales</t>
  </si>
  <si>
    <t>0220</t>
  </si>
  <si>
    <t xml:space="preserve">Extracción de madera </t>
  </si>
  <si>
    <t>0230</t>
  </si>
  <si>
    <t>Recolección de productos forestales diferentes a la madera</t>
  </si>
  <si>
    <t>0240</t>
  </si>
  <si>
    <t xml:space="preserve">Servicios de apoyo a la silvicultura </t>
  </si>
  <si>
    <t>0311</t>
  </si>
  <si>
    <t xml:space="preserve">Pesca marítima </t>
  </si>
  <si>
    <t>0312</t>
  </si>
  <si>
    <t xml:space="preserve">Pesca de agua dulce </t>
  </si>
  <si>
    <t>0321</t>
  </si>
  <si>
    <t xml:space="preserve">Acuicultura marítima </t>
  </si>
  <si>
    <t>0322</t>
  </si>
  <si>
    <t>Acuicultura de agua dulce</t>
  </si>
  <si>
    <t>0510</t>
  </si>
  <si>
    <t>Extracción de hulla (carbón de piedra)</t>
  </si>
  <si>
    <t>0520</t>
  </si>
  <si>
    <t>Extracción de carbón lignito</t>
  </si>
  <si>
    <t>0610</t>
  </si>
  <si>
    <t>Extracción de petróleo crudo</t>
  </si>
  <si>
    <t>0620</t>
  </si>
  <si>
    <t>Extracción de gas natural</t>
  </si>
  <si>
    <t>0710</t>
  </si>
  <si>
    <t>Extracción de minerales de hierro</t>
  </si>
  <si>
    <t>0721</t>
  </si>
  <si>
    <t>Extracción de minerales de uranio y de torio</t>
  </si>
  <si>
    <t>0722</t>
  </si>
  <si>
    <t>Extracción de oro y otros metales preciosos</t>
  </si>
  <si>
    <t>0723</t>
  </si>
  <si>
    <t>Extracción de minerales de níquel</t>
  </si>
  <si>
    <t>0729</t>
  </si>
  <si>
    <t>Extracción de otros minerales metalíferos no ferrosos n.c.p.</t>
  </si>
  <si>
    <t>0811</t>
  </si>
  <si>
    <t>Extracción de piedra, arena, arcillas comunes, yeso y anhidrita</t>
  </si>
  <si>
    <t>0812</t>
  </si>
  <si>
    <t>Extracción de arcillas de uso industrial, caliza, caolín y bentonitas</t>
  </si>
  <si>
    <t>0820</t>
  </si>
  <si>
    <t>Extracción de esmeraldas, piedras preciosas y semipreciosas</t>
  </si>
  <si>
    <t>0891</t>
  </si>
  <si>
    <t>Extracción de minerales para la fabricación de abonos y productos químicos</t>
  </si>
  <si>
    <t>0892</t>
  </si>
  <si>
    <t>Extracción de halita (sal)</t>
  </si>
  <si>
    <t>0899</t>
  </si>
  <si>
    <t>Extracción de otros minerales no metálicos n.c.p.</t>
  </si>
  <si>
    <t>0910</t>
  </si>
  <si>
    <t>Actividades de apoyo para la extracción de petróleo y de gas natural</t>
  </si>
  <si>
    <t>0990</t>
  </si>
  <si>
    <t>Actividades de apoyo para otras actividades de explotación de minas y canteras</t>
  </si>
  <si>
    <t>1011</t>
  </si>
  <si>
    <t>Procesamiento y conservación de carne y productos cárnicos</t>
  </si>
  <si>
    <t>1012</t>
  </si>
  <si>
    <t>Procesamiento y conservación de pescados, crustáceos y moluscos</t>
  </si>
  <si>
    <t>1020</t>
  </si>
  <si>
    <t>Procesamiento y conservación de frutas, legumbres, hortalizas y tubérculos</t>
  </si>
  <si>
    <t>1030</t>
  </si>
  <si>
    <t>Elaboración de aceites y grasas de origen vegetal y animal</t>
  </si>
  <si>
    <t>1040</t>
  </si>
  <si>
    <t>Elaboración de productos lácteos</t>
  </si>
  <si>
    <t>1051</t>
  </si>
  <si>
    <t>Elaboración de productos de molinería</t>
  </si>
  <si>
    <t>1052</t>
  </si>
  <si>
    <t>Elaboración de almidones y productos derivados del almidón</t>
  </si>
  <si>
    <t>1061</t>
  </si>
  <si>
    <t>Trilla de café</t>
  </si>
  <si>
    <t>1062</t>
  </si>
  <si>
    <t>Descafeinado, tostión y molienda del café</t>
  </si>
  <si>
    <t>1063</t>
  </si>
  <si>
    <t>Otros derivados del café</t>
  </si>
  <si>
    <t>1071</t>
  </si>
  <si>
    <t>Elaboración y refinación de azúcar</t>
  </si>
  <si>
    <t>1072</t>
  </si>
  <si>
    <t>Elaboración de panela</t>
  </si>
  <si>
    <t>1081</t>
  </si>
  <si>
    <t>Elaboración de productos de panadería</t>
  </si>
  <si>
    <t>1082</t>
  </si>
  <si>
    <t>Elaboración de cacao, chocolate y productos de confitería</t>
  </si>
  <si>
    <t>1083</t>
  </si>
  <si>
    <t>Elaboración de macarrones, fideos, alcuzcuz y productos farináceos similares</t>
  </si>
  <si>
    <t>1084</t>
  </si>
  <si>
    <t>Elaboración de comidas y platos preparados</t>
  </si>
  <si>
    <t>1089</t>
  </si>
  <si>
    <t>Elaboración de otros productos alimenticios n.c.p.</t>
  </si>
  <si>
    <t>1090</t>
  </si>
  <si>
    <t>Elaboración de alimentos preparados para animales</t>
  </si>
  <si>
    <t>1101</t>
  </si>
  <si>
    <t>Destilación, rectificación y mezcla de bebidas alcohólicas</t>
  </si>
  <si>
    <t>1102</t>
  </si>
  <si>
    <t>Elaboración de bebidas fermentadas no destiladas</t>
  </si>
  <si>
    <t>1103</t>
  </si>
  <si>
    <t>Producción de malta, elaboración de cervezas y otras bebidas malteadas</t>
  </si>
  <si>
    <t>1104</t>
  </si>
  <si>
    <t>Elaboración de bebidas no alcohólicas, producción de aguas minerales y de otras aguas embotelladas</t>
  </si>
  <si>
    <t>1200</t>
  </si>
  <si>
    <t>Elaboración de productos de tabaco</t>
  </si>
  <si>
    <t>1311</t>
  </si>
  <si>
    <t>Preparación e hilatura de fibras textiles</t>
  </si>
  <si>
    <t>1312</t>
  </si>
  <si>
    <t>Tejeduría de productos textiles</t>
  </si>
  <si>
    <t>1313</t>
  </si>
  <si>
    <t>Acabado de productos textiles</t>
  </si>
  <si>
    <t>1391</t>
  </si>
  <si>
    <t>Fabricación de tejidos de punto y ganchillo</t>
  </si>
  <si>
    <t>1392</t>
  </si>
  <si>
    <t>Confección de artículos con materiales textiles, excepto prendas de vestir</t>
  </si>
  <si>
    <t>1393</t>
  </si>
  <si>
    <t>Fabricación de tapetes y alfombras para pisos</t>
  </si>
  <si>
    <t>1394</t>
  </si>
  <si>
    <t>Fabricación de cuerdas, cordeles, cables, bramantes y redes</t>
  </si>
  <si>
    <t>1399</t>
  </si>
  <si>
    <t>Fabricación de otros artículos textiles n.c.p.</t>
  </si>
  <si>
    <t>1410</t>
  </si>
  <si>
    <t>Confección de prendas de vestir, excepto prendas de piel</t>
  </si>
  <si>
    <t>1420</t>
  </si>
  <si>
    <t>Fabricación de artículos de piel</t>
  </si>
  <si>
    <t>1430</t>
  </si>
  <si>
    <t>Fabricación de artículos de punto y ganchillo</t>
  </si>
  <si>
    <t>1511</t>
  </si>
  <si>
    <t>Curtido y recurtido de cueros; recurtido y teñido de pieles</t>
  </si>
  <si>
    <t>1512</t>
  </si>
  <si>
    <t>Fabricación de artículos de viaje, bolsos de mano y artículos similares elaborados en cuero, y fabricación de artículos de talabartería y guarnicionería</t>
  </si>
  <si>
    <t>1513</t>
  </si>
  <si>
    <t>Fabricación de artículos de viaje, bolsos de mano y artículos similares; artículos de talabartería y guarnicionería elaborados en otros materiales</t>
  </si>
  <si>
    <t>1521</t>
  </si>
  <si>
    <t>Fabricación de calzado de cuero y piel, con cualquier tipo de suela</t>
  </si>
  <si>
    <t>1522</t>
  </si>
  <si>
    <t>Fabricación de otros tipos de calzado, excepto calzado de cuero y piel</t>
  </si>
  <si>
    <t>1523</t>
  </si>
  <si>
    <t>Fabricación de partes del calzado</t>
  </si>
  <si>
    <t>1610</t>
  </si>
  <si>
    <t>Aserrado, acepillado e impregnación de la madera</t>
  </si>
  <si>
    <t>1620</t>
  </si>
  <si>
    <t>Fabricación de hojas de madera para enchapado; fabricación de tableros contrachapados, tableros laminados, tableros de partículas y otros tableros y paneles</t>
  </si>
  <si>
    <t>1630</t>
  </si>
  <si>
    <t>Fabricación de partes y piezas de madera, de carpintería y ebanistería para la construcción</t>
  </si>
  <si>
    <t>1640</t>
  </si>
  <si>
    <t>Fabricación de recipientes de madera</t>
  </si>
  <si>
    <t>1690</t>
  </si>
  <si>
    <t>Fabricación de otros productos de madera; fabricación de artículos de corcho, cestería y espartería</t>
  </si>
  <si>
    <t>1701</t>
  </si>
  <si>
    <t>Fabricación de pulpas (pastas) celulósicas; papel y cartón</t>
  </si>
  <si>
    <t>1702</t>
  </si>
  <si>
    <t>Fabricación de papel y cartón ondulado (corrugado); fabricación de envases, empaques y de embalajes de papel y cartón.</t>
  </si>
  <si>
    <t>1709</t>
  </si>
  <si>
    <t>Fabricación de otros artículos de papel y cartón</t>
  </si>
  <si>
    <t>1811</t>
  </si>
  <si>
    <t>Actividades de impresión</t>
  </si>
  <si>
    <t>1812</t>
  </si>
  <si>
    <t>Actividades de servicios relacionados con la impresión</t>
  </si>
  <si>
    <t>1820</t>
  </si>
  <si>
    <t xml:space="preserve">Producción de copias a partir de grabaciones originales </t>
  </si>
  <si>
    <t>1910</t>
  </si>
  <si>
    <t>Fabricación de productos de hornos de coque</t>
  </si>
  <si>
    <t>1921</t>
  </si>
  <si>
    <t>Fabricación de productos de la refinación del petróleo</t>
  </si>
  <si>
    <t>1922</t>
  </si>
  <si>
    <t>Actividad de mezcla de combustibles</t>
  </si>
  <si>
    <t>2011</t>
  </si>
  <si>
    <t>Fabricación de sustancias y productos químicos básicos</t>
  </si>
  <si>
    <t>2012</t>
  </si>
  <si>
    <t>Fabricación de abonos y compuestos inorgánicos nitrogenados</t>
  </si>
  <si>
    <t>2013</t>
  </si>
  <si>
    <t>Fabricación de plásticos en formas primarias</t>
  </si>
  <si>
    <t>2014</t>
  </si>
  <si>
    <t>Fabricación de caucho sintético en formas primarias</t>
  </si>
  <si>
    <t>2021</t>
  </si>
  <si>
    <t>Fabricación de plaguicidas y otros productos químicos de uso agropecuario</t>
  </si>
  <si>
    <t>2022</t>
  </si>
  <si>
    <t>Fabricación de pinturas, barnices y revestimientos similares, tintas para impresión y masillas</t>
  </si>
  <si>
    <t>2023</t>
  </si>
  <si>
    <t>Fabricación de jabones y detergentes, preparados para limpiar y pulir; perfumes y preparados de tocador</t>
  </si>
  <si>
    <t>2029</t>
  </si>
  <si>
    <t>Fabricación de otros productos químicos n.c.p.</t>
  </si>
  <si>
    <t>2030</t>
  </si>
  <si>
    <t>Fabricación de fibras sintéticas y artificiales</t>
  </si>
  <si>
    <t>2100</t>
  </si>
  <si>
    <t>Fabricación de productos farmacéuticos, sustancias químicas medicinales y productos botánicos de uso farmacéutico</t>
  </si>
  <si>
    <t>2211</t>
  </si>
  <si>
    <t>Fabricación de llantas y neumáticos de caucho</t>
  </si>
  <si>
    <t>2212</t>
  </si>
  <si>
    <t>Reencauche de llantas usadas</t>
  </si>
  <si>
    <t>2219</t>
  </si>
  <si>
    <t>Fabricación de formas básicas de caucho y otros productos de caucho n.c.p.</t>
  </si>
  <si>
    <t>2221</t>
  </si>
  <si>
    <t>Fabricación de formas básicas de plástico</t>
  </si>
  <si>
    <t>2229</t>
  </si>
  <si>
    <t>Fabricación de artículos de plástico n.c.p.</t>
  </si>
  <si>
    <t>2310</t>
  </si>
  <si>
    <t>Fabricación de vidrio y productos de vidrio</t>
  </si>
  <si>
    <t>2391</t>
  </si>
  <si>
    <t>Fabricación de productos refractarios</t>
  </si>
  <si>
    <t>2392</t>
  </si>
  <si>
    <t>Fabricación de materiales de arcilla para la construcción</t>
  </si>
  <si>
    <t>2393</t>
  </si>
  <si>
    <t>Fabricación de otros productos de cerámica y porcelana</t>
  </si>
  <si>
    <t>2394</t>
  </si>
  <si>
    <t>Fabricación de cemento, cal y yeso</t>
  </si>
  <si>
    <t>2395</t>
  </si>
  <si>
    <t>Fabricación de artículos de hormigón, cemento y yeso</t>
  </si>
  <si>
    <t>2396</t>
  </si>
  <si>
    <t>Corte, tallado y acabado de la piedra</t>
  </si>
  <si>
    <t>2399</t>
  </si>
  <si>
    <t>Fabricación de otros productos minerales no metálicos n.c.p.</t>
  </si>
  <si>
    <t>2410</t>
  </si>
  <si>
    <t>Industrias básicas de hierro y de acero</t>
  </si>
  <si>
    <t>2421</t>
  </si>
  <si>
    <t>Industrias básicas de metales preciosos</t>
  </si>
  <si>
    <t>2429</t>
  </si>
  <si>
    <t>Industrias básicas de otros metales no ferrosos</t>
  </si>
  <si>
    <t>2431</t>
  </si>
  <si>
    <t>Fundición de hierro y de acero</t>
  </si>
  <si>
    <t>2432</t>
  </si>
  <si>
    <t xml:space="preserve">Fundición de metales no ferrosos </t>
  </si>
  <si>
    <t>2511</t>
  </si>
  <si>
    <t>Fabricación de productos metálicos para uso estructural</t>
  </si>
  <si>
    <t>2512</t>
  </si>
  <si>
    <t>Fabricación de tanques, depósitos y recipientes de metal, excepto los utilizados para el envase o transporte de mercancías</t>
  </si>
  <si>
    <t>2513</t>
  </si>
  <si>
    <t>Fabricación de generadores de vapor, excepto calderas de agua caliente para calefacción central</t>
  </si>
  <si>
    <t>2520</t>
  </si>
  <si>
    <t>Fabricación de armas y municiones</t>
  </si>
  <si>
    <t>2591</t>
  </si>
  <si>
    <t>Forja, prensado, estampado y laminado de metal; pulvimetalurgia</t>
  </si>
  <si>
    <t>2592</t>
  </si>
  <si>
    <t>Tratamiento y revestimiento de metales; mecanizado</t>
  </si>
  <si>
    <t>2593</t>
  </si>
  <si>
    <t>Fabricación de artículos de cuchillería, herramientas de mano y artículos de ferretería</t>
  </si>
  <si>
    <t>2599</t>
  </si>
  <si>
    <t>Fabricación de otros productos elaborados de metal n.c.p.</t>
  </si>
  <si>
    <t>2610</t>
  </si>
  <si>
    <t>Fabricación de componentes y tableros electrónicos</t>
  </si>
  <si>
    <t>2620</t>
  </si>
  <si>
    <t>Fabricación de computadoras y de equipo periférico</t>
  </si>
  <si>
    <t>2630</t>
  </si>
  <si>
    <t>Fabricación de equipos de comunicación</t>
  </si>
  <si>
    <t>2640</t>
  </si>
  <si>
    <t>Fabricación de aparatos electrónicos de consumo</t>
  </si>
  <si>
    <t>2651</t>
  </si>
  <si>
    <t>Fabricación de equipo de medición, prueba, navegación y control</t>
  </si>
  <si>
    <t>2652</t>
  </si>
  <si>
    <t>Fabricación de relojes</t>
  </si>
  <si>
    <t>2660</t>
  </si>
  <si>
    <t>Fabricación de equipo de irradiación y equipo electrónico de uso médico y terapéutico</t>
  </si>
  <si>
    <t>2670</t>
  </si>
  <si>
    <t>Fabricación de instrumentos ópticos y equipo fotográfico</t>
  </si>
  <si>
    <t>2680</t>
  </si>
  <si>
    <t>Fabricación de medios magnéticos y ópticos para almacenamiento de datos</t>
  </si>
  <si>
    <t>2711</t>
  </si>
  <si>
    <t>Fabricación de motores, generadores y transformadores eléctricos</t>
  </si>
  <si>
    <t>2712</t>
  </si>
  <si>
    <t>Fabricación de aparatos de distribución y control de la energía eléctrica</t>
  </si>
  <si>
    <t>2720</t>
  </si>
  <si>
    <t>Fabricación de pilas, baterías y acumuladores eléctricos</t>
  </si>
  <si>
    <t>2731</t>
  </si>
  <si>
    <t>Fabricación de hilos y cables eléctricos y de fibra óptica</t>
  </si>
  <si>
    <t>2732</t>
  </si>
  <si>
    <t>Fabricación de dispositivos de cableado</t>
  </si>
  <si>
    <t>2740</t>
  </si>
  <si>
    <t>Fabricación de equipos eléctricos de iluminación</t>
  </si>
  <si>
    <t>2750</t>
  </si>
  <si>
    <t>Fabricación de aparatos de uso doméstico</t>
  </si>
  <si>
    <t>2790</t>
  </si>
  <si>
    <t>Fabricación de otros tipos de equipo eléctrico n.c.p.</t>
  </si>
  <si>
    <t>2811</t>
  </si>
  <si>
    <t>Fabricación de motores, turbinas, y partes para motores de combustión interna</t>
  </si>
  <si>
    <t>2812</t>
  </si>
  <si>
    <t>Fabricación de equipos de potencia hidráulica y neumática</t>
  </si>
  <si>
    <t>2813</t>
  </si>
  <si>
    <t>Fabricación de otras bombas, compresores, grifos y válvulas</t>
  </si>
  <si>
    <t>2814</t>
  </si>
  <si>
    <t>Fabricación de cojinetes, engranajes, trenes de engranajes y piezas de transmisión</t>
  </si>
  <si>
    <t>2815</t>
  </si>
  <si>
    <t>Fabricación de hornos, hogares y quemadores industriales</t>
  </si>
  <si>
    <t>2816</t>
  </si>
  <si>
    <t>Fabricación de equipo de elevación y manipulación</t>
  </si>
  <si>
    <t>2817</t>
  </si>
  <si>
    <t>Fabricación de maquinaria y equipo de oficina (excepto computadoras y equipo periférico)</t>
  </si>
  <si>
    <t>2818</t>
  </si>
  <si>
    <t>Fabricación de herramientas manuales con motor</t>
  </si>
  <si>
    <t>2819</t>
  </si>
  <si>
    <t>Fabricación de otros tipos de maquinaria y equipo de uso general n.c.p.</t>
  </si>
  <si>
    <t>2821</t>
  </si>
  <si>
    <t>Fabricación de maquinaria agropecuaria y forestal</t>
  </si>
  <si>
    <t>2822</t>
  </si>
  <si>
    <t>Fabricación de máquinas formadoras de metal y de máquinas herramienta</t>
  </si>
  <si>
    <t>2823</t>
  </si>
  <si>
    <t>Fabricación de maquinaria para la metalurgia</t>
  </si>
  <si>
    <t>2824</t>
  </si>
  <si>
    <t>Fabricación de maquinaria para explotación de minas y canteras y para obras de construcción</t>
  </si>
  <si>
    <t>2825</t>
  </si>
  <si>
    <t>Fabricación de maquinaria para la elaboración de alimentos, bebidas y tabaco</t>
  </si>
  <si>
    <t>2826</t>
  </si>
  <si>
    <t>Fabricación de maquinaria para la elaboración de productos textiles, prendas de vestir y cueros</t>
  </si>
  <si>
    <t>2829</t>
  </si>
  <si>
    <t>Fabricación de otros tipos de maquinaria y equipo de uso especial n.c.p.</t>
  </si>
  <si>
    <t>2910</t>
  </si>
  <si>
    <t>Fabricación de vehículos automotores y sus motores</t>
  </si>
  <si>
    <t>2920</t>
  </si>
  <si>
    <t xml:space="preserve">Fabricación de carrocerías para vehículos automotores; fabricación de remolques y semirremolques </t>
  </si>
  <si>
    <t>2930</t>
  </si>
  <si>
    <t>Fabricación de partes, piezas (autopartes) y accesorios (lujos) para vehículos automotores</t>
  </si>
  <si>
    <t>3011</t>
  </si>
  <si>
    <t>Construcción de barcos y de estructuras flotantes</t>
  </si>
  <si>
    <t>3012</t>
  </si>
  <si>
    <t>Construcción de embarcaciones de recreo y deporte</t>
  </si>
  <si>
    <t>3020</t>
  </si>
  <si>
    <t>Fabricación de locomotoras y de material rodante para ferrocarriles</t>
  </si>
  <si>
    <t>3030</t>
  </si>
  <si>
    <t>Fabricación de aeronaves, naves espaciales y de maquinaria conexa</t>
  </si>
  <si>
    <t>3040</t>
  </si>
  <si>
    <t>Fabricación de vehículos militares de combate</t>
  </si>
  <si>
    <t>3091</t>
  </si>
  <si>
    <t>Fabricación de motocicletas</t>
  </si>
  <si>
    <t>3092</t>
  </si>
  <si>
    <t>Fabricación de bicicletas y de sillas de ruedas para personas con discapacidad</t>
  </si>
  <si>
    <t>3099</t>
  </si>
  <si>
    <t>Fabricación de otros tipos de equipo de transporte n.c.p.</t>
  </si>
  <si>
    <t>3110</t>
  </si>
  <si>
    <t xml:space="preserve">Fabricación de muebles </t>
  </si>
  <si>
    <t>3120</t>
  </si>
  <si>
    <t>Fabricación de colchones y somieres</t>
  </si>
  <si>
    <t>3210</t>
  </si>
  <si>
    <t>Fabricación de joyas, bisutería y artículos conexos</t>
  </si>
  <si>
    <t>3220</t>
  </si>
  <si>
    <t>Fabricación de instrumentos musicales</t>
  </si>
  <si>
    <t>3230</t>
  </si>
  <si>
    <t>Fabricación de artículos y equipo para la práctica del deporte</t>
  </si>
  <si>
    <t>3240</t>
  </si>
  <si>
    <t>Fabricación de juegos, juguetes y rompecabezas</t>
  </si>
  <si>
    <t>3250</t>
  </si>
  <si>
    <t>Fabricación de instrumentos, aparatos y materiales médicos y odontológicos (incluido mobiliario)</t>
  </si>
  <si>
    <t>3290</t>
  </si>
  <si>
    <t>Otras industrias manufactureras n.c.p.</t>
  </si>
  <si>
    <t>3311</t>
  </si>
  <si>
    <t>Mantenimiento y reparación especializado de productos elaborados en metal</t>
  </si>
  <si>
    <t>3312</t>
  </si>
  <si>
    <t>Mantenimiento y reparación especializado de maquinaria y equipo</t>
  </si>
  <si>
    <t>3313</t>
  </si>
  <si>
    <t>Mantenimiento y reparación especializado de equipo electrónico y óptico</t>
  </si>
  <si>
    <t>3314</t>
  </si>
  <si>
    <t>Mantenimiento y reparación especializado de equipo eléctrico</t>
  </si>
  <si>
    <t>3315</t>
  </si>
  <si>
    <t>Mantenimiento y reparación especializado de equipo de transporte, excepto los vehículos automotores, motocicletas y bicicletas</t>
  </si>
  <si>
    <t>3319</t>
  </si>
  <si>
    <t>Mantenimiento y reparación de otros tipos de equipos y sus componentes n.c.p.</t>
  </si>
  <si>
    <t>3320</t>
  </si>
  <si>
    <t xml:space="preserve">Instalación especializada de maquinaria y equipo industrial </t>
  </si>
  <si>
    <t>3511</t>
  </si>
  <si>
    <t>Generación de energía eléctrica</t>
  </si>
  <si>
    <t>3512</t>
  </si>
  <si>
    <t>Transmisión de energía eléctrica</t>
  </si>
  <si>
    <t>3513</t>
  </si>
  <si>
    <t>Distribución de energía eléctrica</t>
  </si>
  <si>
    <t>3514</t>
  </si>
  <si>
    <t>Comercialización de energía eléctrica</t>
  </si>
  <si>
    <t>3520</t>
  </si>
  <si>
    <t>Producción de gas; distribución de combustibles gaseosos por tuberías</t>
  </si>
  <si>
    <t>3530</t>
  </si>
  <si>
    <t>Suministro de vapor y aire acondicionado</t>
  </si>
  <si>
    <t>3600</t>
  </si>
  <si>
    <t>Captación, tratamiento y distribución de agua</t>
  </si>
  <si>
    <t>3700</t>
  </si>
  <si>
    <t>Evacuación y tratamiento de aguas residuales</t>
  </si>
  <si>
    <t>3811</t>
  </si>
  <si>
    <t>Recolección de desechos no peligrosos</t>
  </si>
  <si>
    <t>3812</t>
  </si>
  <si>
    <t>Recolección de desechos peligrosos</t>
  </si>
  <si>
    <t>3821</t>
  </si>
  <si>
    <t>Tratamiento y disposición de desechos no peligrosos</t>
  </si>
  <si>
    <t>3822</t>
  </si>
  <si>
    <t>Tratamiento y disposición de desechos peligrosos</t>
  </si>
  <si>
    <t>3830</t>
  </si>
  <si>
    <t>Recuperación de materiales</t>
  </si>
  <si>
    <t>3900</t>
  </si>
  <si>
    <t>Actividades de saneamiento ambiental y otros servicios de gestión de desechos</t>
  </si>
  <si>
    <t>4111</t>
  </si>
  <si>
    <t>Construcción de edificios residenciales</t>
  </si>
  <si>
    <t>4112</t>
  </si>
  <si>
    <t>Construcción de edificios no residenciales</t>
  </si>
  <si>
    <t>4210</t>
  </si>
  <si>
    <t>Construcción de carreteras y vías de ferrocarril</t>
  </si>
  <si>
    <t>4220</t>
  </si>
  <si>
    <t>Construcción de proyectos de servicio público</t>
  </si>
  <si>
    <t>4290</t>
  </si>
  <si>
    <t>Construcción de otras obras de ingeniería civil</t>
  </si>
  <si>
    <t>4311</t>
  </si>
  <si>
    <t>Demolición</t>
  </si>
  <si>
    <t>4312</t>
  </si>
  <si>
    <t>Preparación del terreno</t>
  </si>
  <si>
    <t>4321</t>
  </si>
  <si>
    <t>Instalaciones eléctricas</t>
  </si>
  <si>
    <t>4322</t>
  </si>
  <si>
    <t>Instalaciones de fontanería, calefacción y aire acondicionado</t>
  </si>
  <si>
    <t>4329</t>
  </si>
  <si>
    <t>Otras instalaciones especializadas</t>
  </si>
  <si>
    <t>4330</t>
  </si>
  <si>
    <t>Terminación y acabado de edificios y obras de ingeniería civil</t>
  </si>
  <si>
    <t>4390</t>
  </si>
  <si>
    <t>Otras actividades especializadas para la construcción de edificios y obras de ingeniería civil</t>
  </si>
  <si>
    <t>4511</t>
  </si>
  <si>
    <t>Comercio de vehículos automotores nuevos</t>
  </si>
  <si>
    <t>4512</t>
  </si>
  <si>
    <t>Comercio de vehículos automotores usados</t>
  </si>
  <si>
    <t>4520</t>
  </si>
  <si>
    <t>Mantenimiento y reparación de vehículos automotores</t>
  </si>
  <si>
    <t>4530</t>
  </si>
  <si>
    <t>Comercio de partes, piezas (autopartes) y accesorios (lujos) para vehículos automotores</t>
  </si>
  <si>
    <t>4541</t>
  </si>
  <si>
    <t>Comercio de motocicletas y de sus partes, piezas y accesorios</t>
  </si>
  <si>
    <t>4542</t>
  </si>
  <si>
    <t>Mantenimiento y reparación de motocicletas y de sus partes y piezas</t>
  </si>
  <si>
    <t>4610</t>
  </si>
  <si>
    <t>Comercio al por mayor a cambio de una retribución o por contrata</t>
  </si>
  <si>
    <t>4620</t>
  </si>
  <si>
    <t>Comercio al por mayor de materias primas agropecuarias; animales vivos</t>
  </si>
  <si>
    <t>4631</t>
  </si>
  <si>
    <t>Comercio al por mayor de productos alimenticios</t>
  </si>
  <si>
    <t>4632</t>
  </si>
  <si>
    <t>Comercio al por mayor de bebidas y tabaco</t>
  </si>
  <si>
    <t>4641</t>
  </si>
  <si>
    <t>Comercio al por mayor de productos textiles, productos confeccionados para uso doméstico</t>
  </si>
  <si>
    <t>4642</t>
  </si>
  <si>
    <t>Comercio al por mayor de prendas de vestir</t>
  </si>
  <si>
    <t>4643</t>
  </si>
  <si>
    <t>Comercio al por mayor de calzado</t>
  </si>
  <si>
    <t>4644</t>
  </si>
  <si>
    <t>Comercio al por mayor de aparatos y equipo de uso doméstico</t>
  </si>
  <si>
    <t>4645</t>
  </si>
  <si>
    <t>Comercio al por mayor de productos farmacéuticos, medicinales, cosméticos y de tocador</t>
  </si>
  <si>
    <t>4649</t>
  </si>
  <si>
    <t>Comercio al por mayor de otros utensilios domésticos n.c.p.</t>
  </si>
  <si>
    <t>4651</t>
  </si>
  <si>
    <t>Comercio al por mayor de computadores, equipo periférico y programas de informática</t>
  </si>
  <si>
    <t>4652</t>
  </si>
  <si>
    <t>Comercio al por mayor de equipo, partes y piezas electrónicos y de telecomunicaciones</t>
  </si>
  <si>
    <t>4653</t>
  </si>
  <si>
    <t>Comercio al por mayor de maquinaria y equipo agropecuarios</t>
  </si>
  <si>
    <t>4659</t>
  </si>
  <si>
    <t>Comercio al por mayor de otros tipos de maquinaria y equipo n.c.p.</t>
  </si>
  <si>
    <t>4661</t>
  </si>
  <si>
    <t>Comercio al por mayor de combustibles sólidos, líquidos, gaseosos y productos conexos</t>
  </si>
  <si>
    <t>4662</t>
  </si>
  <si>
    <t>Comercio al por mayor de metales y productos metalíferos</t>
  </si>
  <si>
    <t>4663</t>
  </si>
  <si>
    <t>Comercio al por mayor de materiales de construcción, artículos de ferretería, pinturas, productos de vidrio, equipo y materiales de fontanería y calefacción</t>
  </si>
  <si>
    <t>4664</t>
  </si>
  <si>
    <t>Comercio al por mayor de productos químicos básicos, cauchos y plásticos en formas primarias y productos químicos de uso agropecuario</t>
  </si>
  <si>
    <t>4665</t>
  </si>
  <si>
    <t>Comercio al por mayor de desperdicios, desechos y chatarra</t>
  </si>
  <si>
    <t>4669</t>
  </si>
  <si>
    <t>Comercio al por mayor de otros productos n.c.p.</t>
  </si>
  <si>
    <t>4690</t>
  </si>
  <si>
    <t>Comercio al por mayor no especializado</t>
  </si>
  <si>
    <t>4711</t>
  </si>
  <si>
    <t>Comercio al por menor en establecimientos no especializados con surtido compuesto principalmente por alimentos, bebidas o tabaco</t>
  </si>
  <si>
    <t>4719</t>
  </si>
  <si>
    <t>Comercio al por menor en establecimientos no especializados, con surtido compuesto principalmente por productos diferentes de alimentos (víveres en general), bebidas y tabaco</t>
  </si>
  <si>
    <t>4721</t>
  </si>
  <si>
    <t>Comercio al por menor de productos agrícolas para el consumo en establecimientos especializados</t>
  </si>
  <si>
    <t>4722</t>
  </si>
  <si>
    <t>Comercio al por menor de leche, productos lácteos y huevos, en establecimientos especializados</t>
  </si>
  <si>
    <t>4723</t>
  </si>
  <si>
    <t>Comercio al por menor de carnes (incluye aves de corral), productos cárnicos, pescados y productos de mar, en establecimientos especializados</t>
  </si>
  <si>
    <t>4724</t>
  </si>
  <si>
    <t>Comercio al por menor de bebidas y productos del tabaco, en establecimientos especializados</t>
  </si>
  <si>
    <t>4729</t>
  </si>
  <si>
    <t>Comercio al por menor de otros productos alimenticios n.c.p., en establecimientos especializados</t>
  </si>
  <si>
    <t>4731</t>
  </si>
  <si>
    <t>Comercio al por menor de combustible para automotores</t>
  </si>
  <si>
    <t>4732</t>
  </si>
  <si>
    <t>Comercio al por menor de lubricantes (aceites, grasas), aditivos y productos de limpieza para vehículos automotores</t>
  </si>
  <si>
    <t>4741</t>
  </si>
  <si>
    <t>Comercio al por menor de computadores, equipos periféricos, programas de informática y equipos de telecomunicaciones en establecimientos especializados</t>
  </si>
  <si>
    <t>4742</t>
  </si>
  <si>
    <t>Comercio al por menor de equipos y aparatos de sonido y de video, en establecimientos especializados</t>
  </si>
  <si>
    <t>4751</t>
  </si>
  <si>
    <t>Comercio al por menor de productos textiles en establecimientos especializados</t>
  </si>
  <si>
    <t>4752</t>
  </si>
  <si>
    <t>Comercio al por menor de artículos de ferretería, pinturas y productos de vidrio en establecimientos especializados</t>
  </si>
  <si>
    <t>4753</t>
  </si>
  <si>
    <t>Comercio al por menor de tapices, alfombras y cubrimientos para paredes y pisos en establecimientos especializados</t>
  </si>
  <si>
    <t>4754</t>
  </si>
  <si>
    <t>Comercio al por menor de electrodomésticos y gasodomésticos de uso doméstico, muebles y equipos de iluminación</t>
  </si>
  <si>
    <t>4755</t>
  </si>
  <si>
    <t>Comercio al por menor de artículos y utensilios de uso doméstico</t>
  </si>
  <si>
    <t>4759</t>
  </si>
  <si>
    <t>Comercio al por menor de otros artículos domésticos en establecimientos especializados</t>
  </si>
  <si>
    <t>4761</t>
  </si>
  <si>
    <t>Comercio al por menor de libros, periódicos, materiales y artículos de papelería y escritorio, en establecimientos especializados</t>
  </si>
  <si>
    <t>4762</t>
  </si>
  <si>
    <t xml:space="preserve">Comercio al por menor de artículos deportivos, en establecimientos especializados </t>
  </si>
  <si>
    <t>4769</t>
  </si>
  <si>
    <t>Comercio al por menor de otros artículos culturales y de entretenimiento n.c.p. en establecimientos especializados</t>
  </si>
  <si>
    <t>4771</t>
  </si>
  <si>
    <t>Comercio al por menor de prendas de vestir y sus accesorios (incluye artículos de piel) en establecimientos especializados</t>
  </si>
  <si>
    <t>4772</t>
  </si>
  <si>
    <t>Comercio al por menor de todo tipo de calzado y artículos de cuero y sucedáneos del cuero en establecimientos especializados.</t>
  </si>
  <si>
    <t>4773</t>
  </si>
  <si>
    <t>Comercio al por menor de productos farmacéuticos y medicinales, cosméticos y artículos de tocador en establecimientos especializados</t>
  </si>
  <si>
    <t>4774</t>
  </si>
  <si>
    <t>Comercio al por menor de otros productos nuevos en establecimientos especializados</t>
  </si>
  <si>
    <t>4775</t>
  </si>
  <si>
    <t>Comercio al por menor de artículos de segunda mano</t>
  </si>
  <si>
    <t>4781</t>
  </si>
  <si>
    <t>Comercio al por menor de alimentos, bebidas y tabaco, en puestos de venta móviles</t>
  </si>
  <si>
    <t>4782</t>
  </si>
  <si>
    <t>Comercio al por menor de productos textiles, prendas de vestir y calzado, en puestos de venta móviles</t>
  </si>
  <si>
    <t>4789</t>
  </si>
  <si>
    <t>Comercio al por menor de otros productos en puestos de venta móviles</t>
  </si>
  <si>
    <t>4791</t>
  </si>
  <si>
    <t>Comercio al por menor realizado a través de Internet</t>
  </si>
  <si>
    <t>4792</t>
  </si>
  <si>
    <t>Comercio al por menor realizado a través de casas de venta o por correo</t>
  </si>
  <si>
    <t>4799</t>
  </si>
  <si>
    <t>Otros tipos de comercio al por menor no realizado en establecimientos, puestos de venta o mercados.</t>
  </si>
  <si>
    <t>4911</t>
  </si>
  <si>
    <t>Transporte férreo de pasajeros</t>
  </si>
  <si>
    <t>4912</t>
  </si>
  <si>
    <t xml:space="preserve">Transporte férreo de carga </t>
  </si>
  <si>
    <t>4921</t>
  </si>
  <si>
    <t>Transporte de pasajeros</t>
  </si>
  <si>
    <t>4922</t>
  </si>
  <si>
    <t>Transporte mixto</t>
  </si>
  <si>
    <t>4923</t>
  </si>
  <si>
    <t>Transporte de carga por carretera</t>
  </si>
  <si>
    <t>4930</t>
  </si>
  <si>
    <t>Transporte por tuberías</t>
  </si>
  <si>
    <t>5011</t>
  </si>
  <si>
    <t xml:space="preserve">Transporte de pasajeros marítimo y de cabotaje </t>
  </si>
  <si>
    <t>5012</t>
  </si>
  <si>
    <t xml:space="preserve">Transporte de carga marítimo y de cabotaje </t>
  </si>
  <si>
    <t>5021</t>
  </si>
  <si>
    <t>Transporte fluvial de pasajeros</t>
  </si>
  <si>
    <t>5022</t>
  </si>
  <si>
    <t>Transporte fluvial de carga</t>
  </si>
  <si>
    <t>5111</t>
  </si>
  <si>
    <t xml:space="preserve">Transporte aéreo nacional de pasajeros </t>
  </si>
  <si>
    <t>5112</t>
  </si>
  <si>
    <t xml:space="preserve">Transporte aéreo internacional de pasajeros </t>
  </si>
  <si>
    <t>5121</t>
  </si>
  <si>
    <t xml:space="preserve">Transporte aéreo nacional de carga </t>
  </si>
  <si>
    <t>5122</t>
  </si>
  <si>
    <t xml:space="preserve">Transporte aéreo internacional de carga </t>
  </si>
  <si>
    <t>5210</t>
  </si>
  <si>
    <t>Almacenamiento y depósito</t>
  </si>
  <si>
    <t>5221</t>
  </si>
  <si>
    <t>Actividades de estaciones, vías y servicios complementarios para el transporte terrestre</t>
  </si>
  <si>
    <t>5222</t>
  </si>
  <si>
    <t>Actividades de puertos y servicios complementarios para el transporte acuático</t>
  </si>
  <si>
    <t>5223</t>
  </si>
  <si>
    <t>Actividades de aeropuertos, servicios de navegación aérea y demás actividades conexas al transporte aéreo</t>
  </si>
  <si>
    <t>5224</t>
  </si>
  <si>
    <t>Manipulación de carga</t>
  </si>
  <si>
    <t>5229</t>
  </si>
  <si>
    <t>Otras actividades complementarias al transporte</t>
  </si>
  <si>
    <t>5310</t>
  </si>
  <si>
    <t>Actividades postales nacionales</t>
  </si>
  <si>
    <t>5320</t>
  </si>
  <si>
    <t>Actividades de mensajería</t>
  </si>
  <si>
    <t>5511</t>
  </si>
  <si>
    <t xml:space="preserve">Alojamiento en hoteles </t>
  </si>
  <si>
    <t>5512</t>
  </si>
  <si>
    <t>Alojamiento en apartahoteles</t>
  </si>
  <si>
    <t>5513</t>
  </si>
  <si>
    <t xml:space="preserve">Alojamiento en centros vacacionales </t>
  </si>
  <si>
    <t>5514</t>
  </si>
  <si>
    <t>Alojamiento rural</t>
  </si>
  <si>
    <t>5519</t>
  </si>
  <si>
    <t>Otros tipos de alojamientos para visitantes</t>
  </si>
  <si>
    <t>5520</t>
  </si>
  <si>
    <t>Actividades de zonas de camping y parques para vehículos recreacionales</t>
  </si>
  <si>
    <t>5530</t>
  </si>
  <si>
    <t xml:space="preserve">Servicio por horas </t>
  </si>
  <si>
    <t>5590</t>
  </si>
  <si>
    <t>Otros tipos de alojamiento n.c.p.</t>
  </si>
  <si>
    <t>5611</t>
  </si>
  <si>
    <t>Expendio a la mesa de comidas preparadas</t>
  </si>
  <si>
    <t>5612</t>
  </si>
  <si>
    <t>Expendio por autoservicio de comidas preparadas</t>
  </si>
  <si>
    <t>5613</t>
  </si>
  <si>
    <t>Expendio de comidas preparadas en cafeterías</t>
  </si>
  <si>
    <t>5619</t>
  </si>
  <si>
    <t>Otros tipos de expendio de comidas preparadas n.c.p.</t>
  </si>
  <si>
    <t>5621</t>
  </si>
  <si>
    <t>Catering para eventos</t>
  </si>
  <si>
    <t>5629</t>
  </si>
  <si>
    <t>Actividades de otros servicios de comidas</t>
  </si>
  <si>
    <t>5630</t>
  </si>
  <si>
    <t>Expendio de bebidas alcohólicas para el consumo dentro del establecimiento</t>
  </si>
  <si>
    <t>5811</t>
  </si>
  <si>
    <t>Edición de libros</t>
  </si>
  <si>
    <t>5812</t>
  </si>
  <si>
    <t>Edición de directorios y listas de correo</t>
  </si>
  <si>
    <t>5813</t>
  </si>
  <si>
    <t>Edición de periódicos, revistas y otras publicaciones periódicas</t>
  </si>
  <si>
    <t>5819</t>
  </si>
  <si>
    <t>Otros trabajos de edición</t>
  </si>
  <si>
    <t>5820</t>
  </si>
  <si>
    <r>
      <t>Edición de programas de informática (</t>
    </r>
    <r>
      <rPr>
        <i/>
        <sz val="8"/>
        <rFont val="Arial"/>
        <family val="2"/>
      </rPr>
      <t>software</t>
    </r>
    <r>
      <rPr>
        <sz val="8"/>
        <rFont val="Arial"/>
        <family val="2"/>
      </rPr>
      <t>)</t>
    </r>
  </si>
  <si>
    <t>5911</t>
  </si>
  <si>
    <t>Actividades de producción de películas cinematográficas, videos, programas, anuncios y comerciales de televisión</t>
  </si>
  <si>
    <t>5912</t>
  </si>
  <si>
    <t>Actividades de posproducción de películas cinematográficas, videos, programas, anuncios y comerciales de televisión</t>
  </si>
  <si>
    <t>5913</t>
  </si>
  <si>
    <t>Actividades de distribución de películas cinematográficas, videos, programas, anuncios y comerciales de televisión</t>
  </si>
  <si>
    <t>5914</t>
  </si>
  <si>
    <t>Actividades de exhibición de películas cinematográficas y videos</t>
  </si>
  <si>
    <t>5920</t>
  </si>
  <si>
    <t>Actividades de grabación de sonido y edición de música</t>
  </si>
  <si>
    <t>6010</t>
  </si>
  <si>
    <t>Actividades de programación y transmisión en el servicio de radiodifusión sonora</t>
  </si>
  <si>
    <t>6020</t>
  </si>
  <si>
    <t>Actividades de programación y transmisión de televisión</t>
  </si>
  <si>
    <t>6110</t>
  </si>
  <si>
    <t>Actividades de telecomunicaciones alámbricas</t>
  </si>
  <si>
    <t>6120</t>
  </si>
  <si>
    <t>Actividades de telecomunicaciones inalámbricas</t>
  </si>
  <si>
    <t>6130</t>
  </si>
  <si>
    <t>Actividades de telecomunicación satelital</t>
  </si>
  <si>
    <t>6190</t>
  </si>
  <si>
    <t>Otras actividades de telecomunicaciones</t>
  </si>
  <si>
    <t>6201</t>
  </si>
  <si>
    <t>Actividades de desarrollo de sistemas informáticos (planificación, análisis, diseño, programación, pruebas)</t>
  </si>
  <si>
    <t>6202</t>
  </si>
  <si>
    <t>Actividades de consultoría informática y actividades de administración de instalaciones informáticas</t>
  </si>
  <si>
    <t>6209</t>
  </si>
  <si>
    <t>Otras actividades de tecnologías de información y actividades de servicios informáticos</t>
  </si>
  <si>
    <t>6311</t>
  </si>
  <si>
    <r>
      <t>Procesamiento de datos, alojamiento (</t>
    </r>
    <r>
      <rPr>
        <i/>
        <sz val="8"/>
        <rFont val="Arial"/>
        <family val="2"/>
      </rPr>
      <t>hosting</t>
    </r>
    <r>
      <rPr>
        <sz val="8"/>
        <rFont val="Arial"/>
        <family val="2"/>
      </rPr>
      <t>) y actividades relacionadas</t>
    </r>
  </si>
  <si>
    <t>6312</t>
  </si>
  <si>
    <t>Portales web</t>
  </si>
  <si>
    <t>6391</t>
  </si>
  <si>
    <t>Actividades de agencias de noticias</t>
  </si>
  <si>
    <t>6399</t>
  </si>
  <si>
    <t>Otras actividades de servicio de información n.c.p.</t>
  </si>
  <si>
    <t>6411</t>
  </si>
  <si>
    <t>Banco Central</t>
  </si>
  <si>
    <t>6412</t>
  </si>
  <si>
    <t>Bancos comerciales</t>
  </si>
  <si>
    <t>6421</t>
  </si>
  <si>
    <t>Actividades de las corporaciones financieras</t>
  </si>
  <si>
    <t>6422</t>
  </si>
  <si>
    <t>Actividades de las compañías de financiamiento</t>
  </si>
  <si>
    <t>6423</t>
  </si>
  <si>
    <t>Banca de segundo piso</t>
  </si>
  <si>
    <t>6424</t>
  </si>
  <si>
    <t>Actividades de las cooperativas financieras</t>
  </si>
  <si>
    <t>6431</t>
  </si>
  <si>
    <t>Fideicomisos, fondos y entidades financieras similares</t>
  </si>
  <si>
    <t>6432</t>
  </si>
  <si>
    <t>Fondos de cesantías</t>
  </si>
  <si>
    <t>6491</t>
  </si>
  <si>
    <t>Leasing financiero (arrendamiento financiero)</t>
  </si>
  <si>
    <t>6492</t>
  </si>
  <si>
    <t>Actividades financieras de fondos de empleados y otras formas asociativas del sector solidario</t>
  </si>
  <si>
    <t>6493</t>
  </si>
  <si>
    <r>
      <t xml:space="preserve">Actividades de compra de cartera o </t>
    </r>
    <r>
      <rPr>
        <i/>
        <sz val="8"/>
        <rFont val="Arial"/>
        <family val="2"/>
      </rPr>
      <t>factoring</t>
    </r>
  </si>
  <si>
    <t>6494</t>
  </si>
  <si>
    <t>Otras actividades de distribución de fondos</t>
  </si>
  <si>
    <t>6495</t>
  </si>
  <si>
    <t>Instituciones especiales oficiales</t>
  </si>
  <si>
    <t>6499</t>
  </si>
  <si>
    <t>Otras actividades de servicio financiero, excepto las de seguros y pensiones n.c.p.</t>
  </si>
  <si>
    <t>6511</t>
  </si>
  <si>
    <t xml:space="preserve">Seguros generales </t>
  </si>
  <si>
    <t>6512</t>
  </si>
  <si>
    <t>Seguros de vida</t>
  </si>
  <si>
    <t>6513</t>
  </si>
  <si>
    <t>Reaseguros</t>
  </si>
  <si>
    <t>6514</t>
  </si>
  <si>
    <t>Capitalización</t>
  </si>
  <si>
    <t>6521</t>
  </si>
  <si>
    <t>Servicios de seguros sociales de salud</t>
  </si>
  <si>
    <t>6522</t>
  </si>
  <si>
    <t>Servicios de seguros sociales de riesgos profesionales</t>
  </si>
  <si>
    <t>6531</t>
  </si>
  <si>
    <t>Régimen de prima media con prestación definida (RPM)</t>
  </si>
  <si>
    <t>6532</t>
  </si>
  <si>
    <t>Régimen de ahorro individual (RAI)</t>
  </si>
  <si>
    <t>6611</t>
  </si>
  <si>
    <t>Administración de mercados financieros</t>
  </si>
  <si>
    <t>6612</t>
  </si>
  <si>
    <t>Corretaje de valores y de contratos de productos básicos</t>
  </si>
  <si>
    <t>6613</t>
  </si>
  <si>
    <t>Otras actividades relacionadas con el mercado de valores</t>
  </si>
  <si>
    <t>6614</t>
  </si>
  <si>
    <t>Actividades de las casas de cambio</t>
  </si>
  <si>
    <t>6615</t>
  </si>
  <si>
    <t>Actividades de los profesionales de compra y venta de divisas</t>
  </si>
  <si>
    <t>6619</t>
  </si>
  <si>
    <t>Otras actividades auxiliares de las actividades de servicios financieros n.c.p.</t>
  </si>
  <si>
    <t>6621</t>
  </si>
  <si>
    <t>Actividades de agentes y corredores de seguros</t>
  </si>
  <si>
    <t>6629</t>
  </si>
  <si>
    <t>Evaluación de riesgos y daños, y otras actividades de servicios auxiliares</t>
  </si>
  <si>
    <t>6630</t>
  </si>
  <si>
    <t>Actividades de administración de fondos</t>
  </si>
  <si>
    <t>6810</t>
  </si>
  <si>
    <t>Actividades inmobiliarias realizadas con bienes propios o arrendados</t>
  </si>
  <si>
    <t>6820</t>
  </si>
  <si>
    <t xml:space="preserve">Actividades inmobiliarias realizadas a cambio de una retribución o por contrata </t>
  </si>
  <si>
    <t>6910</t>
  </si>
  <si>
    <t>Actividades jurídicas</t>
  </si>
  <si>
    <t>6920</t>
  </si>
  <si>
    <t>Actividades de contabilidad, teneduría de libros, auditoría financiera y asesoría tributaria</t>
  </si>
  <si>
    <t>7010</t>
  </si>
  <si>
    <t>Actividades de administración empresarial</t>
  </si>
  <si>
    <t>7020</t>
  </si>
  <si>
    <t>Actividades de consultaría de gestión</t>
  </si>
  <si>
    <t>7110</t>
  </si>
  <si>
    <t>Actividades de arquitectura e ingeniería y otras actividades conexas de consultoría técnica</t>
  </si>
  <si>
    <t>7120</t>
  </si>
  <si>
    <t>Ensayos y análisis técnicos</t>
  </si>
  <si>
    <t>7210</t>
  </si>
  <si>
    <t xml:space="preserve">Investigaciones y desarrollo experimental en el campo de las ciencias naturales y la ingeniería </t>
  </si>
  <si>
    <t>7220</t>
  </si>
  <si>
    <t>Investigaciones y desarrollo experimental en el campo de las ciencias sociales y las humanidades</t>
  </si>
  <si>
    <t>7310</t>
  </si>
  <si>
    <t>Publicidad</t>
  </si>
  <si>
    <t>7320</t>
  </si>
  <si>
    <t>Estudios de mercado y realización de encuestas de opinión pública</t>
  </si>
  <si>
    <t>7410</t>
  </si>
  <si>
    <t xml:space="preserve">Actividades especializadas de diseño </t>
  </si>
  <si>
    <t>7420</t>
  </si>
  <si>
    <t>Actividades de fotografía</t>
  </si>
  <si>
    <t>7490</t>
  </si>
  <si>
    <t>Otras actividades profesionales, científicas y técnicas n.c.p.</t>
  </si>
  <si>
    <t>7500</t>
  </si>
  <si>
    <t>Actividades veterinarias</t>
  </si>
  <si>
    <t>7710</t>
  </si>
  <si>
    <t>Alquiler y arrendamiento de vehículos automotores</t>
  </si>
  <si>
    <t>7721</t>
  </si>
  <si>
    <t>Alquiler y arrendamiento de equipo recreativo y deportivo</t>
  </si>
  <si>
    <t>7722</t>
  </si>
  <si>
    <t xml:space="preserve">Alquiler de videos y discos </t>
  </si>
  <si>
    <t>7729</t>
  </si>
  <si>
    <t>Alquiler y arrendamiento de otros efectos personales y enseres domésticos n.c.p.</t>
  </si>
  <si>
    <t>7730</t>
  </si>
  <si>
    <t>Alquiler y arrendamiento de otros tipos de maquinaria, equipo y bienes tangibles n.c.p.</t>
  </si>
  <si>
    <t>7740</t>
  </si>
  <si>
    <t>Arrendamiento de propiedad intelectual y productos similares, excepto obras protegidas por derechos de autor</t>
  </si>
  <si>
    <t>7810</t>
  </si>
  <si>
    <t>Actividades de agencias de empleo</t>
  </si>
  <si>
    <t>7820</t>
  </si>
  <si>
    <t>Actividades de agencias de empleo temporal</t>
  </si>
  <si>
    <t>7830</t>
  </si>
  <si>
    <t>Otras actividades de suministro de recurso humano</t>
  </si>
  <si>
    <t>7911</t>
  </si>
  <si>
    <t>Actividades de las agencias de viaje</t>
  </si>
  <si>
    <t>7912</t>
  </si>
  <si>
    <t>Actividades de operadores turísticos</t>
  </si>
  <si>
    <t>7990</t>
  </si>
  <si>
    <t>Otros servicios de reserva y actividades relacionadas</t>
  </si>
  <si>
    <t>Actividades de seguridad privada</t>
  </si>
  <si>
    <t>Actividades de servicios de sistemas de seguridad</t>
  </si>
  <si>
    <t>8030</t>
  </si>
  <si>
    <t>Actividades de detectives e investigadores privados</t>
  </si>
  <si>
    <t>8110</t>
  </si>
  <si>
    <t>Actividades combinadas de apoyo a instalaciones</t>
  </si>
  <si>
    <t>8121</t>
  </si>
  <si>
    <t>Limpieza general interior de edificios</t>
  </si>
  <si>
    <t>8129</t>
  </si>
  <si>
    <t>Otras actividades de limpieza de edificios e instalaciones industriales</t>
  </si>
  <si>
    <t>8130</t>
  </si>
  <si>
    <t>Actividades de paisajismo y servicios de mantenimiento conexos</t>
  </si>
  <si>
    <t>8211</t>
  </si>
  <si>
    <t>Actividades combinadas de servicios administrativos de oficina</t>
  </si>
  <si>
    <t>8219</t>
  </si>
  <si>
    <t>Fotocopiado, preparación de documentos y otras actividades especializadas de apoyo a oficina</t>
  </si>
  <si>
    <t>8220</t>
  </si>
  <si>
    <t>Actividades de centros de llamadas (Call center)</t>
  </si>
  <si>
    <t>8230</t>
  </si>
  <si>
    <t>Organización de convenciones y eventos comerciales</t>
  </si>
  <si>
    <t>8291</t>
  </si>
  <si>
    <t>Actividades de agencias de cobranza y oficinas de calificación crediticia</t>
  </si>
  <si>
    <t>8292</t>
  </si>
  <si>
    <t>Actividades de envase y empaque</t>
  </si>
  <si>
    <t>8299</t>
  </si>
  <si>
    <t>Otras actividades de servicio de apoyo a las empresas n.c.p.</t>
  </si>
  <si>
    <t>8411</t>
  </si>
  <si>
    <t>Actividades legislativas de la administración pública</t>
  </si>
  <si>
    <t>8412</t>
  </si>
  <si>
    <t>Actividades ejecutivas de la administración pública</t>
  </si>
  <si>
    <t>8413</t>
  </si>
  <si>
    <t xml:space="preserve">Regulación de las actividades de organismos que prestan servicios de salud, educativos, culturales y otros servicios sociales, excepto servicios de seguridad social </t>
  </si>
  <si>
    <t>8414</t>
  </si>
  <si>
    <t>Actividades reguladoras y facilitadoras de la actividad económica</t>
  </si>
  <si>
    <t>8415</t>
  </si>
  <si>
    <t>Actividades de los otros órganos de control</t>
  </si>
  <si>
    <t>8421</t>
  </si>
  <si>
    <t xml:space="preserve">Relaciones exteriores </t>
  </si>
  <si>
    <t>8422</t>
  </si>
  <si>
    <t>Actividades de defensa</t>
  </si>
  <si>
    <t>8423</t>
  </si>
  <si>
    <t>Orden público y actividades de seguridad</t>
  </si>
  <si>
    <t>8424</t>
  </si>
  <si>
    <t>Administración de justicia</t>
  </si>
  <si>
    <t>8430</t>
  </si>
  <si>
    <t>Actividades de planes de seguridad social de afiliación obligatoria</t>
  </si>
  <si>
    <t>8511</t>
  </si>
  <si>
    <t>Educación de la primera infancia</t>
  </si>
  <si>
    <t>8512</t>
  </si>
  <si>
    <t>Educación preescolar</t>
  </si>
  <si>
    <t>8513</t>
  </si>
  <si>
    <t>Educación básica primaria</t>
  </si>
  <si>
    <t>8521</t>
  </si>
  <si>
    <t xml:space="preserve">Educación básica secundaria </t>
  </si>
  <si>
    <t>8522</t>
  </si>
  <si>
    <t>Educación media académica</t>
  </si>
  <si>
    <t>8523</t>
  </si>
  <si>
    <t>Educación media técnica y de formación laboral</t>
  </si>
  <si>
    <t>8530</t>
  </si>
  <si>
    <t xml:space="preserve">Establecimientos que combinan diferentes niveles de educación </t>
  </si>
  <si>
    <t>8541</t>
  </si>
  <si>
    <t>Educación técnica profesional</t>
  </si>
  <si>
    <t>8542</t>
  </si>
  <si>
    <t>Educación tecnológica</t>
  </si>
  <si>
    <t>8543</t>
  </si>
  <si>
    <t>Educación de instituciones universitarias o de escuelas tecnológicas</t>
  </si>
  <si>
    <t>8544</t>
  </si>
  <si>
    <t>Educación de universidades</t>
  </si>
  <si>
    <t>8551</t>
  </si>
  <si>
    <t xml:space="preserve">Formación académica no formal </t>
  </si>
  <si>
    <t>8552</t>
  </si>
  <si>
    <t>Enseñanza deportiva y recreativa</t>
  </si>
  <si>
    <t>8553</t>
  </si>
  <si>
    <t>Enseñanza cultural</t>
  </si>
  <si>
    <t>8559</t>
  </si>
  <si>
    <t>Otros tipos de educación n.c.p.</t>
  </si>
  <si>
    <t>8560</t>
  </si>
  <si>
    <t>Actividades de apoyo a la educación</t>
  </si>
  <si>
    <t>8610</t>
  </si>
  <si>
    <t>Actividades de hospitales y clínicas, con internación</t>
  </si>
  <si>
    <t>8621</t>
  </si>
  <si>
    <t>Actividades de la práctica médica, sin internación</t>
  </si>
  <si>
    <t>8622</t>
  </si>
  <si>
    <t>Actividades de la práctica odontológica</t>
  </si>
  <si>
    <t>8691</t>
  </si>
  <si>
    <t>Actividades de apoyo diagnóstico</t>
  </si>
  <si>
    <t>8692</t>
  </si>
  <si>
    <t>Actividades de apoyo terapéutico</t>
  </si>
  <si>
    <t>8699</t>
  </si>
  <si>
    <t>Otras actividades de atención de la salud humana</t>
  </si>
  <si>
    <t>8710</t>
  </si>
  <si>
    <t>Actividades de atención residencial medicalizada de tipo general</t>
  </si>
  <si>
    <t>8720</t>
  </si>
  <si>
    <t>Actividades de atención residencial, para el cuidado de pacientes con retardo mental, enfermedad mental y consumo de sustancias psicoactivas</t>
  </si>
  <si>
    <t>8730</t>
  </si>
  <si>
    <t>Actividades de atención en instituciones para el cuidado de personas mayores y/o discapacitadas</t>
  </si>
  <si>
    <t>8790</t>
  </si>
  <si>
    <t>Otras actividades de atención en instituciones con alojamiento</t>
  </si>
  <si>
    <t>8810</t>
  </si>
  <si>
    <t>Actividades de asistencia social sin alojamiento para personas mayores y discapacitadas</t>
  </si>
  <si>
    <t>8890</t>
  </si>
  <si>
    <t>Otras actividades de asistencia social sin alojamiento</t>
  </si>
  <si>
    <t>9001</t>
  </si>
  <si>
    <t>Creación literaria</t>
  </si>
  <si>
    <t>9002</t>
  </si>
  <si>
    <t>Creación musical</t>
  </si>
  <si>
    <t>9003</t>
  </si>
  <si>
    <t>Creación teatral</t>
  </si>
  <si>
    <t>9004</t>
  </si>
  <si>
    <t>Creación audiovisual</t>
  </si>
  <si>
    <t>9005</t>
  </si>
  <si>
    <t>Artes plásticas y visuales</t>
  </si>
  <si>
    <t>9006</t>
  </si>
  <si>
    <t>Actividades teatrales</t>
  </si>
  <si>
    <t>9007</t>
  </si>
  <si>
    <t>Actividades de espectáculos musicales en vivo</t>
  </si>
  <si>
    <t>9008</t>
  </si>
  <si>
    <t>Otras actividades de espectáculos en vivo</t>
  </si>
  <si>
    <t>9101</t>
  </si>
  <si>
    <t>Actividades de bibliotecas y archivos</t>
  </si>
  <si>
    <t>9102</t>
  </si>
  <si>
    <t>Actividades y funcionamiento de museos, conservación de edificios y sitios históricos</t>
  </si>
  <si>
    <t>9103</t>
  </si>
  <si>
    <t>Actividades de jardines botánicos, zoológicos y reservas naturales</t>
  </si>
  <si>
    <t>9200</t>
  </si>
  <si>
    <t>Actividades de juegos de azar y apuestas</t>
  </si>
  <si>
    <t>9311</t>
  </si>
  <si>
    <t>Gestión de instalaciones deportivas</t>
  </si>
  <si>
    <t>9312</t>
  </si>
  <si>
    <t>Actividades de clubes deportivos</t>
  </si>
  <si>
    <t>9319</t>
  </si>
  <si>
    <t>Otras actividades deportivas</t>
  </si>
  <si>
    <t>9321</t>
  </si>
  <si>
    <t>Actividades de parques de atracciones y parques temáticos</t>
  </si>
  <si>
    <t>9329</t>
  </si>
  <si>
    <t>Otras actividades recreativas y de esparcimiento n.c.p.</t>
  </si>
  <si>
    <t>9411</t>
  </si>
  <si>
    <t>Actividades de asociaciones empresariales y de empleadores</t>
  </si>
  <si>
    <t>9412</t>
  </si>
  <si>
    <t>Actividades de asociaciones profesionales</t>
  </si>
  <si>
    <t>9420</t>
  </si>
  <si>
    <t>Actividades de sindicatos de empleados</t>
  </si>
  <si>
    <t>9491</t>
  </si>
  <si>
    <t>Actividades de asociaciones religiosas</t>
  </si>
  <si>
    <t>9492</t>
  </si>
  <si>
    <t>Actividades de asociaciones políticas</t>
  </si>
  <si>
    <t>9499</t>
  </si>
  <si>
    <t>Actividades de otras asociaciones n.c.p.</t>
  </si>
  <si>
    <t>9511</t>
  </si>
  <si>
    <t>Mantenimiento y reparación de computadores y de equipo periférico</t>
  </si>
  <si>
    <t>9512</t>
  </si>
  <si>
    <t>Mantenimiento y reparación de equipos de comunicación</t>
  </si>
  <si>
    <t>9521</t>
  </si>
  <si>
    <t>Mantenimiento y reparación de aparatos electrónicos de consumo</t>
  </si>
  <si>
    <t>9522</t>
  </si>
  <si>
    <t xml:space="preserve">Mantenimiento y reparación de aparatos y equipos domésticos y de jardinería </t>
  </si>
  <si>
    <t>9523</t>
  </si>
  <si>
    <t>Reparación de calzado y artículos de cuero</t>
  </si>
  <si>
    <t>9524</t>
  </si>
  <si>
    <t>Reparación de muebles y accesorios para el hogar</t>
  </si>
  <si>
    <t>9529</t>
  </si>
  <si>
    <t>Mantenimiento y reparación de otros efectos personales y enseres domésticos</t>
  </si>
  <si>
    <t>9601</t>
  </si>
  <si>
    <t>Lavado y limpieza, incluso la limpieza en seco, de productos textiles y de piel</t>
  </si>
  <si>
    <t>9602</t>
  </si>
  <si>
    <t>Peluquería y otros tratamientos de belleza</t>
  </si>
  <si>
    <t>9603</t>
  </si>
  <si>
    <t>Pompas fúnebres y actividades relacionadas</t>
  </si>
  <si>
    <t>9609</t>
  </si>
  <si>
    <t>Otras actividades de servicios personales n.c.p.</t>
  </si>
  <si>
    <t>9700</t>
  </si>
  <si>
    <t>Actividades de los hogares individuales como empleadores de personal doméstico</t>
  </si>
  <si>
    <t>9810</t>
  </si>
  <si>
    <t>Actividades no diferenciadas de los hogares individuales como productores de bienes para uso propio</t>
  </si>
  <si>
    <t>9820</t>
  </si>
  <si>
    <t>Actividades no diferenciadas de los hogares individuales como productores de servicios para uso propio</t>
  </si>
  <si>
    <t>9900</t>
  </si>
  <si>
    <t>Actividades de organizaciones y entidades extraterritoriales</t>
  </si>
  <si>
    <t xml:space="preserve">Sabados, Domingos y Festivos </t>
  </si>
  <si>
    <t>Medio Humano con Arma</t>
  </si>
  <si>
    <t>2. TARIFA DEL SERVICIO PARA LOS TURNOS DE VIGILANCIA REQUERIDOS POR EL ICANH</t>
  </si>
  <si>
    <t>TURNOS DE VIGILANCIA REQUERIDOS POR EL ICANH</t>
  </si>
  <si>
    <t xml:space="preserve">
Contratar la prestación del servicio integral de vigilancia y seguridad privada para la protección de los bienes y las sedes del ICANH ubicadas a nivel nacional. </t>
  </si>
  <si>
    <t>1. SERVICIOS DE VIGILANCIA REQUERIDOS POR EL ICANH</t>
  </si>
  <si>
    <t>EQUIPOS CCTV Y TV</t>
  </si>
  <si>
    <t>MONITOR 32" 1080P Señalización DIGITAL Android WIFI RJ45 SD32GB Incorporada INCL. Soporte Pared</t>
  </si>
  <si>
    <t>NVR (Para grabación continua, 32 CH H. 265 4CH @4K o 16CH @1080P hasta 12MP reproducción 16CH 8 SATA 2 HDMI 4K 2 RJ 45 1000 MBPS, Grabación las 24 horas del día, con capacidad de almacenamiento de 6 Teras Bytes).</t>
  </si>
  <si>
    <t>(Cámara IP tipo Bala Varifocal 2,8-12 MM 4 MP 120 dB WDR 30 MTS SD Hasta 128 Gb POE VCA).Incluye suministros e instalación (mano de obra) necesarios para el óptimo funcionamiento del circuito cerrado de televisión</t>
  </si>
  <si>
    <t>(Cámara IP tipo Domo Varifocal 2,8-12 MM 4 MP 120 dB WDR 30 MTS SD Hasta 128 Gb POE VCA).Incluye suministros e instalación (mano de obra) necesarios para el óptimo funcionamiento del circuito cerrado de televisión</t>
  </si>
  <si>
    <t>UPS 15 KVA 3 fases 208/120 V con autonomía de 20 minutos. Incluye suministros e instalación (mano de obra) necesarios para el óptimo funcionamiento</t>
  </si>
  <si>
    <t>EQUIPOS DE SISTEMA DE DETECCIÓN Y ALARMA</t>
  </si>
  <si>
    <t>Sensor humo fotoeléctrico Detectores de incendios automáticos. Incluye suministros e instalación (mano de obra) necesarios para el óptimo funcionamiento</t>
  </si>
  <si>
    <t>Panel central de detección, Panel de control direccionales. Incluye suministros e instalación (mano de obra) necesarios para el óptimo funcionamiento</t>
  </si>
  <si>
    <t>Sirena con estrobo. Incluye suministros e instalación (mano de obra) necesarios para el óptimo funcionamiento</t>
  </si>
  <si>
    <t>Estación manual de alarma. Incluye suministros e instalación (mano de obra) necesarios para el óptimo funcionamiento</t>
  </si>
  <si>
    <t>Modulo indicador. Incluye suministros e instalación (mano de obra) necesarios para el óptimo funcionamiento</t>
  </si>
  <si>
    <t>Sensor de intrusión tipo interior. Incluye suministros e instalación (mano de obra) necesarios para el óptimo funcionamiento</t>
  </si>
  <si>
    <t>Sensor de intrusión tipo exterior. Incluye suministros e instalación (mano de obra) necesarios para el óptimo funcionamiento</t>
  </si>
  <si>
    <t>Detector rayo fotoelectrico exterior par receptor-emisor incluye suministros e instalación (mano de obra) necesarios para el óptimo funcionamiento</t>
  </si>
  <si>
    <t>Sensor de contacto magenitico (mano de obra) necesarios para el óptimo funcionamiento</t>
  </si>
  <si>
    <t>Sensor de rotura de vidrio,  Incluye suministros e instalación (mano de obra) necesarios para el óptimo funcionamiento</t>
  </si>
  <si>
    <t>Kit antena antihurto radiofrecuencia con fuente de poder (antena trasmisora TX, antena receptora RX) detección entre antenas 1,20 para adhesivos. Incluye suministro e instalación (mano de obra) necesarios para el óptimo funcionamiento</t>
  </si>
  <si>
    <t>EQUIPOS Y SISTEMA DE CONTROL DE ACCESO</t>
  </si>
  <si>
    <t>Sistema de control de acceso biométrico (huella) con software de respaldo.</t>
  </si>
  <si>
    <t>Puntos de control electrónico de rondas en los sitios donde la entidad lo requiera, para verificar el correcto cumplimiento de las funciones de supervisión</t>
  </si>
  <si>
    <t>EQUIPOS DE COMUNICACIÓN</t>
  </si>
  <si>
    <t xml:space="preserve">Radio teléfono para comunicación con alcance mínimo de 4 kms (punto a punto) especificando marca y modelo Debe garantizar la comunicación oportuna y estable en cada uno de los puestos. </t>
  </si>
  <si>
    <t>Radio de base, no inferior a 10 watts con su respectiva antena por cada municipio donde se presta el servicio.</t>
  </si>
  <si>
    <t>Lámpara-linterna tipo led reflector de emergencia sin conexión eléctrica (recargable o con batería de repuesto)</t>
  </si>
  <si>
    <t>Detector de metales manual convencional (Tipo detector de metales recargable) y batería.</t>
  </si>
  <si>
    <t>Smart phone con comunicación mediante minutos y datos en el operador local de mejor receptividad</t>
  </si>
  <si>
    <t>#</t>
  </si>
  <si>
    <t>CATEGORÍA</t>
  </si>
  <si>
    <r>
      <t>MONITOR DE 24" PARA CIRCUITO CERRADO DE TELEVISIÓN</t>
    </r>
    <r>
      <rPr>
        <sz val="10"/>
        <color theme="1"/>
        <rFont val="Calibri Light"/>
        <family val="2"/>
      </rPr>
      <t>   </t>
    </r>
  </si>
  <si>
    <r>
      <t>DISPOSITIVO DE GRABACIÓN DE RED (NVR)</t>
    </r>
    <r>
      <rPr>
        <sz val="10"/>
        <color theme="1"/>
        <rFont val="Calibri Light"/>
        <family val="2"/>
      </rPr>
      <t>   </t>
    </r>
  </si>
  <si>
    <t>Valor mensual
servicio</t>
  </si>
  <si>
    <t xml:space="preserve">Valor total </t>
  </si>
  <si>
    <t xml:space="preserve">Valor mensual
servicio </t>
  </si>
  <si>
    <t xml:space="preserve">Valor total  </t>
  </si>
  <si>
    <t xml:space="preserve">3. CALCULO DEL PRESUPUESTO </t>
  </si>
  <si>
    <t xml:space="preserve">RESUMEN PRESUPUESTO </t>
  </si>
  <si>
    <r>
      <rPr>
        <b/>
        <sz val="10"/>
        <color theme="1"/>
        <rFont val="Arial Narrow"/>
        <family val="2"/>
      </rPr>
      <t xml:space="preserve">Inscripción en el Registro Único de Proponentes: </t>
    </r>
    <r>
      <rPr>
        <sz val="10"/>
        <color theme="1"/>
        <rFont val="Arial Narrow"/>
        <family val="2"/>
      </rPr>
      <t xml:space="preserve">
Las personas naturales y jurídicas, nacionales o extranjeras, con domicilio en Colombia, interesadas en participar en procesos de contratación convocados por las entidades estatales, deben estar </t>
    </r>
    <r>
      <rPr>
        <b/>
        <sz val="10"/>
        <color rgb="FFFF0000"/>
        <rFont val="Arial Narrow"/>
        <family val="2"/>
      </rPr>
      <t>inscritas en el RUP</t>
    </r>
    <r>
      <rPr>
        <sz val="10"/>
        <color theme="1"/>
        <rFont val="Arial Narrow"/>
        <family val="2"/>
      </rPr>
      <t>, salvo las excepciones previstas de forma taxativa en la ley (Artículo 2.2.1.1.1.5.1 del Decreto 1082 de 2015). Se aclara que esta inscripción no se requiere para remitir cotización durante el estudio de sector.</t>
    </r>
  </si>
  <si>
    <t>1. Encuesta sobre población con características especiales para la inclusión en el sistema de compras públicas (Dec.1860/21)</t>
  </si>
  <si>
    <r>
      <rPr>
        <sz val="8"/>
        <color rgb="FF000000"/>
        <rFont val="Arial"/>
        <family val="2"/>
      </rPr>
      <t xml:space="preserve">3.2. Fomento a la ejecución de contratos estatales por parte de </t>
    </r>
    <r>
      <rPr>
        <b/>
        <sz val="9"/>
        <color rgb="FF000000"/>
        <rFont val="Arial"/>
        <family val="2"/>
      </rPr>
      <t>población en pobreza extrema, desplazados por la violencia, personas en proceso de reintegración o reincorporación y sujetos de especial protección constitucional</t>
    </r>
    <r>
      <rPr>
        <b/>
        <sz val="8"/>
        <color rgb="FF000000"/>
        <rFont val="Arial"/>
        <family val="2"/>
      </rPr>
      <t xml:space="preserve"> </t>
    </r>
    <r>
      <rPr>
        <sz val="8"/>
        <color rgb="FF000000"/>
        <rFont val="Arial"/>
        <family val="2"/>
      </rPr>
      <t>(Art. 2.2.1.2.4.2.16. del Dec.1860/21):</t>
    </r>
  </si>
  <si>
    <t xml:space="preserve">República de Colombia
Instituto Colombiano de Antropología e Historia
</t>
  </si>
  <si>
    <r>
      <rPr>
        <sz val="10"/>
        <color theme="1"/>
        <rFont val="Arial"/>
        <family val="2"/>
      </rPr>
      <t xml:space="preserve">Nocturna </t>
    </r>
    <r>
      <rPr>
        <b/>
        <sz val="10"/>
        <color rgb="FFFF0000"/>
        <rFont val="Arial"/>
        <family val="2"/>
      </rPr>
      <t>(Nota 3)</t>
    </r>
  </si>
  <si>
    <t xml:space="preserve">Salario Mínimo Mensual Legal Vigente </t>
  </si>
  <si>
    <r>
      <t xml:space="preserve">SERVICIOS DE VIGILANCIA Y MEDIOS TECNOLÓGICOS, DE MONITOREO Y DE APOYO REQUERIDOS POR EL ICANH </t>
    </r>
    <r>
      <rPr>
        <b/>
        <sz val="12"/>
        <color rgb="FFFF0000"/>
        <rFont val="Arial"/>
        <family val="2"/>
      </rPr>
      <t>(Nota 4 y 5)</t>
    </r>
  </si>
  <si>
    <r>
      <t xml:space="preserve">2. Medios de comunicación, equipos, materiales y elementos necesarios para la prestación del servicio </t>
    </r>
    <r>
      <rPr>
        <b/>
        <sz val="12"/>
        <color rgb="FFFF0000"/>
        <rFont val="Arial"/>
        <family val="2"/>
      </rPr>
      <t xml:space="preserve"> (Nota 4, 5 y 6)</t>
    </r>
  </si>
  <si>
    <r>
      <t>MEDIOS TECNOLÓGICOS, DE MONITOREO Y DE APOYO</t>
    </r>
    <r>
      <rPr>
        <b/>
        <sz val="10"/>
        <color rgb="FFFF0000"/>
        <rFont val="Arial"/>
        <family val="2"/>
      </rPr>
      <t xml:space="preserve">  (Nota 4, 5 y 6)</t>
    </r>
  </si>
  <si>
    <r>
      <t xml:space="preserve">A.I.U  </t>
    </r>
    <r>
      <rPr>
        <b/>
        <sz val="10"/>
        <color rgb="FFFF0000"/>
        <rFont val="Arial"/>
        <family val="2"/>
      </rPr>
      <t>(Nota 7)</t>
    </r>
  </si>
  <si>
    <t>Servicios requeridos para Parques Arqueológicos de San Agustín, Alto de los Ídolos (Huila), Santa María de la Antigua del Darién (Chocó), Tierradentro (Cauca), Santa Marta (Magdalena), San José del Guaviare (Guaviare)  y las sedes del ICANH ubicadas en la ciudad de Bogotá D.C</t>
  </si>
  <si>
    <r>
      <t xml:space="preserve">• Por favor diligenciar solo las celdas en AMARILLO.
• Revisar todos los requerimientos que se exponen en el documento "Ficha técnica de condiciones esenciales para la Prestación del Servicio y/o Entrega del Bien" (FCT) ; y formular su cotización en concordancia con este, garantizando que los bienes y/o servicios ofrecidos cumplan en su totalidad con las especificaciones técnicas descritas en la FCT.
</t>
    </r>
    <r>
      <rPr>
        <sz val="10"/>
        <rFont val="Arial"/>
        <family val="2"/>
      </rPr>
      <t>• El precio de la cotización deber ser expresado en PESOS COLOMBIANOS.
• Los precios deberán apr</t>
    </r>
    <r>
      <rPr>
        <sz val="10"/>
        <color theme="1"/>
        <rFont val="Arial"/>
        <family val="2"/>
      </rPr>
      <t xml:space="preserve">oximarse por exceso o por defecto al entero más cercano así: (i) si es igual o superior a 50 centavos, se aproxima al entero siguiente; (ii) si es inferior a 50 centavos se baja al entero anterior.
• No modificar, agregar o quitar ningún ítem o sub-ítem.
• Los precios cotizados deben corresponder al año </t>
    </r>
    <r>
      <rPr>
        <b/>
        <sz val="10"/>
        <color theme="1"/>
        <rFont val="Arial"/>
        <family val="2"/>
      </rPr>
      <t>2024, 2025 y 2026</t>
    </r>
  </si>
  <si>
    <t>TOTAL 1 de diciembre de 2024 al 31 de diciembre de 2026</t>
  </si>
  <si>
    <t>Valor total turno mes a partir del 1 de enero de 2025 al  14 de julio de 2025
Mes Completo</t>
  </si>
  <si>
    <t>Valor total turno mes  a partir del 15 de Julio de 2025 al 31 de diciembre de 2025
Mes Completo</t>
  </si>
  <si>
    <t>Valor total turno mes  a partir del 1 de enero de 2026 al 14 de julio de 2026
Mes Completo</t>
  </si>
  <si>
    <t>Valor total turno mes a partir del 15 de Julio de 2026 al 31 de diciembre de 2026
Mes Completo</t>
  </si>
  <si>
    <r>
      <t xml:space="preserve">TOTAL CONTRATO IVA INCLUIDO </t>
    </r>
    <r>
      <rPr>
        <b/>
        <sz val="10"/>
        <color rgb="FFFF0000"/>
        <rFont val="Arial"/>
        <family val="2"/>
      </rPr>
      <t>(Nota 8)</t>
    </r>
  </si>
  <si>
    <t>Del 1 de diciembre de 2024 al 31 de diciembre de 2024</t>
  </si>
  <si>
    <t>Del 1 de enero de 2025  al 14 de julio de 2025</t>
  </si>
  <si>
    <t>Del 15 de julio de 2025 al 31 de diciembre de 2025</t>
  </si>
  <si>
    <t>Del 1 de enero de 2026  al 14 de julio de 2026</t>
  </si>
  <si>
    <t>Del 15 de julio de 2026 al 31 de diciembre de 2026</t>
  </si>
  <si>
    <t>Valor total turno mes a partir del 15 de julio de 2024 al 31 de diciembre de 2024
Mes Completo</t>
  </si>
  <si>
    <t>Del 1 de diciembre al 31 de diciembre de 2024</t>
  </si>
  <si>
    <t>-</t>
  </si>
  <si>
    <t>SUBTOTAL SERVICIOS DE VIGILANCIA</t>
  </si>
  <si>
    <t>Valor total            (25 MESES)</t>
  </si>
  <si>
    <t>Equipos requeridos para Parques Arqueológicos de San Agustín, Alto de los Ídolos (Huila), Santa María de la Antigua del Darién (Chocó), Tierradentro (Cauca), Santa Marta (Magdalena), San José del Guaviare (Guaviare) y las sedes del ICANH ubicadas en la ciudad de Bogotá D.C</t>
  </si>
  <si>
    <t>Precio Unitario Mensual
Antes de IVA 2025</t>
  </si>
  <si>
    <t>Precio Unitario Mensual
Antes de IVA 2026</t>
  </si>
  <si>
    <t>Valor mensual
x cantidades 2024</t>
  </si>
  <si>
    <t>Valor total del 1 de diciembre al 31 de diciembre de 2024</t>
  </si>
  <si>
    <t>Valor mensual
x cantidades 2025</t>
  </si>
  <si>
    <t>Valor total del 1 de enero del 2025 al 31 de diciembre de 2025</t>
  </si>
  <si>
    <t>Valor mensual
x cantidades 2026</t>
  </si>
  <si>
    <t>Valor total del 1 de enero del 2026 al 31 de diciembre de 2026</t>
  </si>
  <si>
    <t>Valor total 1 de diciembre de 2024 al 31 de diciembre de 2026</t>
  </si>
  <si>
    <t>SUBTOTAL MEDIOS TECNOLÓGICOS, DE MONITOREO Y DE APOYO</t>
  </si>
  <si>
    <r>
      <t xml:space="preserve">• Se remite como parte del estudio de mercado, previo a la contratación, y no implica ninguna obligación de contratar.
• El Icanh no se hace responsable de ningún costo directo o indirecto en que incurra el potencial proveedor para presentar la actual cotización, dado que se recibe de buena fe, como fuente de información de precios de referencia del mercado para el estudio de sector. 
• Tiene una vigencia de </t>
    </r>
    <r>
      <rPr>
        <b/>
        <u/>
        <sz val="10"/>
        <color theme="1"/>
        <rFont val="Arial Narrow"/>
        <family val="2"/>
      </rPr>
      <t xml:space="preserve">180 días </t>
    </r>
    <r>
      <rPr>
        <sz val="10"/>
        <color theme="1"/>
        <rFont val="Arial Narrow"/>
        <family val="2"/>
      </rPr>
      <t>a partir de la fecha de diligenciamiento.</t>
    </r>
  </si>
  <si>
    <r>
      <rPr>
        <b/>
        <sz val="10"/>
        <color rgb="FFFF0000"/>
        <rFont val="Arial"/>
        <family val="2"/>
      </rPr>
      <t xml:space="preserve">Notas:
</t>
    </r>
    <r>
      <rPr>
        <b/>
        <u/>
        <sz val="10"/>
        <rFont val="Arial"/>
        <family val="2"/>
      </rPr>
      <t>SE DEBE DILIGENCIAR LA HOJA "FORMATO_COTIZACIÓN"</t>
    </r>
    <r>
      <rPr>
        <b/>
        <sz val="10"/>
        <rFont val="Arial"/>
        <family val="2"/>
      </rPr>
      <t xml:space="preserve">. </t>
    </r>
    <r>
      <rPr>
        <b/>
        <sz val="10"/>
        <color rgb="FFFF0000"/>
        <rFont val="Arial"/>
        <family val="2"/>
      </rPr>
      <t xml:space="preserve">
(1)</t>
    </r>
    <r>
      <rPr>
        <sz val="10"/>
        <rFont val="Arial"/>
        <family val="2"/>
      </rPr>
      <t xml:space="preserve"> La pregunta 3 de la Hoja "FORMATO_COTIZACION" es obligatoria, debido a que los datos del valor de la prima allí solicitados se requieren para realizar la proyección del presupuesto, por favor diligenciar los valores para los años 2024, 2025 y 2026. </t>
    </r>
    <r>
      <rPr>
        <b/>
        <sz val="10"/>
        <color theme="9" tint="-0.249977111117893"/>
        <rFont val="Arial"/>
        <family val="2"/>
      </rPr>
      <t>Tener en cuenta que la Administración y Supervisión de la Prima de seguro se está calculando en la hoja "RESUMEN CIRCULAR_DECRETO"</t>
    </r>
    <r>
      <rPr>
        <sz val="10"/>
        <rFont val="Arial"/>
        <family val="2"/>
      </rPr>
      <t xml:space="preserve">. Las preguntas restantes son de carácter informativo. 
</t>
    </r>
    <r>
      <rPr>
        <b/>
        <sz val="10"/>
        <color rgb="FFFF0000"/>
        <rFont val="Arial"/>
        <family val="2"/>
      </rPr>
      <t>(2)</t>
    </r>
    <r>
      <rPr>
        <sz val="10"/>
        <rFont val="Arial"/>
        <family val="2"/>
      </rPr>
      <t xml:space="preserve"> Tener en cuenta para cotizar que el plazo de ejecución es estimado y podrá ser inferior.
</t>
    </r>
    <r>
      <rPr>
        <b/>
        <sz val="10"/>
        <color rgb="FFFF0000"/>
        <rFont val="Arial"/>
        <family val="2"/>
      </rPr>
      <t>(3)</t>
    </r>
    <r>
      <rPr>
        <sz val="10"/>
        <rFont val="Arial"/>
        <family val="2"/>
      </rPr>
      <t xml:space="preserve"> Para el servicio de 12 horas nocturno se contemplan para los cálculos 9 horas del horario nocturno y 3 del horario diurno.
</t>
    </r>
    <r>
      <rPr>
        <b/>
        <sz val="10"/>
        <color rgb="FFFF0000"/>
        <rFont val="Arial"/>
        <family val="2"/>
      </rPr>
      <t>(4)</t>
    </r>
    <r>
      <rPr>
        <sz val="10"/>
        <rFont val="Arial"/>
        <family val="2"/>
      </rPr>
      <t xml:space="preserve"> Las cantidades de servicios y equipos requeridos son estimadas y podrán variar en ejecución del contrato de acuerdo con las necesidades para la prestación del servicio de la Entidad y de acuerdo con el resultado del Estudio de Seguridad que se realice.
</t>
    </r>
    <r>
      <rPr>
        <b/>
        <sz val="10"/>
        <color rgb="FFFF0000"/>
        <rFont val="Arial"/>
        <family val="2"/>
      </rPr>
      <t>(5)</t>
    </r>
    <r>
      <rPr>
        <sz val="10"/>
        <rFont val="Arial"/>
        <family val="2"/>
      </rPr>
      <t xml:space="preserve"> El detalle de los lugares para la prestación del servicio de vigilancia y la distribución de los equipos se detalla en la ficha técnica.
</t>
    </r>
    <r>
      <rPr>
        <b/>
        <sz val="10"/>
        <color rgb="FFFF0000"/>
        <rFont val="Arial"/>
        <family val="2"/>
      </rPr>
      <t xml:space="preserve">(6) </t>
    </r>
    <r>
      <rPr>
        <sz val="10"/>
        <rFont val="Arial"/>
        <family val="2"/>
      </rPr>
      <t xml:space="preserve">Los precios cotizados para los medios tecnológicos y de apoyo deberán incluir costos de instalación, operación, traslado y/o reubicación, mantenimiento preventivo y correctivo. 
</t>
    </r>
    <r>
      <rPr>
        <b/>
        <sz val="10"/>
        <color rgb="FFFF0000"/>
        <rFont val="Arial"/>
        <family val="2"/>
      </rPr>
      <t>(7)</t>
    </r>
    <r>
      <rPr>
        <sz val="10"/>
        <rFont val="Arial"/>
        <family val="2"/>
      </rPr>
      <t xml:space="preserve"> En el artículo 462-1 "Base gravable especial" del Estatuto Tributario, se indica que los servicios de vigilancia prestados por entidades autorizadas por la SuperVigilancia, generan IVA sobre el valor del componente AIU (Administración, imprevistos y utilidad) que se pacte en cada contrato. La misma norma indica que ese AIU no puede ser inferior al 10% del valor total del contrato. El A.I.U servirá para establecer la base gravable del cálculo del IVA. 
</t>
    </r>
    <r>
      <rPr>
        <b/>
        <sz val="10"/>
        <color rgb="FFFF0000"/>
        <rFont val="Arial"/>
        <family val="2"/>
      </rPr>
      <t>(8)</t>
    </r>
    <r>
      <rPr>
        <sz val="10"/>
        <rFont val="Arial"/>
        <family val="2"/>
      </rPr>
      <t xml:space="preserve"> Si remite su cotización mediante el módulo de Solicitud de información a proveedores de la plataforma SECOP II, en la respuesta a la pregunta 1 debe incluir el total del presupuesto, que corresponde a la Celda E93 </t>
    </r>
    <r>
      <rPr>
        <sz val="10"/>
        <color rgb="FFFF0000"/>
        <rFont val="Arial"/>
        <family val="2"/>
      </rPr>
      <t xml:space="preserve"> </t>
    </r>
    <r>
      <rPr>
        <sz val="10"/>
        <rFont val="Arial"/>
        <family val="2"/>
      </rPr>
      <t xml:space="preserve">y como respuesta a la pregunta 2 deberá subir el presente formato completamente diligenciado.
</t>
    </r>
  </si>
  <si>
    <t>EMPRESA</t>
  </si>
  <si>
    <t>Entre el 5% y el 10%</t>
  </si>
  <si>
    <t>Empresa:</t>
  </si>
  <si>
    <t>VIGILANCIA SANTAFEREÑA Y CIA. LTDA.</t>
  </si>
  <si>
    <t>Ciudad</t>
  </si>
  <si>
    <t>Bogotá</t>
  </si>
  <si>
    <t>Nit:</t>
  </si>
  <si>
    <t>800.076.719-5</t>
  </si>
  <si>
    <t>Nombres y apellidos persona de contacto:</t>
  </si>
  <si>
    <t>Sandra Liliana Barrera Ramos</t>
  </si>
  <si>
    <t>E-Mail:</t>
  </si>
  <si>
    <t>mercadeo@visan.net.co</t>
  </si>
  <si>
    <t>Cargo:</t>
  </si>
  <si>
    <t>Jefe Comercial Público</t>
  </si>
  <si>
    <t>Tel. celular:</t>
  </si>
  <si>
    <t>311 5251322</t>
  </si>
  <si>
    <t>Fecha:</t>
  </si>
  <si>
    <t>LIBERTADORA DE SEGURIDAD LTDA</t>
  </si>
  <si>
    <t>BOGOTA</t>
  </si>
  <si>
    <t>860451294-3</t>
  </si>
  <si>
    <t>EDWIN CRISTANCHO</t>
  </si>
  <si>
    <t>direccioncomercial@libertadora.co</t>
  </si>
  <si>
    <t>DIRECTOR DE NEGOCIOS</t>
  </si>
  <si>
    <t>SEGURIDAD DEL SUR LIMITADA</t>
  </si>
  <si>
    <t>Pasto</t>
  </si>
  <si>
    <t>800085349-1</t>
  </si>
  <si>
    <t>ANDREA JULIETA TRUJILLO BARRIOS</t>
  </si>
  <si>
    <t xml:space="preserve">acomercial3@seguridaddelsur.net </t>
  </si>
  <si>
    <t>Ejecutiva de uenta</t>
  </si>
  <si>
    <t>01-08-2024%</t>
  </si>
  <si>
    <t>SQUADRA SEGURIDAD LTDA</t>
  </si>
  <si>
    <t>PUERTO BOYACA</t>
  </si>
  <si>
    <t>900431565-3%</t>
  </si>
  <si>
    <t>MARTHA LUCIA GOMEZ</t>
  </si>
  <si>
    <t>financierasquadra@gmail.com</t>
  </si>
  <si>
    <t>GERENTE</t>
  </si>
  <si>
    <t>SEGURIDAD NUEVA ERA LTDA</t>
  </si>
  <si>
    <t>830070625-3</t>
  </si>
  <si>
    <t>ROCIO HERNANDEZ</t>
  </si>
  <si>
    <t>comercial@seguridadnuevaera.com</t>
  </si>
  <si>
    <t>Asesora Comercial</t>
  </si>
  <si>
    <t>30-07-2024%</t>
  </si>
  <si>
    <t>SEGURIDAD PEGASO LTDA</t>
  </si>
  <si>
    <t>900468635-0</t>
  </si>
  <si>
    <t xml:space="preserve">SEBASTIAN DIAZ </t>
  </si>
  <si>
    <t>directorcomercialcentro@gmail.com</t>
  </si>
  <si>
    <t xml:space="preserve">gerente </t>
  </si>
  <si>
    <t>29/007/2024</t>
  </si>
  <si>
    <t>BUHO SEGURIDAD LTDA</t>
  </si>
  <si>
    <t>860.404.674-9%</t>
  </si>
  <si>
    <t>JORGE ARMANDO ROJAS ROJAS</t>
  </si>
  <si>
    <t>buhoseguridadltda@hotmail.com</t>
  </si>
  <si>
    <t>SUBGERENTE</t>
  </si>
  <si>
    <t>AZIMUT CARIBABARE Ltda.</t>
  </si>
  <si>
    <t>BOGOTA D.C.</t>
  </si>
  <si>
    <t>844001198-6</t>
  </si>
  <si>
    <t>MAURO CHACON TORRES</t>
  </si>
  <si>
    <t>Bogotá Azimut Caribabare &lt;bogotaazc@gmail.com&gt;</t>
  </si>
  <si>
    <t>DIRECTOR COMERCIAL</t>
  </si>
  <si>
    <t>(+57 322 2838314)</t>
  </si>
  <si>
    <t>(29/07/2024)</t>
  </si>
  <si>
    <t>SERACIS LTDA</t>
  </si>
  <si>
    <t>Medellin</t>
  </si>
  <si>
    <t>811007280-1%</t>
  </si>
  <si>
    <t>Marimar Caicedo Duarte</t>
  </si>
  <si>
    <t>m.caicedo@seracis.com; g.castro@seracis.com</t>
  </si>
  <si>
    <t>Coordinadora de licitaciones</t>
  </si>
  <si>
    <t>VIGILANCIA ACOSTA LTDA</t>
  </si>
  <si>
    <t>800.085.526-9</t>
  </si>
  <si>
    <t>HAROLD ARMANDO CASTAÑO CELIS</t>
  </si>
  <si>
    <t>comercial@vigilanciaacosta.com.co</t>
  </si>
  <si>
    <t>REPRESENTANTE LEGAL</t>
  </si>
  <si>
    <t>SEGURIDAD NAPOLES LTDA</t>
  </si>
  <si>
    <t>CALI</t>
  </si>
  <si>
    <t>860523408-6%</t>
  </si>
  <si>
    <t>NILSON CASTELLANOS</t>
  </si>
  <si>
    <t>analista licitaciones</t>
  </si>
  <si>
    <t>dircomercialestatal@seguridadnapolesltda.com</t>
  </si>
  <si>
    <t>PROMEDIO</t>
  </si>
  <si>
    <t>MEDIA GEOMÉTRICA</t>
  </si>
  <si>
    <t>SELECCIONADA</t>
  </si>
  <si>
    <t>CIRCULAR EXTERNA 20251300000115CS DEL 30 DE DICIEMBRE DE 2025 SUPERVIGILANCIA Y DECRETO 1561 DE 2022
RESOLUCIÓN Nº 20251000059517CS DEL 08 DE AGOSTO DE 2025</t>
  </si>
  <si>
    <t>06:00 a.m. A 07:00 p.m.</t>
  </si>
  <si>
    <t>07:00 p.m. A 06:00 a.m.</t>
  </si>
  <si>
    <t>Cuando la prestación del servicio de vigilancia y seguridad privada que se requiera contratar sea inferior a veinticuatro (24) horas y/o treinta (30) días, la tarifa deberá ser proporcional al tiempo contratado y para efectos de obtener el valor correspondiente se debe: a. Aplicar, según el caso, la variable de proporcionalidad sobre el valor del servicio establecido para un servicio de veinticuatro (24) horas y treinta (30) días al mes y en los términos de la jornada laboral vigente. b) Tomar el valor resultante de la aplicación de la variable de proporcionalidad anteriormente establecida, dividirlo por treinta (30) días y multiplicarlo por el número de días en que se prestará el servicio, luego dividirlo por la jornada laboral y el resultado multiplicarlo por las horas requeridas del servicio. 
A partir del 25 de diciembre de 2025, el horario nocturno se entiende desde las 19:00 hasta las 06:00 horas del día siguiente, por lo cual la aplicación de la variable de proporcionalidad deberá considerar este cambio de jornada conforme a la Ley 2466 de 2025.</t>
  </si>
  <si>
    <t>Fecha inicio</t>
  </si>
  <si>
    <t>Fecha fin</t>
  </si>
  <si>
    <t>Recargo festivo</t>
  </si>
  <si>
    <t>Horario nocturno desde</t>
  </si>
  <si>
    <t>La aplicación de las variables de proporcionalidad y del cálculo de la tarifa mínima debe realizarse conforme a lo dispuesto en la Resolución 20251000059517CS y la Circular Externa 20251300000115CS de la Superintendencia de Vigilancia y Seguridad Privada. A partir del 25 de diciembre de 2025, el horario nocturno se entiende desde las 19:00 hasta las 06:00 horas del día siguiente. Así mismo, el recargo por trabajo en días de descanso obligatorio o festivos será del 80% desde el 1 de julio de 2025, del 90% desde el 1 de julio de 2026 y del 100% desde el 1 de julio de 2027.</t>
  </si>
  <si>
    <t>09:00 p.m.</t>
  </si>
  <si>
    <t>07:00 p.m.</t>
  </si>
  <si>
    <t>en adelante</t>
  </si>
  <si>
    <r>
      <t xml:space="preserve">Valor de la Prima del seguro de vida 2026
</t>
    </r>
    <r>
      <rPr>
        <b/>
        <sz val="10"/>
        <color rgb="FFFF0000"/>
        <rFont val="Arial"/>
        <family val="2"/>
      </rPr>
      <t>(Nota 1)</t>
    </r>
  </si>
  <si>
    <t>Tarifa a partir del 15 de julio del año 2026</t>
  </si>
  <si>
    <r>
      <t xml:space="preserve">Completa </t>
    </r>
    <r>
      <rPr>
        <b/>
        <sz val="10"/>
        <color rgb="FFFF0000"/>
        <rFont val="Arial"/>
        <family val="2"/>
      </rPr>
      <t>(Nota 3)</t>
    </r>
  </si>
  <si>
    <r>
      <rPr>
        <sz val="10"/>
        <color theme="1"/>
        <rFont val="Arial"/>
        <family val="2"/>
      </rPr>
      <t xml:space="preserve">Nocturna </t>
    </r>
    <r>
      <rPr>
        <b/>
        <sz val="10"/>
        <color rgb="FFFF0000"/>
        <rFont val="Arial"/>
        <family val="2"/>
      </rPr>
      <t>(Nota 4 y 5)</t>
    </r>
  </si>
  <si>
    <t>SMMLV 2026</t>
  </si>
  <si>
    <t>El salario mínimo en Colombia para 2026 fue fijado provisionalmente en $1.750.905 mensuales mediante el Decreto 0159 del 19 de febrero de 2026, tras la suspensión del decreto anterior por el Consejo de Estado</t>
  </si>
  <si>
    <t>Nota 3. El recargo por trabajo en días de descanso obligatorio o festivos se aplicará de manera progresiva según la normativa vigente: 80% desde el 1 de julio de 2025, 90% desde el 1 de julio de 2026 y 100% desde el 1 de julio de 2027.
Nota 4. Para los cálculos de turnos de 12 horas que combinan jornada nocturna y diurna, hasta el 24 de diciembre de 2025 se tendrán en cuenta 9 horas dentro del horario nocturno (09:00 p.m. – 06:00 a.m.) y 3 horas dentro del horario diurno.
Nota 5. A partir del 25 de diciembre de 2025, el horario nocturno se entiende desde las 19:00 hasta las 06:00 horas del día siguiente, por lo cual los turnos de 12 horas que crucen este rango deberán ajustarse a la nueva distribución de horas nocturnas y diurnas.</t>
  </si>
  <si>
    <t>2026 (desde el 30 de junio de 2026 al 31 de diciembre de 2026)</t>
  </si>
  <si>
    <t>Total festivos</t>
  </si>
  <si>
    <t>-20 de julio de 2026
-7 y 17 de agosto de 2026
-12 de octubre de 2026
-2 y 16 de noviembre de 2026
-8 y 25 de diciembre de 2026</t>
  </si>
  <si>
    <t>2026 (Julio a Diciembre)</t>
  </si>
  <si>
    <r>
      <t xml:space="preserve">Completa  </t>
    </r>
    <r>
      <rPr>
        <b/>
        <sz val="10"/>
        <color rgb="FFFF0000"/>
        <rFont val="Arial"/>
        <family val="2"/>
      </rPr>
      <t>(Nota 3)</t>
    </r>
  </si>
  <si>
    <r>
      <t>Nocturna</t>
    </r>
    <r>
      <rPr>
        <b/>
        <sz val="10"/>
        <color rgb="FFFF0000"/>
        <rFont val="Arial"/>
        <family val="2"/>
      </rPr>
      <t xml:space="preserve"> (Nota 4 y 5)</t>
    </r>
  </si>
  <si>
    <r>
      <t xml:space="preserve">SERVICIOS DE VIGILANCIA Y MEDIOS TECNOLÓGICOS, DE MONITOREO Y DE APOYO REQUERIDOS POR EL ICANH </t>
    </r>
    <r>
      <rPr>
        <b/>
        <sz val="12"/>
        <color rgb="FFFF0000"/>
        <rFont val="Arial"/>
        <family val="2"/>
      </rPr>
      <t>(Nota 6, 7 y 8)</t>
    </r>
  </si>
  <si>
    <t>SERVICIOS INCLUIDO EN LA CIRCULAR EXTERNA 20251300000115CS DEL 30 DE DICIEMBRE DE 2025 SUPERVIGILANCIA Y DECRETO 1561 DE 2022
RESOLUCIÓN Nº 20251000059517CS DEL 08 DE AGOSTO DE 2025</t>
  </si>
  <si>
    <t>Valor total del 1 de julio del 2026 al 31 de diciembre de 2026</t>
  </si>
  <si>
    <t>NVR (Para grabación continua, 8 CH H. 265 4CH @4K o 16CH @1080P hasta 12MP reproducción 16CH 8 SATA 2 HDMI 4K 2 RJ 45 1000 MBPS, Grabación las 24 horas del día, con capacidad de almacenamiento de 6 Teras Bytes).</t>
  </si>
  <si>
    <t>NVR (Grabador de Video en Red, 64 canales, H.265, hasta 12 MP, reproducción 16 canales, 8 bahías SATA, 2 HDMI 4K, 2 RJ45 1000 Mbps, capacidad instalada 24 TB, grabación continua 24/7)</t>
  </si>
  <si>
    <t>Cámara Domo PTZ Exterior IP, 4 MP, zoom óptico ≥25×, IR ≥100 m, protección IP66, WDR ≥120 dB, H.265, VCA, audio y alarmas, PoE+/Hi-PoE. Incluye suministros e instalación (mano de obra) necesarios para el óptimo funcionamiento del circuito cerrado de televisión.</t>
  </si>
  <si>
    <t>UPS online 2 KVA tipo torre monofásica con autonomía de aproximadamente 30 minutos. Incluye suministros e instalación (mano de obra) necesarios para el óptimo funcionamiento</t>
  </si>
  <si>
    <t>UPS online 3 KVA tipo torre monofásica con autonomía aproximadamente de 30 minutos. Incluye suministros e instalación (mano de obra) necesarios para el óptimo funcionamiento</t>
  </si>
  <si>
    <t>AÑO 2026</t>
  </si>
  <si>
    <r>
      <t xml:space="preserve">A.I.U  </t>
    </r>
    <r>
      <rPr>
        <b/>
        <sz val="10"/>
        <color rgb="FFFF0000"/>
        <rFont val="Arial"/>
        <family val="2"/>
      </rPr>
      <t>(Nota 9)</t>
    </r>
  </si>
  <si>
    <r>
      <t xml:space="preserve">TOTAL CONTRATO IVA INCLUIDO </t>
    </r>
    <r>
      <rPr>
        <b/>
        <sz val="10"/>
        <color rgb="FFFF0000"/>
        <rFont val="Arial"/>
        <family val="2"/>
      </rPr>
      <t>(Nota 10)</t>
    </r>
  </si>
  <si>
    <t>CONSOLIDADO DE COTIZACIONES</t>
  </si>
  <si>
    <t>LIBERTADORA DE SEGURIDAD</t>
  </si>
  <si>
    <t>SEGURIDAD DEL SUR LTDA</t>
  </si>
  <si>
    <t>SEGURIDAD NAPOLES LIMITADA</t>
  </si>
  <si>
    <t>MEDIA ARMÓNICA</t>
  </si>
  <si>
    <t>PROMEDIO 3 MÁS BAJAS</t>
  </si>
  <si>
    <t>MEDIA GEOMÉTRICA 3 MÁS BAJAS</t>
  </si>
  <si>
    <t>MEDIA ARMÓNICA 3 MÁS BAJAS</t>
  </si>
  <si>
    <t>VIGILANCIA ACOSTA LTDA
(Cotización 2024)</t>
  </si>
  <si>
    <t>AZIMUT CARIBABARE LTDA
(Cotización 2024)</t>
  </si>
  <si>
    <t>BUHO SEGURIDAD LTDA
(Cotización 2024)</t>
  </si>
  <si>
    <t>PROMEDIO 2 MÁS BAJAS</t>
  </si>
  <si>
    <t>MEDIA GEOMÉTRICA 2 MÁS BAJAS</t>
  </si>
  <si>
    <t>MEDIA ARMÓNICA 2 MÁS BAJAS</t>
  </si>
  <si>
    <t>MEDIA SELECCIONADA</t>
  </si>
  <si>
    <t>Valor total del 1 de octubre del 2026 al 15 de diciembre de 2026</t>
  </si>
  <si>
    <t>Del 1 de octubre de 2026 al 15 de diciembre de 2026</t>
  </si>
  <si>
    <t>Del 1 de octubre de 2026  al 15 de diciembre de 2026</t>
  </si>
  <si>
    <t>TOTAL 1 de octubre de 2026 al 15 de diciembre de 2026</t>
  </si>
  <si>
    <t>Diurnas
De 8:00 am a 5:00 pm</t>
  </si>
  <si>
    <t>Medio Humano sin arma</t>
  </si>
  <si>
    <t xml:space="preserve">Nocturna </t>
  </si>
  <si>
    <t>Valor total turno mes a partir del 1 de octubre de 2026 al  15 de diciembre de 2026
Mes Completo</t>
  </si>
  <si>
    <t>Valor total (2,5 MESES)</t>
  </si>
  <si>
    <t>Diurna</t>
  </si>
  <si>
    <t>A partir del 1 de octubre de 2026 al 15 de diciembre de 2026
Mes Completo</t>
  </si>
  <si>
    <r>
      <t xml:space="preserve">Medio Humano </t>
    </r>
    <r>
      <rPr>
        <sz val="10"/>
        <color rgb="FFFF0000"/>
        <rFont val="Arial"/>
        <family val="2"/>
      </rPr>
      <t>Sin</t>
    </r>
    <r>
      <rPr>
        <sz val="10"/>
        <color theme="1"/>
        <rFont val="Arial"/>
        <family val="2"/>
      </rPr>
      <t xml:space="preserve"> Arma</t>
    </r>
  </si>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</sst>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0">
    <numFmt numFmtId="6" formatCode="&quot;$&quot;\ #,##0;[Red]\-&quot;$&quot;\ #,##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 #,##0.00_);_(* \(#,##0.00\);_(* &quot;-&quot;??_);_(@_)"/>
    <numFmt numFmtId="165" formatCode="_ * #,##0.00_ ;_ * \-#,##0.00_ ;_ * &quot;-&quot;??_ ;_ @_ "/>
    <numFmt numFmtId="166" formatCode="_ &quot;$&quot;\ * #,##0.00_ ;_ &quot;$&quot;\ * \-#,##0.00_ ;_ &quot;$&quot;\ * &quot;-&quot;??_ ;_ @_ "/>
    <numFmt numFmtId="167" formatCode="&quot;$&quot;\ #,##0"/>
    <numFmt numFmtId="168" formatCode="0\ &quot;Meses&quot;"/>
    <numFmt numFmtId="169" formatCode="#,##0\ &quot;UVT&quot;"/>
    <numFmt numFmtId="170" formatCode="0\ &quot;horas&quot;"/>
    <numFmt numFmtId="171" formatCode="&quot;Turno de&quot;\ 0\ &quot;horas Diurno&quot;"/>
    <numFmt numFmtId="172" formatCode="&quot;Turno de&quot;\ 0\ &quot;horas Nocturno&quot;"/>
    <numFmt numFmtId="173" formatCode="0.0%"/>
    <numFmt numFmtId="174" formatCode="0.00\ &quot;Meses&quot;"/>
    <numFmt numFmtId="175" formatCode="_-&quot;$&quot;* #,##0.00_-;\-&quot;$&quot;* #,##0.00_-;_-&quot;$&quot;* &quot;-&quot;??_-;_-@_-"/>
    <numFmt numFmtId="176" formatCode="_(&quot;$&quot;\ * #,##0.00_);_(&quot;$&quot;\ * \(#,##0.00\);_(&quot;$&quot;\ * &quot;-&quot;??_);_(@_)"/>
    <numFmt numFmtId="177" formatCode="&quot;$&quot;\ #,##0.00"/>
    <numFmt numFmtId="178" formatCode="0.000"/>
  </numFmts>
  <fonts count="48">
    <font>
      <sz val="11"/>
      <color theme="1"/>
      <name val="Calibri"/>
      <family val="2"/>
      <scheme val="minor"/>
    </font>
    <font>
      <sz val="11"/>
      <color theme="1"/>
      <name val="Arial"/>
      <family val="2"/>
    </font>
    <font>
      <b/>
      <sz val="10"/>
      <color theme="1"/>
      <name val="Arial"/>
      <family val="2"/>
    </font>
    <font>
      <sz val="10"/>
      <color theme="1"/>
      <name val="Arial"/>
      <family val="2"/>
    </font>
    <font>
      <sz val="10"/>
      <name val="Zurich BT"/>
    </font>
    <font>
      <sz val="10"/>
      <name val="Arial"/>
      <family val="2"/>
    </font>
    <font>
      <sz val="8"/>
      <name val="Arial"/>
      <family val="2"/>
    </font>
    <font>
      <sz val="9"/>
      <color theme="1"/>
      <name val="Arial"/>
      <family val="2"/>
    </font>
    <font>
      <sz val="8"/>
      <color theme="1"/>
      <name val="Arial"/>
      <family val="2"/>
    </font>
    <font>
      <b/>
      <sz val="8"/>
      <color theme="1"/>
      <name val="Arial"/>
      <family val="2"/>
    </font>
    <font>
      <b/>
      <sz val="10"/>
      <color rgb="FFFF0000"/>
      <name val="Arial"/>
      <family val="2"/>
    </font>
    <font>
      <sz val="11"/>
      <color theme="1"/>
      <name val="Calibri"/>
      <family val="2"/>
      <scheme val="minor"/>
    </font>
    <font>
      <b/>
      <sz val="10"/>
      <name val="Arial"/>
      <family val="2"/>
    </font>
    <font>
      <sz val="10"/>
      <color rgb="FFFF0000"/>
      <name val="Arial"/>
      <family val="2"/>
    </font>
    <font>
      <b/>
      <sz val="8"/>
      <color rgb="FFFF0000"/>
      <name val="Arial"/>
      <family val="2"/>
    </font>
    <font>
      <b/>
      <sz val="7"/>
      <color theme="1"/>
      <name val="Arial"/>
      <family val="2"/>
    </font>
    <font>
      <b/>
      <sz val="8"/>
      <name val="Arial"/>
      <family val="2"/>
    </font>
    <font>
      <b/>
      <sz val="8"/>
      <color indexed="81"/>
      <name val="Arial"/>
      <family val="2"/>
    </font>
    <font>
      <sz val="8"/>
      <color indexed="81"/>
      <name val="Arial"/>
      <family val="2"/>
    </font>
    <font>
      <b/>
      <sz val="12"/>
      <color theme="1"/>
      <name val="Arial"/>
      <family val="2"/>
    </font>
    <font>
      <b/>
      <sz val="9"/>
      <color theme="1"/>
      <name val="Arial"/>
      <family val="2"/>
    </font>
    <font>
      <i/>
      <sz val="9"/>
      <color indexed="81"/>
      <name val="Tahoma"/>
      <family val="2"/>
    </font>
    <font>
      <i/>
      <sz val="8"/>
      <color indexed="81"/>
      <name val="Arial"/>
      <family val="2"/>
    </font>
    <font>
      <sz val="8"/>
      <color rgb="FFFF0000"/>
      <name val="Arial"/>
      <family val="2"/>
    </font>
    <font>
      <i/>
      <sz val="8"/>
      <name val="Arial"/>
      <family val="2"/>
    </font>
    <font>
      <sz val="8"/>
      <color theme="0"/>
      <name val="Arial"/>
      <family val="2"/>
    </font>
    <font>
      <b/>
      <u/>
      <sz val="8"/>
      <color theme="1"/>
      <name val="Arial"/>
      <family val="2"/>
    </font>
    <font>
      <sz val="8"/>
      <name val="Calibri"/>
      <family val="2"/>
      <scheme val="minor"/>
    </font>
    <font>
      <b/>
      <sz val="12"/>
      <color rgb="FFFF0000"/>
      <name val="Arial"/>
      <family val="2"/>
    </font>
    <font>
      <b/>
      <u/>
      <sz val="10"/>
      <name val="Arial"/>
      <family val="2"/>
    </font>
    <font>
      <b/>
      <sz val="10"/>
      <color theme="9" tint="-0.249977111117893"/>
      <name val="Arial"/>
      <family val="2"/>
    </font>
    <font>
      <sz val="11"/>
      <color rgb="FF000000"/>
      <name val="Arial"/>
      <family val="2"/>
    </font>
    <font>
      <sz val="10"/>
      <color rgb="FF000000"/>
      <name val="Arial"/>
      <family val="2"/>
    </font>
    <font>
      <sz val="10"/>
      <color theme="1"/>
      <name val="Calibri Light"/>
      <family val="2"/>
    </font>
    <font>
      <b/>
      <sz val="10"/>
      <color theme="1"/>
      <name val="Arial Narrow"/>
      <family val="2"/>
    </font>
    <font>
      <sz val="10"/>
      <color theme="1"/>
      <name val="Arial Narrow"/>
      <family val="2"/>
    </font>
    <font>
      <b/>
      <sz val="10"/>
      <color rgb="FFFF0000"/>
      <name val="Arial Narrow"/>
      <family val="2"/>
    </font>
    <font>
      <sz val="8"/>
      <color rgb="FF000000"/>
      <name val="Arial"/>
      <family val="2"/>
    </font>
    <font>
      <b/>
      <sz val="9"/>
      <color rgb="FF000000"/>
      <name val="Arial"/>
      <family val="2"/>
    </font>
    <font>
      <b/>
      <sz val="8"/>
      <color rgb="FF000000"/>
      <name val="Arial"/>
      <family val="2"/>
    </font>
    <font>
      <b/>
      <u/>
      <sz val="10"/>
      <color theme="1"/>
      <name val="Arial Narrow"/>
      <family val="2"/>
    </font>
    <font>
      <b/>
      <sz val="11"/>
      <color theme="1"/>
      <name val="Arial Narrow"/>
      <family val="2"/>
    </font>
    <font>
      <sz val="9"/>
      <color rgb="FF000000"/>
      <name val="Arial"/>
      <family val="2"/>
    </font>
    <font>
      <sz val="6"/>
      <color theme="1"/>
      <name val="Arial"/>
      <family val="2"/>
    </font>
    <font>
      <b/>
      <sz val="11"/>
      <color theme="1"/>
      <name val="Arial"/>
      <family val="2"/>
    </font>
    <font>
      <sz val="10"/>
      <color theme="1"/>
      <name val="Calibri"/>
      <family val="2"/>
    </font>
    <font>
      <sz val="10"/>
      <name val="Calibri"/>
      <family val="2"/>
    </font>
    <font>
      <sz val="10"/>
      <color rgb="FF000000"/>
      <name val="Calibri"/>
      <family val="2"/>
    </font>
  </fonts>
  <fills count="13">
    <fill>
      <patternFill patternType="none"/>
    </fill>
    <fill>
      <patternFill patternType="gray125"/>
    </fill>
    <fill>
      <patternFill patternType="solid">
        <fgColor theme="0" tint="-0.14999847407452621"/>
        <bgColor indexed="64"/>
      </patternFill>
    </fill>
    <fill>
      <patternFill patternType="solid">
        <fgColor rgb="FFFFFFCC"/>
        <bgColor indexed="64"/>
      </patternFill>
    </fill>
    <fill>
      <patternFill patternType="solid">
        <fgColor theme="0" tint="-4.9989318521683403E-2"/>
        <bgColor indexed="64"/>
      </patternFill>
    </fill>
    <fill>
      <patternFill patternType="solid">
        <fgColor rgb="FF002060"/>
        <bgColor indexed="64"/>
      </patternFill>
    </fill>
    <fill>
      <patternFill patternType="solid">
        <fgColor theme="4" tint="0.79998168889431442"/>
        <bgColor indexed="64"/>
      </patternFill>
    </fill>
    <fill>
      <patternFill patternType="solid">
        <fgColor theme="6" tint="0.79998168889431442"/>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rgb="FFCCFFFF"/>
        <bgColor indexed="64"/>
      </patternFill>
    </fill>
    <fill>
      <patternFill patternType="solid">
        <fgColor theme="0" tint="-0.249977111117893"/>
        <bgColor indexed="64"/>
      </patternFill>
    </fill>
    <fill>
      <patternFill patternType="solid">
        <fgColor rgb="FFFFFFFF"/>
        <bgColor rgb="FFFFFFFF"/>
      </patternFill>
    </fill>
  </fills>
  <borders count="16">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s>
  <cellStyleXfs count="22">
    <xf numFmtId="0" fontId="0" fillId="0" borderId="0"/>
    <xf numFmtId="0" fontId="1" fillId="0" borderId="0"/>
    <xf numFmtId="0" fontId="4" fillId="0" borderId="0"/>
    <xf numFmtId="9" fontId="4" fillId="0" borderId="0" applyFont="0" applyFill="0" applyBorder="0" applyAlignment="0" applyProtection="0"/>
    <xf numFmtId="164" fontId="1" fillId="0" borderId="0" applyFont="0" applyFill="0" applyBorder="0" applyAlignment="0" applyProtection="0"/>
    <xf numFmtId="165"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0" fontId="5" fillId="0" borderId="0"/>
    <xf numFmtId="0" fontId="1" fillId="0" borderId="0"/>
    <xf numFmtId="0" fontId="4" fillId="0" borderId="0"/>
    <xf numFmtId="9" fontId="1" fillId="0" borderId="0" applyFont="0" applyFill="0" applyBorder="0" applyAlignment="0" applyProtection="0"/>
    <xf numFmtId="9" fontId="11" fillId="0" borderId="0" applyFont="0" applyFill="0" applyBorder="0" applyAlignment="0" applyProtection="0"/>
    <xf numFmtId="43" fontId="1" fillId="0" borderId="0" applyFont="0" applyFill="0" applyBorder="0" applyAlignment="0" applyProtection="0"/>
    <xf numFmtId="176" fontId="1" fillId="0" borderId="0" applyFont="0" applyFill="0" applyBorder="0" applyAlignment="0" applyProtection="0"/>
    <xf numFmtId="175" fontId="11" fillId="0" borderId="0" applyFont="0" applyFill="0" applyBorder="0" applyAlignment="0" applyProtection="0"/>
    <xf numFmtId="42" fontId="11" fillId="0" borderId="0" applyFont="0" applyFill="0" applyBorder="0" applyAlignment="0" applyProtection="0"/>
    <xf numFmtId="43" fontId="1" fillId="0" borderId="0" applyFont="0" applyFill="0" applyBorder="0" applyAlignment="0" applyProtection="0"/>
    <xf numFmtId="41" fontId="11" fillId="0" borderId="0" applyFont="0" applyFill="0" applyBorder="0" applyAlignment="0" applyProtection="0"/>
    <xf numFmtId="42" fontId="11" fillId="0" borderId="0" applyFont="0" applyFill="0" applyBorder="0" applyAlignment="0" applyProtection="0"/>
    <xf numFmtId="44" fontId="11" fillId="0" borderId="0" applyFont="0" applyFill="0" applyBorder="0" applyAlignment="0" applyProtection="0"/>
    <xf numFmtId="0" fontId="11" fillId="0" borderId="0"/>
  </cellStyleXfs>
  <cellXfs count="312">
    <xf numFmtId="0" fontId="0" fillId="0" borderId="0" xfId="0"/>
    <xf numFmtId="0" fontId="8" fillId="0" borderId="0" xfId="0" applyFont="1" applyAlignment="1">
      <alignment vertical="center"/>
    </xf>
    <xf numFmtId="0" fontId="3" fillId="0" borderId="0" xfId="0" applyFont="1" applyAlignment="1">
      <alignment vertical="center" wrapText="1"/>
    </xf>
    <xf numFmtId="0" fontId="3" fillId="0" borderId="0" xfId="0" applyFont="1" applyAlignment="1">
      <alignment horizontal="justify" vertical="center" wrapText="1"/>
    </xf>
    <xf numFmtId="0" fontId="3" fillId="0" borderId="0" xfId="0" applyFont="1" applyAlignment="1">
      <alignment wrapText="1"/>
    </xf>
    <xf numFmtId="0" fontId="3" fillId="0" borderId="0" xfId="0" applyFont="1" applyAlignment="1">
      <alignment horizontal="justify" wrapText="1"/>
    </xf>
    <xf numFmtId="0" fontId="8" fillId="0" borderId="0" xfId="0" applyFont="1" applyAlignment="1">
      <alignment horizontal="center" vertical="center"/>
    </xf>
    <xf numFmtId="0" fontId="8" fillId="0" borderId="9" xfId="0" applyFont="1" applyBorder="1" applyAlignment="1">
      <alignment vertical="center"/>
    </xf>
    <xf numFmtId="0" fontId="9" fillId="0" borderId="14" xfId="0" applyFont="1" applyBorder="1" applyAlignment="1">
      <alignment vertical="center"/>
    </xf>
    <xf numFmtId="0" fontId="8" fillId="0" borderId="0" xfId="0" applyFont="1"/>
    <xf numFmtId="0" fontId="9" fillId="0" borderId="9" xfId="0" applyFont="1" applyBorder="1" applyAlignment="1">
      <alignment vertical="center"/>
    </xf>
    <xf numFmtId="169" fontId="8" fillId="0" borderId="9" xfId="0" applyNumberFormat="1" applyFont="1" applyBorder="1" applyAlignment="1">
      <alignment vertical="center"/>
    </xf>
    <xf numFmtId="0" fontId="8" fillId="0" borderId="0" xfId="0" applyFont="1" applyAlignment="1">
      <alignment horizontal="left"/>
    </xf>
    <xf numFmtId="169" fontId="8" fillId="0" borderId="9" xfId="0" applyNumberFormat="1" applyFont="1" applyBorder="1" applyAlignment="1">
      <alignment horizontal="right" vertical="center"/>
    </xf>
    <xf numFmtId="6" fontId="8" fillId="0" borderId="14" xfId="0" applyNumberFormat="1" applyFont="1" applyBorder="1" applyAlignment="1">
      <alignment horizontal="right" vertical="center"/>
    </xf>
    <xf numFmtId="0" fontId="23" fillId="0" borderId="0" xfId="0" applyFont="1" applyAlignment="1">
      <alignment vertical="center"/>
    </xf>
    <xf numFmtId="0" fontId="14" fillId="0" borderId="0" xfId="0" applyFont="1"/>
    <xf numFmtId="0" fontId="9" fillId="0" borderId="0" xfId="0" applyFont="1"/>
    <xf numFmtId="0" fontId="9" fillId="0" borderId="12" xfId="0" applyFont="1" applyBorder="1" applyAlignment="1">
      <alignment vertical="center"/>
    </xf>
    <xf numFmtId="6" fontId="8" fillId="0" borderId="12" xfId="0" applyNumberFormat="1" applyFont="1" applyBorder="1" applyAlignment="1">
      <alignment horizontal="right" vertical="center"/>
    </xf>
    <xf numFmtId="6" fontId="8" fillId="0" borderId="9" xfId="0" applyNumberFormat="1" applyFont="1" applyBorder="1" applyAlignment="1">
      <alignment vertical="center"/>
    </xf>
    <xf numFmtId="0" fontId="8" fillId="0" borderId="0" xfId="0" applyFont="1" applyAlignment="1">
      <alignment horizontal="left" vertical="center"/>
    </xf>
    <xf numFmtId="0" fontId="9" fillId="0" borderId="9" xfId="0" applyFont="1" applyBorder="1" applyAlignment="1">
      <alignment horizontal="center" vertical="center"/>
    </xf>
    <xf numFmtId="1" fontId="6" fillId="0" borderId="9" xfId="0" applyNumberFormat="1" applyFont="1" applyBorder="1" applyAlignment="1">
      <alignment horizontal="center" vertical="center"/>
    </xf>
    <xf numFmtId="0" fontId="6" fillId="0" borderId="9" xfId="0" applyFont="1" applyBorder="1" applyAlignment="1">
      <alignment horizontal="left" vertical="center"/>
    </xf>
    <xf numFmtId="0" fontId="8" fillId="3" borderId="9" xfId="0" applyFont="1" applyFill="1" applyBorder="1" applyAlignment="1">
      <alignment horizontal="center" vertical="center"/>
    </xf>
    <xf numFmtId="49" fontId="6" fillId="0" borderId="9" xfId="0" applyNumberFormat="1" applyFont="1" applyBorder="1" applyAlignment="1">
      <alignment horizontal="center" vertical="center"/>
    </xf>
    <xf numFmtId="0" fontId="25" fillId="5" borderId="9" xfId="0" applyFont="1" applyFill="1" applyBorder="1" applyAlignment="1">
      <alignment vertical="center"/>
    </xf>
    <xf numFmtId="0" fontId="15" fillId="0" borderId="0" xfId="0" applyFont="1" applyAlignment="1">
      <alignment horizontal="center" vertical="center" wrapText="1"/>
    </xf>
    <xf numFmtId="0" fontId="2" fillId="2" borderId="9" xfId="0" applyFont="1" applyFill="1" applyBorder="1" applyAlignment="1">
      <alignment horizontal="center" vertical="center" wrapText="1"/>
    </xf>
    <xf numFmtId="0" fontId="9" fillId="0" borderId="2" xfId="0" applyFont="1" applyBorder="1" applyAlignment="1">
      <alignment horizontal="center" vertical="center" wrapText="1"/>
    </xf>
    <xf numFmtId="0" fontId="9" fillId="0" borderId="0" xfId="0" applyFont="1" applyAlignment="1">
      <alignment horizontal="center" vertical="center" wrapText="1"/>
    </xf>
    <xf numFmtId="0" fontId="9" fillId="0" borderId="7" xfId="0" applyFont="1" applyBorder="1" applyAlignment="1">
      <alignment horizontal="center" vertical="center" wrapText="1"/>
    </xf>
    <xf numFmtId="0" fontId="8" fillId="0" borderId="9" xfId="0" applyFont="1" applyBorder="1" applyAlignment="1">
      <alignment horizontal="left" vertical="center" wrapText="1"/>
    </xf>
    <xf numFmtId="0" fontId="8" fillId="0" borderId="9" xfId="0" applyFont="1" applyBorder="1" applyAlignment="1">
      <alignment vertical="center" wrapText="1"/>
    </xf>
    <xf numFmtId="0" fontId="8" fillId="0" borderId="9" xfId="0" applyFont="1" applyBorder="1" applyAlignment="1">
      <alignment horizontal="left" vertical="center"/>
    </xf>
    <xf numFmtId="10" fontId="3" fillId="0" borderId="0" xfId="0" applyNumberFormat="1" applyFont="1"/>
    <xf numFmtId="0" fontId="2" fillId="2" borderId="9" xfId="0" applyFont="1" applyFill="1" applyBorder="1" applyAlignment="1">
      <alignment vertical="center" wrapText="1"/>
    </xf>
    <xf numFmtId="167" fontId="3" fillId="0" borderId="9" xfId="0" applyNumberFormat="1" applyFont="1" applyBorder="1" applyAlignment="1">
      <alignment horizontal="center" vertical="center" wrapText="1"/>
    </xf>
    <xf numFmtId="167" fontId="3" fillId="0" borderId="9" xfId="0" applyNumberFormat="1" applyFont="1" applyBorder="1" applyAlignment="1">
      <alignment vertical="center" wrapText="1"/>
    </xf>
    <xf numFmtId="0" fontId="8" fillId="0" borderId="9" xfId="0" applyFont="1" applyBorder="1"/>
    <xf numFmtId="0" fontId="9" fillId="2" borderId="9" xfId="0" applyFont="1" applyFill="1" applyBorder="1"/>
    <xf numFmtId="0" fontId="8" fillId="7" borderId="9" xfId="0" applyFont="1" applyFill="1" applyBorder="1" applyAlignment="1">
      <alignment vertical="center"/>
    </xf>
    <xf numFmtId="0" fontId="8" fillId="7" borderId="9" xfId="0" applyFont="1" applyFill="1" applyBorder="1" applyAlignment="1">
      <alignment horizontal="left" vertical="center"/>
    </xf>
    <xf numFmtId="0" fontId="8" fillId="8" borderId="9" xfId="0" applyFont="1" applyFill="1" applyBorder="1" applyAlignment="1">
      <alignment vertical="center"/>
    </xf>
    <xf numFmtId="0" fontId="3" fillId="0" borderId="9" xfId="0" applyFont="1" applyBorder="1" applyAlignment="1">
      <alignment horizontal="center" vertical="center"/>
    </xf>
    <xf numFmtId="10" fontId="3" fillId="0" borderId="0" xfId="0" applyNumberFormat="1" applyFont="1" applyAlignment="1">
      <alignment horizontal="left" vertical="center"/>
    </xf>
    <xf numFmtId="0" fontId="3" fillId="0" borderId="0" xfId="0" applyFont="1" applyAlignment="1">
      <alignment horizontal="left" vertical="center" wrapText="1"/>
    </xf>
    <xf numFmtId="9" fontId="3" fillId="0" borderId="9" xfId="0" applyNumberFormat="1" applyFont="1" applyBorder="1" applyAlignment="1">
      <alignment horizontal="center" vertical="center"/>
    </xf>
    <xf numFmtId="0" fontId="2" fillId="4" borderId="9" xfId="0" applyFont="1" applyFill="1" applyBorder="1" applyAlignment="1">
      <alignment horizontal="center" vertical="center" wrapText="1"/>
    </xf>
    <xf numFmtId="41" fontId="3" fillId="0" borderId="0" xfId="0" applyNumberFormat="1" applyFont="1" applyAlignment="1">
      <alignment wrapText="1"/>
    </xf>
    <xf numFmtId="0" fontId="3" fillId="3" borderId="9" xfId="0" applyFont="1" applyFill="1" applyBorder="1" applyAlignment="1" applyProtection="1">
      <alignment horizontal="center" vertical="center" wrapText="1"/>
      <protection locked="0"/>
    </xf>
    <xf numFmtId="10" fontId="3" fillId="3" borderId="9" xfId="0" applyNumberFormat="1" applyFont="1" applyFill="1" applyBorder="1" applyAlignment="1" applyProtection="1">
      <alignment horizontal="center" vertical="center" wrapText="1"/>
      <protection locked="0"/>
    </xf>
    <xf numFmtId="167" fontId="3" fillId="3" borderId="9" xfId="0" applyNumberFormat="1" applyFont="1" applyFill="1" applyBorder="1" applyAlignment="1" applyProtection="1">
      <alignment horizontal="center" vertical="center" wrapText="1"/>
      <protection locked="0"/>
    </xf>
    <xf numFmtId="167" fontId="3" fillId="3" borderId="11" xfId="12" applyNumberFormat="1" applyFont="1" applyFill="1" applyBorder="1" applyAlignment="1" applyProtection="1">
      <alignment horizontal="right" vertical="center"/>
      <protection locked="0"/>
    </xf>
    <xf numFmtId="173" fontId="5" fillId="0" borderId="9" xfId="12" applyNumberFormat="1" applyFont="1" applyFill="1" applyBorder="1" applyAlignment="1" applyProtection="1">
      <alignment horizontal="center" vertical="center" wrapText="1"/>
    </xf>
    <xf numFmtId="173" fontId="3" fillId="0" borderId="9" xfId="12" applyNumberFormat="1" applyFont="1" applyBorder="1" applyAlignment="1" applyProtection="1">
      <alignment horizontal="center" vertical="center" wrapText="1"/>
    </xf>
    <xf numFmtId="177" fontId="3" fillId="0" borderId="0" xfId="0" applyNumberFormat="1" applyFont="1" applyAlignment="1">
      <alignment wrapText="1"/>
    </xf>
    <xf numFmtId="0" fontId="2" fillId="2" borderId="10" xfId="0" applyFont="1" applyFill="1" applyBorder="1" applyAlignment="1">
      <alignment horizontal="center" vertical="center" wrapText="1"/>
    </xf>
    <xf numFmtId="0" fontId="3" fillId="0" borderId="9" xfId="0" applyFont="1" applyBorder="1" applyAlignment="1">
      <alignment horizontal="center" vertical="center" wrapText="1"/>
    </xf>
    <xf numFmtId="0" fontId="2" fillId="2" borderId="13" xfId="0" applyFont="1" applyFill="1" applyBorder="1" applyAlignment="1">
      <alignment horizontal="center" vertical="center" wrapText="1"/>
    </xf>
    <xf numFmtId="44" fontId="3" fillId="0" borderId="0" xfId="20" applyFont="1" applyAlignment="1">
      <alignment wrapText="1"/>
    </xf>
    <xf numFmtId="170" fontId="3" fillId="0" borderId="9" xfId="0" applyNumberFormat="1" applyFont="1" applyBorder="1" applyAlignment="1">
      <alignment horizontal="center" vertical="center" wrapText="1"/>
    </xf>
    <xf numFmtId="0" fontId="3" fillId="0" borderId="9" xfId="0" applyFont="1" applyBorder="1" applyAlignment="1">
      <alignment vertical="center" wrapText="1"/>
    </xf>
    <xf numFmtId="10" fontId="3" fillId="0" borderId="9" xfId="0" applyNumberFormat="1" applyFont="1" applyBorder="1" applyAlignment="1">
      <alignment horizontal="center" vertical="center" wrapText="1"/>
    </xf>
    <xf numFmtId="9" fontId="3" fillId="0" borderId="9" xfId="0" applyNumberFormat="1" applyFont="1" applyBorder="1" applyAlignment="1">
      <alignment horizontal="center" vertical="center" wrapText="1"/>
    </xf>
    <xf numFmtId="0" fontId="10" fillId="0" borderId="9" xfId="0" applyFont="1" applyBorder="1" applyAlignment="1">
      <alignment vertical="center" wrapText="1"/>
    </xf>
    <xf numFmtId="0" fontId="2" fillId="0" borderId="9" xfId="0" applyFont="1" applyBorder="1" applyAlignment="1">
      <alignment horizontal="center" vertical="center" wrapText="1"/>
    </xf>
    <xf numFmtId="0" fontId="2" fillId="0" borderId="0" xfId="0" applyFont="1" applyAlignment="1">
      <alignment horizontal="left" vertical="top" wrapText="1"/>
    </xf>
    <xf numFmtId="0" fontId="2" fillId="0" borderId="0" xfId="0" applyFont="1" applyAlignment="1">
      <alignment horizontal="center" vertical="top" wrapText="1"/>
    </xf>
    <xf numFmtId="0" fontId="3" fillId="0" borderId="0" xfId="0" applyFont="1" applyAlignment="1">
      <alignment horizontal="center" vertical="center" wrapText="1"/>
    </xf>
    <xf numFmtId="168" fontId="13" fillId="0" borderId="9" xfId="0" applyNumberFormat="1" applyFont="1" applyBorder="1" applyAlignment="1">
      <alignment horizontal="center" vertical="center" wrapText="1"/>
    </xf>
    <xf numFmtId="174" fontId="13" fillId="0" borderId="13" xfId="0" applyNumberFormat="1" applyFont="1" applyBorder="1" applyAlignment="1">
      <alignment horizontal="center" vertical="center" wrapText="1"/>
    </xf>
    <xf numFmtId="0" fontId="2" fillId="2" borderId="6" xfId="0" applyFont="1" applyFill="1" applyBorder="1" applyAlignment="1">
      <alignment horizontal="center" vertical="center" wrapText="1"/>
    </xf>
    <xf numFmtId="0" fontId="12" fillId="2" borderId="9"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31" fillId="0" borderId="9" xfId="0" applyFont="1" applyBorder="1" applyAlignment="1">
      <alignment horizontal="center" vertical="center" wrapText="1"/>
    </xf>
    <xf numFmtId="0" fontId="2" fillId="4" borderId="9" xfId="0" applyFont="1" applyFill="1" applyBorder="1" applyAlignment="1">
      <alignment horizontal="center" vertical="center"/>
    </xf>
    <xf numFmtId="167" fontId="3" fillId="0" borderId="9" xfId="0" applyNumberFormat="1" applyFont="1" applyBorder="1" applyAlignment="1">
      <alignment horizontal="right" vertical="center"/>
    </xf>
    <xf numFmtId="167" fontId="2" fillId="2" borderId="9" xfId="0" applyNumberFormat="1" applyFont="1" applyFill="1" applyBorder="1" applyAlignment="1">
      <alignment horizontal="right" vertical="center"/>
    </xf>
    <xf numFmtId="174" fontId="13" fillId="0" borderId="9" xfId="0" applyNumberFormat="1" applyFont="1" applyBorder="1" applyAlignment="1">
      <alignment horizontal="center" vertical="center" wrapText="1"/>
    </xf>
    <xf numFmtId="167" fontId="2" fillId="0" borderId="9" xfId="0" applyNumberFormat="1" applyFont="1" applyBorder="1" applyAlignment="1">
      <alignment vertical="center" wrapText="1"/>
    </xf>
    <xf numFmtId="167" fontId="3" fillId="0" borderId="0" xfId="0" applyNumberFormat="1" applyFont="1" applyAlignment="1">
      <alignment horizontal="center" vertical="center" wrapText="1"/>
    </xf>
    <xf numFmtId="0" fontId="12" fillId="0" borderId="2" xfId="0" applyFont="1" applyBorder="1" applyAlignment="1">
      <alignment horizontal="center" vertical="center" wrapText="1"/>
    </xf>
    <xf numFmtId="167" fontId="3" fillId="0" borderId="2" xfId="0" applyNumberFormat="1" applyFont="1" applyBorder="1" applyAlignment="1">
      <alignment horizontal="center" vertical="center" wrapText="1"/>
    </xf>
    <xf numFmtId="0" fontId="3" fillId="2" borderId="13" xfId="0" applyFont="1" applyFill="1" applyBorder="1" applyAlignment="1">
      <alignment horizontal="center" vertical="center" wrapText="1"/>
    </xf>
    <xf numFmtId="0" fontId="2" fillId="0" borderId="0" xfId="0" applyFont="1" applyAlignment="1">
      <alignment horizontal="center" vertical="center" wrapText="1"/>
    </xf>
    <xf numFmtId="0" fontId="7" fillId="0" borderId="9" xfId="0" applyFont="1" applyBorder="1" applyAlignment="1">
      <alignment horizontal="justify" vertical="center" wrapText="1"/>
    </xf>
    <xf numFmtId="0" fontId="7" fillId="0" borderId="9" xfId="0" applyFont="1" applyBorder="1" applyAlignment="1">
      <alignment horizontal="left" vertical="center" wrapText="1"/>
    </xf>
    <xf numFmtId="0" fontId="7" fillId="0" borderId="9" xfId="0" applyFont="1" applyBorder="1" applyAlignment="1">
      <alignment vertical="center" wrapText="1"/>
    </xf>
    <xf numFmtId="0" fontId="42" fillId="0" borderId="10" xfId="0" applyFont="1" applyBorder="1" applyAlignment="1">
      <alignment vertical="center" wrapText="1"/>
    </xf>
    <xf numFmtId="0" fontId="42" fillId="0" borderId="9" xfId="0" applyFont="1" applyBorder="1" applyAlignment="1">
      <alignment horizontal="left" vertical="center" wrapText="1"/>
    </xf>
    <xf numFmtId="14" fontId="3" fillId="3" borderId="9" xfId="0" applyNumberFormat="1" applyFont="1" applyFill="1" applyBorder="1" applyAlignment="1" applyProtection="1">
      <alignment horizontal="center" vertical="center" wrapText="1"/>
      <protection locked="0"/>
    </xf>
    <xf numFmtId="170" fontId="3" fillId="0" borderId="0" xfId="0" applyNumberFormat="1" applyFont="1" applyAlignment="1">
      <alignment horizontal="center" vertical="center" wrapText="1"/>
    </xf>
    <xf numFmtId="0" fontId="41" fillId="0" borderId="9" xfId="0" applyFont="1" applyBorder="1" applyAlignment="1">
      <alignment vertical="center"/>
    </xf>
    <xf numFmtId="15" fontId="3" fillId="3" borderId="9" xfId="0" applyNumberFormat="1" applyFont="1" applyFill="1" applyBorder="1" applyAlignment="1" applyProtection="1">
      <alignment horizontal="center" vertical="center" wrapText="1"/>
      <protection locked="0"/>
    </xf>
    <xf numFmtId="167" fontId="43" fillId="0" borderId="0" xfId="0" applyNumberFormat="1" applyFont="1" applyAlignment="1" applyProtection="1">
      <alignment horizontal="center" vertical="center" wrapText="1"/>
      <protection locked="0"/>
    </xf>
    <xf numFmtId="167" fontId="43" fillId="0" borderId="0" xfId="0" applyNumberFormat="1" applyFont="1" applyAlignment="1">
      <alignment horizontal="center" vertical="top" wrapText="1"/>
    </xf>
    <xf numFmtId="167" fontId="43" fillId="0" borderId="0" xfId="0" applyNumberFormat="1" applyFont="1" applyAlignment="1">
      <alignment horizontal="left" vertical="top" wrapText="1"/>
    </xf>
    <xf numFmtId="167" fontId="43" fillId="0" borderId="0" xfId="0" applyNumberFormat="1" applyFont="1" applyAlignment="1">
      <alignment wrapText="1"/>
    </xf>
    <xf numFmtId="167" fontId="3" fillId="0" borderId="10" xfId="0" applyNumberFormat="1" applyFont="1" applyBorder="1" applyAlignment="1">
      <alignment horizontal="center" vertical="center" wrapText="1"/>
    </xf>
    <xf numFmtId="0" fontId="2" fillId="6" borderId="9" xfId="0" applyFont="1" applyFill="1" applyBorder="1" applyAlignment="1">
      <alignment horizontal="center" vertical="center" wrapText="1"/>
    </xf>
    <xf numFmtId="0" fontId="2" fillId="7" borderId="9" xfId="0" applyFont="1" applyFill="1" applyBorder="1" applyAlignment="1">
      <alignment horizontal="center" vertical="center" wrapText="1"/>
    </xf>
    <xf numFmtId="167" fontId="3" fillId="0" borderId="0" xfId="0" applyNumberFormat="1" applyFont="1" applyAlignment="1">
      <alignment vertical="center" wrapText="1"/>
    </xf>
    <xf numFmtId="167" fontId="3" fillId="0" borderId="10" xfId="0" applyNumberFormat="1" applyFont="1" applyBorder="1" applyAlignment="1">
      <alignment vertical="center" wrapText="1"/>
    </xf>
    <xf numFmtId="0" fontId="3" fillId="0" borderId="14" xfId="0" applyFont="1" applyBorder="1" applyAlignment="1">
      <alignment horizontal="center" vertical="center" wrapText="1"/>
    </xf>
    <xf numFmtId="10" fontId="3" fillId="0" borderId="14" xfId="0" applyNumberFormat="1" applyFont="1" applyBorder="1" applyAlignment="1">
      <alignment horizontal="center" vertical="center"/>
    </xf>
    <xf numFmtId="0" fontId="3" fillId="0" borderId="10" xfId="0" applyFont="1" applyBorder="1" applyAlignment="1">
      <alignment horizontal="center" vertical="center" wrapText="1"/>
    </xf>
    <xf numFmtId="0" fontId="3" fillId="0" borderId="2" xfId="0" applyFont="1" applyBorder="1" applyAlignment="1">
      <alignment horizontal="center" vertical="center"/>
    </xf>
    <xf numFmtId="10" fontId="3" fillId="0" borderId="2" xfId="0" applyNumberFormat="1" applyFont="1" applyBorder="1" applyAlignment="1">
      <alignment vertical="center"/>
    </xf>
    <xf numFmtId="0" fontId="7" fillId="0" borderId="0" xfId="0" applyFont="1" applyAlignment="1">
      <alignment horizontal="center" vertical="center" wrapText="1"/>
    </xf>
    <xf numFmtId="14" fontId="3" fillId="0" borderId="9" xfId="0" applyNumberFormat="1" applyFont="1" applyBorder="1" applyAlignment="1">
      <alignment vertical="center" wrapText="1"/>
    </xf>
    <xf numFmtId="9" fontId="3" fillId="0" borderId="9" xfId="0" applyNumberFormat="1" applyFont="1" applyBorder="1" applyAlignment="1">
      <alignment vertical="center" wrapText="1"/>
    </xf>
    <xf numFmtId="167" fontId="3" fillId="0" borderId="4" xfId="0" applyNumberFormat="1" applyFont="1" applyBorder="1" applyAlignment="1">
      <alignment horizontal="center" vertical="center" wrapText="1"/>
    </xf>
    <xf numFmtId="0" fontId="3" fillId="0" borderId="14" xfId="0" applyFont="1" applyBorder="1" applyAlignment="1">
      <alignment horizontal="center" vertical="center"/>
    </xf>
    <xf numFmtId="170" fontId="3" fillId="0" borderId="14" xfId="0" applyNumberFormat="1" applyFont="1" applyBorder="1" applyAlignment="1">
      <alignment horizontal="center" vertical="center" wrapText="1"/>
    </xf>
    <xf numFmtId="0" fontId="3" fillId="0" borderId="14" xfId="0" applyFont="1" applyBorder="1" applyAlignment="1">
      <alignment vertical="center" wrapText="1"/>
    </xf>
    <xf numFmtId="0" fontId="10" fillId="0" borderId="14" xfId="0" applyFont="1" applyBorder="1" applyAlignment="1">
      <alignment vertical="center" wrapText="1"/>
    </xf>
    <xf numFmtId="10" fontId="3" fillId="0" borderId="14" xfId="0" applyNumberFormat="1" applyFont="1" applyBorder="1" applyAlignment="1">
      <alignment horizontal="center" vertical="center" wrapText="1"/>
    </xf>
    <xf numFmtId="9" fontId="3" fillId="0" borderId="14" xfId="0" applyNumberFormat="1" applyFont="1" applyBorder="1" applyAlignment="1">
      <alignment horizontal="center" vertical="center" wrapText="1"/>
    </xf>
    <xf numFmtId="0" fontId="2" fillId="0" borderId="7" xfId="0" applyFont="1" applyBorder="1" applyAlignment="1">
      <alignment horizontal="center" vertical="center" wrapText="1"/>
    </xf>
    <xf numFmtId="167" fontId="3" fillId="0" borderId="7" xfId="0" applyNumberFormat="1" applyFont="1" applyBorder="1" applyAlignment="1">
      <alignment horizontal="center" vertical="center" wrapText="1"/>
    </xf>
    <xf numFmtId="0" fontId="3" fillId="0" borderId="7" xfId="0" applyFont="1" applyBorder="1" applyAlignment="1">
      <alignment vertical="center" wrapText="1"/>
    </xf>
    <xf numFmtId="0" fontId="2" fillId="4" borderId="13" xfId="0" applyFont="1" applyFill="1" applyBorder="1" applyAlignment="1">
      <alignment horizontal="center" vertical="center" wrapText="1"/>
    </xf>
    <xf numFmtId="167" fontId="3" fillId="0" borderId="13" xfId="0" applyNumberFormat="1" applyFont="1" applyBorder="1" applyAlignment="1">
      <alignment horizontal="center" vertical="center" wrapText="1"/>
    </xf>
    <xf numFmtId="10" fontId="3" fillId="0" borderId="0" xfId="0" applyNumberFormat="1" applyFont="1" applyAlignment="1">
      <alignment horizontal="center" vertical="center" wrapText="1"/>
    </xf>
    <xf numFmtId="9" fontId="3" fillId="0" borderId="0" xfId="0" applyNumberFormat="1" applyFont="1" applyAlignment="1">
      <alignment horizontal="center" vertical="center" wrapText="1"/>
    </xf>
    <xf numFmtId="0" fontId="7" fillId="0" borderId="0" xfId="0" applyFont="1" applyAlignment="1">
      <alignment horizontal="left" wrapText="1"/>
    </xf>
    <xf numFmtId="0" fontId="20" fillId="2" borderId="9" xfId="0" applyFont="1" applyFill="1" applyBorder="1" applyAlignment="1">
      <alignment horizontal="center" vertical="center" wrapText="1"/>
    </xf>
    <xf numFmtId="0" fontId="20" fillId="2" borderId="10" xfId="0" applyFont="1" applyFill="1" applyBorder="1" applyAlignment="1">
      <alignment horizontal="center" vertical="center" wrapText="1"/>
    </xf>
    <xf numFmtId="0" fontId="20" fillId="0" borderId="4" xfId="0" applyFont="1" applyBorder="1" applyAlignment="1">
      <alignment horizontal="center" vertical="center" wrapText="1"/>
    </xf>
    <xf numFmtId="0" fontId="20" fillId="0" borderId="0" xfId="0" applyFont="1" applyAlignment="1">
      <alignment horizontal="center" vertical="center" wrapText="1"/>
    </xf>
    <xf numFmtId="0" fontId="7" fillId="0" borderId="9" xfId="0" quotePrefix="1" applyFont="1" applyBorder="1" applyAlignment="1">
      <alignment horizontal="left" wrapText="1"/>
    </xf>
    <xf numFmtId="0" fontId="7" fillId="0" borderId="10" xfId="0" applyFont="1" applyBorder="1" applyAlignment="1">
      <alignment horizontal="center" vertical="center" wrapText="1"/>
    </xf>
    <xf numFmtId="0" fontId="7" fillId="0" borderId="4" xfId="0" quotePrefix="1" applyFont="1" applyBorder="1" applyAlignment="1">
      <alignment horizontal="left" wrapText="1"/>
    </xf>
    <xf numFmtId="0" fontId="19" fillId="0" borderId="0" xfId="0" applyFont="1" applyAlignment="1">
      <alignment vertical="center" wrapText="1"/>
    </xf>
    <xf numFmtId="0" fontId="3" fillId="0" borderId="4" xfId="0" applyFont="1" applyBorder="1" applyAlignment="1">
      <alignment horizontal="center" vertical="center" wrapText="1"/>
    </xf>
    <xf numFmtId="174" fontId="13" fillId="0" borderId="4" xfId="0" applyNumberFormat="1" applyFont="1" applyBorder="1" applyAlignment="1">
      <alignment horizontal="center" vertical="center" wrapText="1"/>
    </xf>
    <xf numFmtId="174" fontId="13" fillId="0" borderId="0" xfId="0" applyNumberFormat="1" applyFont="1" applyAlignment="1">
      <alignment horizontal="center" vertical="center" wrapText="1"/>
    </xf>
    <xf numFmtId="178" fontId="3" fillId="0" borderId="2" xfId="0" applyNumberFormat="1" applyFont="1" applyBorder="1" applyAlignment="1">
      <alignment horizontal="center" vertical="center" wrapText="1"/>
    </xf>
    <xf numFmtId="2" fontId="3" fillId="0" borderId="2" xfId="0" applyNumberFormat="1" applyFont="1" applyBorder="1" applyAlignment="1">
      <alignment horizontal="center" vertical="center" wrapText="1"/>
    </xf>
    <xf numFmtId="0" fontId="2" fillId="2" borderId="10" xfId="0" applyFont="1" applyFill="1" applyBorder="1" applyAlignment="1">
      <alignment vertical="center" wrapText="1"/>
    </xf>
    <xf numFmtId="167" fontId="2" fillId="0" borderId="10" xfId="0" applyNumberFormat="1" applyFont="1" applyBorder="1" applyAlignment="1">
      <alignment vertical="center" wrapText="1"/>
    </xf>
    <xf numFmtId="0" fontId="2" fillId="0" borderId="0" xfId="0" applyFont="1" applyAlignment="1">
      <alignment vertical="center" wrapText="1"/>
    </xf>
    <xf numFmtId="0" fontId="3" fillId="0" borderId="10" xfId="0" applyFont="1" applyBorder="1" applyAlignment="1">
      <alignment vertical="center" wrapText="1"/>
    </xf>
    <xf numFmtId="0" fontId="2" fillId="0" borderId="4" xfId="0" applyFont="1" applyBorder="1" applyAlignment="1">
      <alignment vertical="top" wrapText="1"/>
    </xf>
    <xf numFmtId="0" fontId="2" fillId="11" borderId="9" xfId="0" applyFont="1" applyFill="1" applyBorder="1" applyAlignment="1">
      <alignment horizontal="center" vertical="center" wrapText="1"/>
    </xf>
    <xf numFmtId="167" fontId="2" fillId="11" borderId="9" xfId="0" applyNumberFormat="1" applyFont="1" applyFill="1" applyBorder="1" applyAlignment="1" applyProtection="1">
      <alignment horizontal="center" vertical="center" wrapText="1"/>
      <protection locked="0"/>
    </xf>
    <xf numFmtId="167" fontId="3" fillId="0" borderId="9" xfId="0" applyNumberFormat="1" applyFont="1" applyBorder="1" applyAlignment="1" applyProtection="1">
      <alignment horizontal="center" vertical="center" wrapText="1"/>
      <protection locked="0"/>
    </xf>
    <xf numFmtId="0" fontId="2" fillId="0" borderId="12" xfId="0" applyFont="1" applyBorder="1" applyAlignment="1">
      <alignment vertical="center" wrapText="1"/>
    </xf>
    <xf numFmtId="0" fontId="2" fillId="0" borderId="11" xfId="0" applyFont="1" applyBorder="1" applyAlignment="1">
      <alignment vertical="center" wrapText="1"/>
    </xf>
    <xf numFmtId="167" fontId="3" fillId="3" borderId="9" xfId="12" applyNumberFormat="1" applyFont="1" applyFill="1" applyBorder="1" applyAlignment="1" applyProtection="1">
      <alignment horizontal="right" vertical="center"/>
      <protection locked="0"/>
    </xf>
    <xf numFmtId="0" fontId="2" fillId="0" borderId="9" xfId="0" applyFont="1" applyBorder="1" applyAlignment="1">
      <alignment vertical="center" wrapText="1"/>
    </xf>
    <xf numFmtId="167" fontId="3" fillId="0" borderId="9" xfId="12" applyNumberFormat="1" applyFont="1" applyFill="1" applyBorder="1" applyAlignment="1" applyProtection="1">
      <alignment horizontal="right" vertical="center"/>
      <protection locked="0"/>
    </xf>
    <xf numFmtId="167" fontId="2" fillId="2" borderId="9" xfId="0" applyNumberFormat="1" applyFont="1" applyFill="1" applyBorder="1" applyAlignment="1">
      <alignment vertical="center" wrapText="1"/>
    </xf>
    <xf numFmtId="167" fontId="2" fillId="2" borderId="9" xfId="12" applyNumberFormat="1" applyFont="1" applyFill="1" applyBorder="1" applyAlignment="1" applyProtection="1">
      <alignment horizontal="right" vertical="center"/>
      <protection locked="0"/>
    </xf>
    <xf numFmtId="0" fontId="2" fillId="0" borderId="4" xfId="0" applyFont="1" applyBorder="1" applyAlignment="1">
      <alignment horizontal="center" vertical="center" wrapText="1"/>
    </xf>
    <xf numFmtId="2" fontId="3" fillId="0" borderId="0" xfId="0" applyNumberFormat="1" applyFont="1" applyAlignment="1">
      <alignment horizontal="center" vertical="center" wrapText="1"/>
    </xf>
    <xf numFmtId="0" fontId="19" fillId="0" borderId="4" xfId="0" applyFont="1" applyBorder="1" applyAlignment="1">
      <alignment vertical="center" wrapText="1"/>
    </xf>
    <xf numFmtId="170" fontId="45" fillId="0" borderId="15" xfId="0" applyNumberFormat="1" applyFont="1" applyBorder="1" applyAlignment="1">
      <alignment horizontal="center" vertical="center" wrapText="1"/>
    </xf>
    <xf numFmtId="0" fontId="45" fillId="0" borderId="9" xfId="0" applyFont="1" applyBorder="1" applyAlignment="1">
      <alignment vertical="center" wrapText="1"/>
    </xf>
    <xf numFmtId="170" fontId="46" fillId="0" borderId="15" xfId="0" applyNumberFormat="1" applyFont="1" applyBorder="1" applyAlignment="1">
      <alignment horizontal="center" vertical="center" wrapText="1"/>
    </xf>
    <xf numFmtId="0" fontId="46" fillId="0" borderId="9" xfId="0" applyFont="1" applyBorder="1" applyAlignment="1">
      <alignment vertical="center" wrapText="1"/>
    </xf>
    <xf numFmtId="0" fontId="3" fillId="0" borderId="0" xfId="0" applyFont="1" applyAlignment="1">
      <alignment horizontal="center" vertical="center"/>
    </xf>
    <xf numFmtId="167" fontId="47" fillId="12" borderId="9" xfId="0" applyNumberFormat="1" applyFont="1" applyFill="1" applyBorder="1" applyAlignment="1">
      <alignment horizontal="center" vertical="center" wrapText="1"/>
    </xf>
    <xf numFmtId="0" fontId="13" fillId="0" borderId="9" xfId="0" applyFont="1" applyBorder="1" applyAlignment="1">
      <alignment vertical="center" wrapText="1"/>
    </xf>
    <xf numFmtId="167" fontId="3" fillId="0" borderId="4" xfId="0" applyNumberFormat="1" applyFont="1" applyBorder="1" applyAlignment="1">
      <alignment vertical="center" wrapText="1"/>
    </xf>
    <xf numFmtId="0" fontId="13" fillId="0" borderId="9" xfId="0" applyFont="1" applyBorder="1" applyAlignment="1">
      <alignment horizontal="center" vertical="center" wrapText="1"/>
    </xf>
    <xf numFmtId="0" fontId="19" fillId="7" borderId="9" xfId="0" applyFont="1" applyFill="1" applyBorder="1" applyAlignment="1">
      <alignment horizontal="center" vertical="center" wrapText="1"/>
    </xf>
    <xf numFmtId="0" fontId="2" fillId="2" borderId="9" xfId="0" applyFont="1" applyFill="1" applyBorder="1" applyAlignment="1">
      <alignment horizontal="center" vertical="center" wrapText="1"/>
    </xf>
    <xf numFmtId="0" fontId="19" fillId="8" borderId="9" xfId="0" applyFont="1" applyFill="1" applyBorder="1" applyAlignment="1">
      <alignment horizontal="center" vertical="center" wrapText="1"/>
    </xf>
    <xf numFmtId="0" fontId="19" fillId="9" borderId="10" xfId="0" applyFont="1" applyFill="1" applyBorder="1" applyAlignment="1">
      <alignment horizontal="center" vertical="center" wrapText="1"/>
    </xf>
    <xf numFmtId="0" fontId="19" fillId="9" borderId="12" xfId="0" applyFont="1" applyFill="1" applyBorder="1" applyAlignment="1">
      <alignment horizontal="center" vertical="center" wrapText="1"/>
    </xf>
    <xf numFmtId="0" fontId="2" fillId="2" borderId="10"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2" fillId="0" borderId="10"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1" xfId="0" applyFont="1" applyBorder="1" applyAlignment="1">
      <alignment horizontal="center" vertical="center" wrapText="1"/>
    </xf>
    <xf numFmtId="0" fontId="19" fillId="2" borderId="9" xfId="0" applyFont="1" applyFill="1" applyBorder="1" applyAlignment="1">
      <alignment horizontal="center" vertical="center" wrapText="1"/>
    </xf>
    <xf numFmtId="0" fontId="19" fillId="6" borderId="9" xfId="0" applyFont="1" applyFill="1" applyBorder="1" applyAlignment="1">
      <alignment horizontal="center" vertical="center" wrapText="1"/>
    </xf>
    <xf numFmtId="0" fontId="3" fillId="0" borderId="10" xfId="0" applyFont="1" applyBorder="1" applyAlignment="1">
      <alignment horizontal="center" vertical="center"/>
    </xf>
    <xf numFmtId="0" fontId="3" fillId="0" borderId="12" xfId="0" applyFont="1" applyBorder="1" applyAlignment="1">
      <alignment horizontal="center" vertical="center"/>
    </xf>
    <xf numFmtId="0" fontId="3" fillId="0" borderId="11" xfId="0" applyFont="1" applyBorder="1" applyAlignment="1">
      <alignment horizontal="center" vertical="center"/>
    </xf>
    <xf numFmtId="0" fontId="3" fillId="0" borderId="9" xfId="0" applyFont="1" applyBorder="1" applyAlignment="1">
      <alignment horizontal="center" vertical="center"/>
    </xf>
    <xf numFmtId="0" fontId="2" fillId="2" borderId="12" xfId="0" applyFont="1" applyFill="1" applyBorder="1" applyAlignment="1">
      <alignment horizontal="center" vertical="center"/>
    </xf>
    <xf numFmtId="0" fontId="2" fillId="2" borderId="11" xfId="0" applyFont="1" applyFill="1" applyBorder="1" applyAlignment="1">
      <alignment horizontal="center" vertical="center"/>
    </xf>
    <xf numFmtId="0" fontId="19" fillId="0" borderId="1" xfId="0" applyFont="1" applyBorder="1" applyAlignment="1">
      <alignment horizontal="center" vertical="center" wrapText="1"/>
    </xf>
    <xf numFmtId="0" fontId="19" fillId="0" borderId="2" xfId="0" applyFont="1" applyBorder="1" applyAlignment="1">
      <alignment horizontal="center" vertical="center" wrapText="1"/>
    </xf>
    <xf numFmtId="0" fontId="19" fillId="0" borderId="3" xfId="0" applyFont="1" applyBorder="1" applyAlignment="1">
      <alignment horizontal="center" vertical="center" wrapText="1"/>
    </xf>
    <xf numFmtId="0" fontId="19" fillId="0" borderId="4" xfId="0" applyFont="1" applyBorder="1" applyAlignment="1">
      <alignment horizontal="center" vertical="center" wrapText="1"/>
    </xf>
    <xf numFmtId="0" fontId="19" fillId="0" borderId="0" xfId="0" applyFont="1" applyAlignment="1">
      <alignment horizontal="center" vertical="center" wrapText="1"/>
    </xf>
    <xf numFmtId="0" fontId="19" fillId="0" borderId="5" xfId="0" applyFont="1" applyBorder="1" applyAlignment="1">
      <alignment horizontal="center" vertical="center" wrapText="1"/>
    </xf>
    <xf numFmtId="0" fontId="19" fillId="0" borderId="6" xfId="0" applyFont="1" applyBorder="1" applyAlignment="1">
      <alignment horizontal="center" vertical="center" wrapText="1"/>
    </xf>
    <xf numFmtId="0" fontId="19" fillId="0" borderId="7" xfId="0" applyFont="1" applyBorder="1" applyAlignment="1">
      <alignment horizontal="center" vertical="center" wrapText="1"/>
    </xf>
    <xf numFmtId="0" fontId="19" fillId="0" borderId="8" xfId="0" applyFont="1" applyBorder="1" applyAlignment="1">
      <alignment horizontal="center" vertical="center" wrapText="1"/>
    </xf>
    <xf numFmtId="0" fontId="19" fillId="4" borderId="9" xfId="0" applyFont="1" applyFill="1" applyBorder="1" applyAlignment="1">
      <alignment horizontal="center" vertical="center" wrapText="1"/>
    </xf>
    <xf numFmtId="0" fontId="32" fillId="0" borderId="9" xfId="0" applyFont="1" applyBorder="1" applyAlignment="1">
      <alignment horizontal="left" vertical="center" wrapText="1"/>
    </xf>
    <xf numFmtId="0" fontId="19" fillId="9" borderId="11" xfId="0" applyFont="1" applyFill="1" applyBorder="1" applyAlignment="1">
      <alignment horizontal="center" vertical="center" wrapText="1"/>
    </xf>
    <xf numFmtId="0" fontId="2" fillId="10" borderId="9" xfId="0" applyFont="1" applyFill="1" applyBorder="1" applyAlignment="1">
      <alignment horizontal="center" vertical="center"/>
    </xf>
    <xf numFmtId="0" fontId="2" fillId="4" borderId="9" xfId="0" applyFont="1" applyFill="1" applyBorder="1" applyAlignment="1">
      <alignment horizontal="center" vertical="center"/>
    </xf>
    <xf numFmtId="0" fontId="19" fillId="9" borderId="9" xfId="0" applyFont="1" applyFill="1" applyBorder="1" applyAlignment="1">
      <alignment horizontal="center" vertical="center" wrapText="1"/>
    </xf>
    <xf numFmtId="0" fontId="2" fillId="0" borderId="9" xfId="0" applyFont="1" applyBorder="1" applyAlignment="1">
      <alignment horizontal="center" vertical="center" wrapText="1"/>
    </xf>
    <xf numFmtId="0" fontId="12" fillId="2" borderId="10" xfId="0" applyFont="1" applyFill="1" applyBorder="1" applyAlignment="1">
      <alignment horizontal="center" vertical="center" wrapText="1"/>
    </xf>
    <xf numFmtId="0" fontId="12" fillId="2" borderId="11" xfId="0" applyFont="1" applyFill="1" applyBorder="1" applyAlignment="1">
      <alignment horizontal="center" vertical="center" wrapText="1"/>
    </xf>
    <xf numFmtId="0" fontId="8" fillId="0" borderId="9" xfId="0" applyFont="1" applyBorder="1" applyAlignment="1">
      <alignment horizontal="left" vertical="center" wrapText="1"/>
    </xf>
    <xf numFmtId="0" fontId="8" fillId="0" borderId="9" xfId="0" applyFont="1" applyBorder="1" applyAlignment="1">
      <alignment horizontal="left" vertical="center"/>
    </xf>
    <xf numFmtId="0" fontId="20" fillId="2" borderId="9" xfId="0" applyFont="1" applyFill="1" applyBorder="1" applyAlignment="1">
      <alignment horizontal="center" vertical="center" wrapText="1"/>
    </xf>
    <xf numFmtId="0" fontId="2" fillId="2" borderId="12" xfId="0" applyFont="1" applyFill="1" applyBorder="1" applyAlignment="1">
      <alignment horizontal="center" vertical="center" wrapText="1"/>
    </xf>
    <xf numFmtId="0" fontId="2" fillId="0" borderId="4" xfId="0" applyFont="1" applyBorder="1" applyAlignment="1">
      <alignment horizontal="center" vertical="center" wrapText="1"/>
    </xf>
    <xf numFmtId="0" fontId="2" fillId="0" borderId="0" xfId="0" applyFont="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0" xfId="0" applyFont="1" applyAlignment="1">
      <alignment horizontal="center"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7" fillId="0" borderId="2" xfId="0" applyFont="1" applyBorder="1" applyAlignment="1">
      <alignment horizontal="left" wrapText="1"/>
    </xf>
    <xf numFmtId="0" fontId="2" fillId="2" borderId="14"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6" borderId="9" xfId="0" applyFont="1" applyFill="1" applyBorder="1" applyAlignment="1">
      <alignment horizontal="center" vertical="center" wrapText="1"/>
    </xf>
    <xf numFmtId="0" fontId="3" fillId="0" borderId="10" xfId="0" applyFont="1" applyBorder="1" applyAlignment="1">
      <alignment horizontal="left" vertical="center"/>
    </xf>
    <xf numFmtId="0" fontId="3" fillId="0" borderId="12" xfId="0" applyFont="1" applyBorder="1" applyAlignment="1">
      <alignment horizontal="left" vertical="center"/>
    </xf>
    <xf numFmtId="0" fontId="3" fillId="0" borderId="11" xfId="0" applyFont="1" applyBorder="1" applyAlignment="1">
      <alignment horizontal="left" vertical="center"/>
    </xf>
    <xf numFmtId="0" fontId="3" fillId="0" borderId="1" xfId="0" applyFont="1" applyBorder="1" applyAlignment="1">
      <alignment horizontal="center" vertical="center"/>
    </xf>
    <xf numFmtId="0" fontId="3" fillId="0" borderId="3" xfId="0" applyFont="1" applyBorder="1" applyAlignment="1">
      <alignment horizontal="center" vertical="center"/>
    </xf>
    <xf numFmtId="172" fontId="3" fillId="0" borderId="1" xfId="0" applyNumberFormat="1" applyFont="1" applyBorder="1" applyAlignment="1">
      <alignment horizontal="center" vertical="center" wrapText="1"/>
    </xf>
    <xf numFmtId="172" fontId="3" fillId="0" borderId="3" xfId="0" applyNumberFormat="1" applyFont="1" applyBorder="1" applyAlignment="1">
      <alignment horizontal="center" vertical="center" wrapText="1"/>
    </xf>
    <xf numFmtId="0" fontId="3" fillId="0" borderId="9" xfId="0" applyFont="1" applyBorder="1" applyAlignment="1">
      <alignment horizontal="left" vertical="center"/>
    </xf>
    <xf numFmtId="0" fontId="3" fillId="0" borderId="2" xfId="0" applyFont="1" applyBorder="1" applyAlignment="1">
      <alignment horizontal="center" vertical="center"/>
    </xf>
    <xf numFmtId="172" fontId="3" fillId="0" borderId="2" xfId="0" applyNumberFormat="1" applyFont="1" applyBorder="1" applyAlignment="1">
      <alignment horizontal="center" vertical="center" wrapText="1"/>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0" xfId="0" applyFont="1" applyAlignment="1">
      <alignment horizontal="center" vertical="center" wrapText="1"/>
    </xf>
    <xf numFmtId="0" fontId="7" fillId="0" borderId="5" xfId="0" applyFont="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7" fillId="0" borderId="9" xfId="0" applyFont="1" applyBorder="1" applyAlignment="1">
      <alignment horizontal="center" vertical="center" wrapText="1"/>
    </xf>
    <xf numFmtId="0" fontId="3" fillId="0" borderId="6" xfId="0" applyFont="1" applyBorder="1" applyAlignment="1">
      <alignment horizontal="center" vertical="center"/>
    </xf>
    <xf numFmtId="0" fontId="3" fillId="0" borderId="8" xfId="0" applyFont="1" applyBorder="1" applyAlignment="1">
      <alignment horizontal="center" vertical="center"/>
    </xf>
    <xf numFmtId="171" fontId="3" fillId="0" borderId="1" xfId="0" applyNumberFormat="1" applyFont="1" applyBorder="1" applyAlignment="1">
      <alignment horizontal="center" vertical="center" wrapText="1"/>
    </xf>
    <xf numFmtId="171" fontId="3" fillId="0" borderId="3" xfId="0" applyNumberFormat="1" applyFont="1" applyBorder="1" applyAlignment="1">
      <alignment horizontal="center" vertical="center" wrapText="1"/>
    </xf>
    <xf numFmtId="171" fontId="3" fillId="0" borderId="6" xfId="0" applyNumberFormat="1" applyFont="1" applyBorder="1" applyAlignment="1">
      <alignment horizontal="center" vertical="center" wrapText="1"/>
    </xf>
    <xf numFmtId="171" fontId="3" fillId="0" borderId="8" xfId="0" applyNumberFormat="1" applyFont="1" applyBorder="1" applyAlignment="1">
      <alignment horizontal="center" vertical="center" wrapText="1"/>
    </xf>
    <xf numFmtId="10" fontId="3" fillId="0" borderId="14" xfId="0" applyNumberFormat="1" applyFont="1" applyBorder="1" applyAlignment="1">
      <alignment horizontal="center" vertical="center"/>
    </xf>
    <xf numFmtId="10" fontId="3" fillId="0" borderId="13" xfId="0" applyNumberFormat="1" applyFont="1" applyBorder="1" applyAlignment="1">
      <alignment horizontal="center" vertical="center"/>
    </xf>
    <xf numFmtId="0" fontId="44" fillId="0" borderId="1" xfId="0" applyFont="1" applyBorder="1" applyAlignment="1">
      <alignment horizontal="center" vertical="center" wrapText="1"/>
    </xf>
    <xf numFmtId="0" fontId="44" fillId="0" borderId="2" xfId="0" applyFont="1" applyBorder="1" applyAlignment="1">
      <alignment horizontal="center" vertical="center" wrapText="1"/>
    </xf>
    <xf numFmtId="0" fontId="44" fillId="0" borderId="4" xfId="0" applyFont="1" applyBorder="1" applyAlignment="1">
      <alignment horizontal="center" vertical="center" wrapText="1"/>
    </xf>
    <xf numFmtId="0" fontId="44" fillId="0" borderId="0" xfId="0" applyFont="1" applyAlignment="1">
      <alignment horizontal="center" vertical="center" wrapText="1"/>
    </xf>
    <xf numFmtId="0" fontId="44" fillId="0" borderId="6" xfId="0" applyFont="1" applyBorder="1" applyAlignment="1">
      <alignment horizontal="center" vertical="center" wrapText="1"/>
    </xf>
    <xf numFmtId="0" fontId="44" fillId="0" borderId="7" xfId="0" applyFont="1" applyBorder="1" applyAlignment="1">
      <alignment horizontal="center" vertical="center" wrapText="1"/>
    </xf>
    <xf numFmtId="0" fontId="9" fillId="0" borderId="9" xfId="0" applyFont="1" applyBorder="1" applyAlignment="1">
      <alignment horizontal="center" vertical="center" wrapText="1"/>
    </xf>
    <xf numFmtId="0" fontId="2" fillId="2" borderId="9" xfId="0" applyFont="1" applyFill="1" applyBorder="1" applyAlignment="1">
      <alignment horizontal="center" vertical="center"/>
    </xf>
    <xf numFmtId="0" fontId="35" fillId="0" borderId="9" xfId="21" applyFont="1" applyBorder="1" applyAlignment="1">
      <alignment horizontal="left" vertical="center" wrapText="1"/>
    </xf>
    <xf numFmtId="0" fontId="34" fillId="8" borderId="9" xfId="21" applyFont="1" applyFill="1" applyBorder="1" applyAlignment="1">
      <alignment horizontal="left" vertical="center"/>
    </xf>
    <xf numFmtId="0" fontId="3" fillId="2" borderId="10" xfId="0" applyFont="1" applyFill="1" applyBorder="1" applyAlignment="1">
      <alignment horizontal="center" vertical="center" wrapText="1"/>
    </xf>
    <xf numFmtId="0" fontId="3" fillId="2" borderId="11" xfId="0" applyFont="1" applyFill="1" applyBorder="1" applyAlignment="1">
      <alignment horizontal="center" vertical="center" wrapText="1"/>
    </xf>
    <xf numFmtId="0" fontId="2" fillId="0" borderId="0" xfId="0" applyFont="1" applyAlignment="1">
      <alignment horizontal="center" vertical="top" wrapText="1"/>
    </xf>
    <xf numFmtId="0" fontId="2" fillId="0" borderId="9" xfId="0" applyFont="1" applyBorder="1" applyAlignment="1">
      <alignment horizontal="left" vertical="center" wrapText="1"/>
    </xf>
    <xf numFmtId="0" fontId="3" fillId="0" borderId="10" xfId="0" applyFont="1" applyBorder="1" applyAlignment="1">
      <alignment horizontal="left" vertical="center" wrapText="1"/>
    </xf>
    <xf numFmtId="0" fontId="3" fillId="0" borderId="12" xfId="0" applyFont="1" applyBorder="1" applyAlignment="1">
      <alignment horizontal="left" vertical="center" wrapText="1"/>
    </xf>
    <xf numFmtId="0" fontId="3" fillId="0" borderId="11" xfId="0" applyFont="1" applyBorder="1" applyAlignment="1">
      <alignment horizontal="left" vertical="center" wrapText="1"/>
    </xf>
    <xf numFmtId="0" fontId="9" fillId="0" borderId="1" xfId="0" applyFont="1" applyBorder="1" applyAlignment="1">
      <alignment horizontal="center" vertical="center" wrapText="1"/>
    </xf>
    <xf numFmtId="0" fontId="9" fillId="0" borderId="2" xfId="0" applyFont="1" applyBorder="1" applyAlignment="1">
      <alignment horizontal="center" vertical="center" wrapText="1"/>
    </xf>
    <xf numFmtId="0" fontId="9" fillId="0" borderId="3" xfId="0" applyFont="1" applyBorder="1" applyAlignment="1">
      <alignment horizontal="center" vertical="center" wrapText="1"/>
    </xf>
    <xf numFmtId="0" fontId="9" fillId="0" borderId="4" xfId="0" applyFont="1" applyBorder="1" applyAlignment="1">
      <alignment horizontal="center" vertical="center" wrapText="1"/>
    </xf>
    <xf numFmtId="0" fontId="9" fillId="0" borderId="0" xfId="0" applyFont="1" applyAlignment="1">
      <alignment horizontal="center" vertical="center" wrapText="1"/>
    </xf>
    <xf numFmtId="0" fontId="9" fillId="0" borderId="5" xfId="0" applyFont="1" applyBorder="1" applyAlignment="1">
      <alignment horizontal="center" vertical="center" wrapText="1"/>
    </xf>
    <xf numFmtId="0" fontId="9" fillId="0" borderId="6" xfId="0" applyFont="1" applyBorder="1" applyAlignment="1">
      <alignment horizontal="center" vertical="center" wrapText="1"/>
    </xf>
    <xf numFmtId="0" fontId="9" fillId="0" borderId="7" xfId="0" applyFont="1" applyBorder="1" applyAlignment="1">
      <alignment horizontal="center" vertical="center" wrapText="1"/>
    </xf>
    <xf numFmtId="0" fontId="9" fillId="0" borderId="8" xfId="0" applyFont="1" applyBorder="1" applyAlignment="1">
      <alignment horizontal="center" vertical="center" wrapText="1"/>
    </xf>
    <xf numFmtId="10" fontId="3" fillId="3" borderId="10" xfId="0" applyNumberFormat="1" applyFont="1" applyFill="1" applyBorder="1" applyAlignment="1" applyProtection="1">
      <alignment horizontal="center" vertical="center" wrapText="1"/>
      <protection locked="0"/>
    </xf>
    <xf numFmtId="10" fontId="3" fillId="3" borderId="11" xfId="0" applyNumberFormat="1" applyFont="1" applyFill="1" applyBorder="1" applyAlignment="1" applyProtection="1">
      <alignment horizontal="center" vertical="center" wrapText="1"/>
      <protection locked="0"/>
    </xf>
    <xf numFmtId="0" fontId="7" fillId="0" borderId="9" xfId="0" applyFont="1" applyBorder="1" applyAlignment="1">
      <alignment horizontal="left" vertical="center" wrapText="1"/>
    </xf>
    <xf numFmtId="10" fontId="3" fillId="3" borderId="10" xfId="0" applyNumberFormat="1" applyFont="1" applyFill="1" applyBorder="1" applyAlignment="1" applyProtection="1">
      <alignment horizontal="left" vertical="center" wrapText="1"/>
      <protection locked="0"/>
    </xf>
    <xf numFmtId="10" fontId="3" fillId="3" borderId="11" xfId="0" applyNumberFormat="1" applyFont="1" applyFill="1" applyBorder="1" applyAlignment="1" applyProtection="1">
      <alignment horizontal="left" vertical="center" wrapText="1"/>
      <protection locked="0"/>
    </xf>
    <xf numFmtId="10" fontId="3" fillId="3" borderId="12" xfId="0" applyNumberFormat="1" applyFont="1" applyFill="1" applyBorder="1" applyAlignment="1" applyProtection="1">
      <alignment horizontal="left" vertical="center" wrapText="1"/>
      <protection locked="0"/>
    </xf>
    <xf numFmtId="0" fontId="3" fillId="0" borderId="9" xfId="0" applyFont="1" applyBorder="1" applyAlignment="1">
      <alignment horizontal="left" vertical="center" wrapText="1"/>
    </xf>
    <xf numFmtId="0" fontId="2" fillId="0" borderId="9" xfId="0" applyFont="1" applyBorder="1" applyAlignment="1">
      <alignment horizontal="left" vertical="top" wrapText="1"/>
    </xf>
    <xf numFmtId="0" fontId="3" fillId="0" borderId="10"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11" xfId="0" applyFont="1" applyBorder="1" applyAlignment="1">
      <alignment horizontal="center" vertical="center" wrapText="1"/>
    </xf>
    <xf numFmtId="0" fontId="9" fillId="0" borderId="9" xfId="0" applyFont="1" applyBorder="1" applyAlignment="1">
      <alignment horizontal="center" vertical="center"/>
    </xf>
    <xf numFmtId="0" fontId="8" fillId="0" borderId="1" xfId="0" applyFont="1" applyBorder="1" applyAlignment="1">
      <alignment vertical="center" wrapText="1"/>
    </xf>
    <xf numFmtId="0" fontId="8" fillId="0" borderId="2" xfId="0" applyFont="1" applyBorder="1" applyAlignment="1">
      <alignment vertical="center" wrapText="1"/>
    </xf>
    <xf numFmtId="0" fontId="8" fillId="0" borderId="3" xfId="0" applyFont="1" applyBorder="1" applyAlignment="1">
      <alignment vertical="center" wrapText="1"/>
    </xf>
    <xf numFmtId="0" fontId="8" fillId="0" borderId="6" xfId="0" applyFont="1" applyBorder="1" applyAlignment="1">
      <alignment vertical="center" wrapText="1"/>
    </xf>
    <xf numFmtId="0" fontId="8" fillId="0" borderId="7" xfId="0" applyFont="1" applyBorder="1" applyAlignment="1">
      <alignment vertical="center" wrapText="1"/>
    </xf>
    <xf numFmtId="0" fontId="8" fillId="0" borderId="8" xfId="0" applyFont="1" applyBorder="1" applyAlignment="1">
      <alignment vertical="center" wrapText="1"/>
    </xf>
    <xf numFmtId="0" fontId="8" fillId="3" borderId="9" xfId="0" applyFont="1" applyFill="1" applyBorder="1" applyAlignment="1" applyProtection="1">
      <alignment horizontal="center" vertical="center" wrapText="1"/>
      <protection locked="0"/>
    </xf>
    <xf numFmtId="0" fontId="37" fillId="0" borderId="9" xfId="0" applyFont="1" applyBorder="1" applyAlignment="1">
      <alignment horizontal="left" vertical="center" wrapText="1"/>
    </xf>
    <xf numFmtId="0" fontId="8" fillId="0" borderId="9" xfId="0" applyFont="1" applyBorder="1" applyAlignment="1">
      <alignment horizontal="center" vertical="center"/>
    </xf>
    <xf numFmtId="9" fontId="7" fillId="3" borderId="9" xfId="0" applyNumberFormat="1" applyFont="1" applyFill="1" applyBorder="1" applyAlignment="1" applyProtection="1">
      <alignment horizontal="center" vertical="center" wrapText="1"/>
      <protection locked="0"/>
    </xf>
    <xf numFmtId="0" fontId="8" fillId="0" borderId="4" xfId="0" applyFont="1" applyBorder="1" applyAlignment="1">
      <alignment vertical="center" wrapText="1"/>
    </xf>
    <xf numFmtId="0" fontId="8" fillId="0" borderId="0" xfId="0" applyFont="1" applyAlignment="1">
      <alignment vertical="center" wrapText="1"/>
    </xf>
    <xf numFmtId="0" fontId="8" fillId="0" borderId="5" xfId="0" applyFont="1" applyBorder="1" applyAlignment="1">
      <alignment vertical="center" wrapText="1"/>
    </xf>
    <xf numFmtId="0" fontId="9" fillId="0" borderId="13" xfId="0" applyFont="1" applyBorder="1" applyAlignment="1">
      <alignment horizontal="center" vertical="center"/>
    </xf>
    <xf numFmtId="0" fontId="8" fillId="0" borderId="13" xfId="0" applyFont="1" applyBorder="1" applyAlignment="1">
      <alignment vertical="center" wrapText="1"/>
    </xf>
    <xf numFmtId="0" fontId="8" fillId="0" borderId="9" xfId="0" applyFont="1" applyBorder="1" applyAlignment="1">
      <alignment vertical="center" wrapText="1"/>
    </xf>
    <xf numFmtId="0" fontId="15" fillId="0" borderId="9" xfId="0" applyFont="1" applyBorder="1" applyAlignment="1">
      <alignment horizontal="center" vertical="center" wrapText="1"/>
    </xf>
    <xf numFmtId="0" fontId="2" fillId="2" borderId="9" xfId="0" applyFont="1" applyFill="1" applyBorder="1" applyAlignment="1">
      <alignment horizontal="left" vertical="center" wrapText="1"/>
    </xf>
    <xf numFmtId="0" fontId="8" fillId="0" borderId="9" xfId="0" applyFont="1" applyBorder="1" applyAlignment="1">
      <alignment vertical="center"/>
    </xf>
    <xf numFmtId="0" fontId="8" fillId="0" borderId="9" xfId="0" applyFont="1" applyBorder="1" applyAlignment="1">
      <alignment horizontal="left" wrapText="1"/>
    </xf>
    <xf numFmtId="0" fontId="9" fillId="0" borderId="10" xfId="0" applyFont="1" applyBorder="1" applyAlignment="1">
      <alignment horizontal="justify" vertical="center" wrapText="1"/>
    </xf>
    <xf numFmtId="0" fontId="9" fillId="0" borderId="12" xfId="0" applyFont="1" applyBorder="1" applyAlignment="1">
      <alignment horizontal="justify" vertical="center" wrapText="1"/>
    </xf>
    <xf numFmtId="0" fontId="9" fillId="0" borderId="11" xfId="0" applyFont="1" applyBorder="1" applyAlignment="1">
      <alignment horizontal="justify" vertical="center" wrapText="1"/>
    </xf>
  </cellXfs>
  <cellStyles count="22">
    <cellStyle name="Millares [0] 2" xfId="18" xr:uid="{00000000-0005-0000-0000-000003000000}"/>
    <cellStyle name="Millares 2" xfId="4" xr:uid="{00000000-0005-0000-0000-000004000000}"/>
    <cellStyle name="Millares 2 2" xfId="17" xr:uid="{00000000-0005-0000-0000-000005000000}"/>
    <cellStyle name="Millares 2 3" xfId="13" xr:uid="{00000000-0005-0000-0000-000006000000}"/>
    <cellStyle name="Millares 5" xfId="5" xr:uid="{00000000-0005-0000-0000-000007000000}"/>
    <cellStyle name="Moneda" xfId="20" builtinId="4"/>
    <cellStyle name="Moneda [0] 2" xfId="16" xr:uid="{00000000-0005-0000-0000-000009000000}"/>
    <cellStyle name="Moneda [0] 2 2" xfId="19" xr:uid="{00000000-0005-0000-0000-00000A000000}"/>
    <cellStyle name="Moneda 2" xfId="14" xr:uid="{00000000-0005-0000-0000-00000B000000}"/>
    <cellStyle name="Moneda 3" xfId="15" xr:uid="{00000000-0005-0000-0000-00000C000000}"/>
    <cellStyle name="Moneda 4" xfId="6" xr:uid="{00000000-0005-0000-0000-00000D000000}"/>
    <cellStyle name="Moneda 5" xfId="7" xr:uid="{00000000-0005-0000-0000-00000E000000}"/>
    <cellStyle name="Normal" xfId="0" builtinId="0"/>
    <cellStyle name="Normal 2" xfId="1" xr:uid="{00000000-0005-0000-0000-000010000000}"/>
    <cellStyle name="Normal 2 2" xfId="8" xr:uid="{00000000-0005-0000-0000-000011000000}"/>
    <cellStyle name="Normal 2 3" xfId="9" xr:uid="{00000000-0005-0000-0000-000012000000}"/>
    <cellStyle name="Normal 3" xfId="10" xr:uid="{00000000-0005-0000-0000-000013000000}"/>
    <cellStyle name="Normal 3 2" xfId="21" xr:uid="{521A91CE-EE4B-4277-8B0D-11413543BB6B}"/>
    <cellStyle name="Normal 4" xfId="2" xr:uid="{00000000-0005-0000-0000-000014000000}"/>
    <cellStyle name="Porcentaje" xfId="12" builtinId="5"/>
    <cellStyle name="Porcentual 2" xfId="11" xr:uid="{00000000-0005-0000-0000-000016000000}"/>
    <cellStyle name="Porcentual 5" xfId="3" xr:uid="{00000000-0005-0000-0000-000017000000}"/>
  </cellStyles>
  <dxfs count="4">
    <dxf>
      <fill>
        <patternFill>
          <bgColor rgb="FFFFFFCC"/>
        </patternFill>
      </fill>
    </dxf>
    <dxf>
      <font>
        <color rgb="FFFF0000"/>
      </font>
      <fill>
        <patternFill>
          <bgColor rgb="FFFFFFCC"/>
        </patternFill>
      </fill>
    </dxf>
    <dxf>
      <font>
        <b val="0"/>
        <i val="0"/>
        <color rgb="FFFF0000"/>
      </font>
      <fill>
        <patternFill>
          <bgColor rgb="FFFFFFCC"/>
        </patternFill>
      </fill>
    </dxf>
    <dxf>
      <fill>
        <patternFill>
          <bgColor rgb="FFFFFFCC"/>
        </patternFill>
      </fill>
    </dxf>
  </dxfs>
  <tableStyles count="0" defaultTableStyle="TableStyleMedium9" defaultPivotStyle="PivotStyleLight16"/>
  <colors>
    <mruColors>
      <color rgb="FFFFFFCC"/>
      <color rgb="FFFFFFE5"/>
      <color rgb="FF66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8.xml"/><Relationship Id="rId39" Type="http://schemas.openxmlformats.org/officeDocument/2006/relationships/externalLink" Target="externalLinks/externalLink21.xml"/><Relationship Id="rId21" Type="http://schemas.openxmlformats.org/officeDocument/2006/relationships/externalLink" Target="externalLinks/externalLink3.xml"/><Relationship Id="rId34" Type="http://schemas.openxmlformats.org/officeDocument/2006/relationships/externalLink" Target="externalLinks/externalLink16.xml"/><Relationship Id="rId42" Type="http://schemas.openxmlformats.org/officeDocument/2006/relationships/externalLink" Target="externalLinks/externalLink24.xml"/><Relationship Id="rId47" Type="http://schemas.openxmlformats.org/officeDocument/2006/relationships/externalLink" Target="externalLinks/externalLink29.xml"/><Relationship Id="rId50" Type="http://schemas.openxmlformats.org/officeDocument/2006/relationships/externalLink" Target="externalLinks/externalLink32.xml"/><Relationship Id="rId55"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externalLink" Target="externalLinks/externalLink11.xml"/><Relationship Id="rId11" Type="http://schemas.openxmlformats.org/officeDocument/2006/relationships/worksheet" Target="worksheets/sheet11.xml"/><Relationship Id="rId24" Type="http://schemas.openxmlformats.org/officeDocument/2006/relationships/externalLink" Target="externalLinks/externalLink6.xml"/><Relationship Id="rId32" Type="http://schemas.openxmlformats.org/officeDocument/2006/relationships/externalLink" Target="externalLinks/externalLink14.xml"/><Relationship Id="rId37" Type="http://schemas.openxmlformats.org/officeDocument/2006/relationships/externalLink" Target="externalLinks/externalLink19.xml"/><Relationship Id="rId40" Type="http://schemas.openxmlformats.org/officeDocument/2006/relationships/externalLink" Target="externalLinks/externalLink22.xml"/><Relationship Id="rId45" Type="http://schemas.openxmlformats.org/officeDocument/2006/relationships/externalLink" Target="externalLinks/externalLink27.xml"/><Relationship Id="rId53" Type="http://schemas.openxmlformats.org/officeDocument/2006/relationships/theme" Target="theme/theme1.xml"/><Relationship Id="rId58" Type="http://schemas.openxmlformats.org/officeDocument/2006/relationships/customXml" Target="../customXml/item1.xml"/><Relationship Id="rId5" Type="http://schemas.openxmlformats.org/officeDocument/2006/relationships/worksheet" Target="worksheets/sheet5.xml"/><Relationship Id="rId19"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4.xml"/><Relationship Id="rId27" Type="http://schemas.openxmlformats.org/officeDocument/2006/relationships/externalLink" Target="externalLinks/externalLink9.xml"/><Relationship Id="rId30" Type="http://schemas.openxmlformats.org/officeDocument/2006/relationships/externalLink" Target="externalLinks/externalLink12.xml"/><Relationship Id="rId35" Type="http://schemas.openxmlformats.org/officeDocument/2006/relationships/externalLink" Target="externalLinks/externalLink17.xml"/><Relationship Id="rId43" Type="http://schemas.openxmlformats.org/officeDocument/2006/relationships/externalLink" Target="externalLinks/externalLink25.xml"/><Relationship Id="rId48" Type="http://schemas.openxmlformats.org/officeDocument/2006/relationships/externalLink" Target="externalLinks/externalLink30.xml"/><Relationship Id="rId56" Type="http://schemas.openxmlformats.org/officeDocument/2006/relationships/sheetMetadata" Target="metadata.xml"/><Relationship Id="rId8" Type="http://schemas.openxmlformats.org/officeDocument/2006/relationships/worksheet" Target="worksheets/sheet8.xml"/><Relationship Id="rId51" Type="http://schemas.openxmlformats.org/officeDocument/2006/relationships/externalLink" Target="externalLinks/externalLink33.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7.xml"/><Relationship Id="rId33" Type="http://schemas.openxmlformats.org/officeDocument/2006/relationships/externalLink" Target="externalLinks/externalLink15.xml"/><Relationship Id="rId38" Type="http://schemas.openxmlformats.org/officeDocument/2006/relationships/externalLink" Target="externalLinks/externalLink20.xml"/><Relationship Id="rId46" Type="http://schemas.openxmlformats.org/officeDocument/2006/relationships/externalLink" Target="externalLinks/externalLink28.xml"/><Relationship Id="rId59" Type="http://schemas.openxmlformats.org/officeDocument/2006/relationships/customXml" Target="../customXml/item2.xml"/><Relationship Id="rId20" Type="http://schemas.openxmlformats.org/officeDocument/2006/relationships/externalLink" Target="externalLinks/externalLink2.xml"/><Relationship Id="rId41" Type="http://schemas.openxmlformats.org/officeDocument/2006/relationships/externalLink" Target="externalLinks/externalLink23.xml"/><Relationship Id="rId54"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externalLink" Target="externalLinks/externalLink5.xml"/><Relationship Id="rId28" Type="http://schemas.openxmlformats.org/officeDocument/2006/relationships/externalLink" Target="externalLinks/externalLink10.xml"/><Relationship Id="rId36" Type="http://schemas.openxmlformats.org/officeDocument/2006/relationships/externalLink" Target="externalLinks/externalLink18.xml"/><Relationship Id="rId49" Type="http://schemas.openxmlformats.org/officeDocument/2006/relationships/externalLink" Target="externalLinks/externalLink31.xml"/><Relationship Id="rId57" Type="http://schemas.openxmlformats.org/officeDocument/2006/relationships/calcChain" Target="calcChain.xml"/><Relationship Id="rId10" Type="http://schemas.openxmlformats.org/officeDocument/2006/relationships/worksheet" Target="worksheets/sheet10.xml"/><Relationship Id="rId31" Type="http://schemas.openxmlformats.org/officeDocument/2006/relationships/externalLink" Target="externalLinks/externalLink13.xml"/><Relationship Id="rId44" Type="http://schemas.openxmlformats.org/officeDocument/2006/relationships/externalLink" Target="externalLinks/externalLink26.xml"/><Relationship Id="rId52" Type="http://schemas.openxmlformats.org/officeDocument/2006/relationships/externalLink" Target="externalLinks/externalLink34.xml"/><Relationship Id="rId60"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1" Type="http://schemas.openxmlformats.org/officeDocument/2006/relationships/image" Target="../media/image1.png"/></Relationships>
</file>

<file path=xl/drawings/_rels/drawing1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202406</xdr:colOff>
      <xdr:row>1</xdr:row>
      <xdr:rowOff>107156</xdr:rowOff>
    </xdr:from>
    <xdr:to>
      <xdr:col>2</xdr:col>
      <xdr:colOff>763788</xdr:colOff>
      <xdr:row>3</xdr:row>
      <xdr:rowOff>124927</xdr:rowOff>
    </xdr:to>
    <xdr:pic>
      <xdr:nvPicPr>
        <xdr:cNvPr id="2" name="Imagen 1" descr="Imagen que contiene Logotipo&#10;&#10;Descripción generada automáticamente">
          <a:extLst>
            <a:ext uri="{FF2B5EF4-FFF2-40B4-BE49-F238E27FC236}">
              <a16:creationId xmlns:a16="http://schemas.microsoft.com/office/drawing/2014/main" id="{361582D5-CD3A-4920-B5C0-A9E74A73A77F}"/>
            </a:ext>
          </a:extLst>
        </xdr:cNvPr>
        <xdr:cNvPicPr>
          <a:picLocks noChangeAspect="1"/>
        </xdr:cNvPicPr>
      </xdr:nvPicPr>
      <xdr:blipFill>
        <a:blip xmlns:r="http://schemas.openxmlformats.org/officeDocument/2006/relationships" r:embed="rId1"/>
        <a:stretch>
          <a:fillRect/>
        </a:stretch>
      </xdr:blipFill>
      <xdr:spPr>
        <a:xfrm>
          <a:off x="342106" y="265906"/>
          <a:ext cx="1526582" cy="56387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169334</xdr:colOff>
      <xdr:row>1</xdr:row>
      <xdr:rowOff>105833</xdr:rowOff>
    </xdr:from>
    <xdr:to>
      <xdr:col>2</xdr:col>
      <xdr:colOff>209486</xdr:colOff>
      <xdr:row>3</xdr:row>
      <xdr:rowOff>120958</xdr:rowOff>
    </xdr:to>
    <xdr:pic>
      <xdr:nvPicPr>
        <xdr:cNvPr id="2" name="Imagen 1" descr="Imagen que contiene Logotipo&#10;&#10;Descripción generada automáticamente">
          <a:extLst>
            <a:ext uri="{FF2B5EF4-FFF2-40B4-BE49-F238E27FC236}">
              <a16:creationId xmlns:a16="http://schemas.microsoft.com/office/drawing/2014/main" id="{F98E9CF4-6B58-43C1-BBF4-10DE76DA6A48}"/>
            </a:ext>
          </a:extLst>
        </xdr:cNvPr>
        <xdr:cNvPicPr>
          <a:picLocks noChangeAspect="1"/>
        </xdr:cNvPicPr>
      </xdr:nvPicPr>
      <xdr:blipFill>
        <a:blip xmlns:r="http://schemas.openxmlformats.org/officeDocument/2006/relationships" r:embed="rId1"/>
        <a:stretch>
          <a:fillRect/>
        </a:stretch>
      </xdr:blipFill>
      <xdr:spPr>
        <a:xfrm>
          <a:off x="309034" y="264583"/>
          <a:ext cx="1557802" cy="56122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202406</xdr:colOff>
      <xdr:row>1</xdr:row>
      <xdr:rowOff>107156</xdr:rowOff>
    </xdr:from>
    <xdr:to>
      <xdr:col>2</xdr:col>
      <xdr:colOff>763788</xdr:colOff>
      <xdr:row>3</xdr:row>
      <xdr:rowOff>124927</xdr:rowOff>
    </xdr:to>
    <xdr:pic>
      <xdr:nvPicPr>
        <xdr:cNvPr id="4" name="Imagen 3" descr="Imagen que contiene Logotipo&#10;&#10;Descripción generada automáticamente">
          <a:extLst>
            <a:ext uri="{FF2B5EF4-FFF2-40B4-BE49-F238E27FC236}">
              <a16:creationId xmlns:a16="http://schemas.microsoft.com/office/drawing/2014/main" id="{FB7DCF61-645D-4CDA-896F-7C26DB55A93E}"/>
            </a:ext>
          </a:extLst>
        </xdr:cNvPr>
        <xdr:cNvPicPr>
          <a:picLocks noChangeAspect="1"/>
        </xdr:cNvPicPr>
      </xdr:nvPicPr>
      <xdr:blipFill>
        <a:blip xmlns:r="http://schemas.openxmlformats.org/officeDocument/2006/relationships" r:embed="rId1"/>
        <a:stretch>
          <a:fillRect/>
        </a:stretch>
      </xdr:blipFill>
      <xdr:spPr>
        <a:xfrm>
          <a:off x="342106" y="265906"/>
          <a:ext cx="1526582" cy="5638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202406</xdr:colOff>
      <xdr:row>1</xdr:row>
      <xdr:rowOff>107156</xdr:rowOff>
    </xdr:from>
    <xdr:to>
      <xdr:col>2</xdr:col>
      <xdr:colOff>763788</xdr:colOff>
      <xdr:row>3</xdr:row>
      <xdr:rowOff>124927</xdr:rowOff>
    </xdr:to>
    <xdr:pic>
      <xdr:nvPicPr>
        <xdr:cNvPr id="2" name="Imagen 1" descr="Imagen que contiene Logotipo&#10;&#10;Descripción generada automáticamente">
          <a:extLst>
            <a:ext uri="{FF2B5EF4-FFF2-40B4-BE49-F238E27FC236}">
              <a16:creationId xmlns:a16="http://schemas.microsoft.com/office/drawing/2014/main" id="{9885BD94-E423-4E3F-9129-19D6C1CC3FD5}"/>
            </a:ext>
          </a:extLst>
        </xdr:cNvPr>
        <xdr:cNvPicPr>
          <a:picLocks noChangeAspect="1"/>
        </xdr:cNvPicPr>
      </xdr:nvPicPr>
      <xdr:blipFill>
        <a:blip xmlns:r="http://schemas.openxmlformats.org/officeDocument/2006/relationships" r:embed="rId1"/>
        <a:stretch>
          <a:fillRect/>
        </a:stretch>
      </xdr:blipFill>
      <xdr:spPr>
        <a:xfrm>
          <a:off x="342106" y="265906"/>
          <a:ext cx="1526582" cy="563871"/>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202406</xdr:colOff>
      <xdr:row>1</xdr:row>
      <xdr:rowOff>107156</xdr:rowOff>
    </xdr:from>
    <xdr:to>
      <xdr:col>2</xdr:col>
      <xdr:colOff>763788</xdr:colOff>
      <xdr:row>3</xdr:row>
      <xdr:rowOff>124927</xdr:rowOff>
    </xdr:to>
    <xdr:pic>
      <xdr:nvPicPr>
        <xdr:cNvPr id="2" name="Imagen 1" descr="Imagen que contiene Logotipo&#10;&#10;Descripción generada automáticamente">
          <a:extLst>
            <a:ext uri="{FF2B5EF4-FFF2-40B4-BE49-F238E27FC236}">
              <a16:creationId xmlns:a16="http://schemas.microsoft.com/office/drawing/2014/main" id="{58A45193-94AB-4B1C-B43B-FC66C186937D}"/>
            </a:ext>
          </a:extLst>
        </xdr:cNvPr>
        <xdr:cNvPicPr>
          <a:picLocks noChangeAspect="1"/>
        </xdr:cNvPicPr>
      </xdr:nvPicPr>
      <xdr:blipFill>
        <a:blip xmlns:r="http://schemas.openxmlformats.org/officeDocument/2006/relationships" r:embed="rId1"/>
        <a:stretch>
          <a:fillRect/>
        </a:stretch>
      </xdr:blipFill>
      <xdr:spPr>
        <a:xfrm>
          <a:off x="342106" y="265906"/>
          <a:ext cx="1526582" cy="563871"/>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202406</xdr:colOff>
      <xdr:row>1</xdr:row>
      <xdr:rowOff>107156</xdr:rowOff>
    </xdr:from>
    <xdr:to>
      <xdr:col>2</xdr:col>
      <xdr:colOff>763788</xdr:colOff>
      <xdr:row>3</xdr:row>
      <xdr:rowOff>124927</xdr:rowOff>
    </xdr:to>
    <xdr:pic>
      <xdr:nvPicPr>
        <xdr:cNvPr id="2" name="Imagen 1" descr="Imagen que contiene Logotipo&#10;&#10;Descripción generada automáticamente">
          <a:extLst>
            <a:ext uri="{FF2B5EF4-FFF2-40B4-BE49-F238E27FC236}">
              <a16:creationId xmlns:a16="http://schemas.microsoft.com/office/drawing/2014/main" id="{69245813-0EB5-418B-A757-E451BB6871E3}"/>
            </a:ext>
          </a:extLst>
        </xdr:cNvPr>
        <xdr:cNvPicPr>
          <a:picLocks noChangeAspect="1"/>
        </xdr:cNvPicPr>
      </xdr:nvPicPr>
      <xdr:blipFill>
        <a:blip xmlns:r="http://schemas.openxmlformats.org/officeDocument/2006/relationships" r:embed="rId1"/>
        <a:stretch>
          <a:fillRect/>
        </a:stretch>
      </xdr:blipFill>
      <xdr:spPr>
        <a:xfrm>
          <a:off x="342106" y="265906"/>
          <a:ext cx="1532932" cy="563871"/>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202406</xdr:colOff>
      <xdr:row>1</xdr:row>
      <xdr:rowOff>107156</xdr:rowOff>
    </xdr:from>
    <xdr:to>
      <xdr:col>2</xdr:col>
      <xdr:colOff>763788</xdr:colOff>
      <xdr:row>3</xdr:row>
      <xdr:rowOff>124927</xdr:rowOff>
    </xdr:to>
    <xdr:pic>
      <xdr:nvPicPr>
        <xdr:cNvPr id="2" name="Imagen 1" descr="Imagen que contiene Logotipo&#10;&#10;Descripción generada automáticamente">
          <a:extLst>
            <a:ext uri="{FF2B5EF4-FFF2-40B4-BE49-F238E27FC236}">
              <a16:creationId xmlns:a16="http://schemas.microsoft.com/office/drawing/2014/main" id="{372C5E4F-070E-4DBA-B306-D4B602D1EDE5}"/>
            </a:ext>
          </a:extLst>
        </xdr:cNvPr>
        <xdr:cNvPicPr>
          <a:picLocks noChangeAspect="1"/>
        </xdr:cNvPicPr>
      </xdr:nvPicPr>
      <xdr:blipFill>
        <a:blip xmlns:r="http://schemas.openxmlformats.org/officeDocument/2006/relationships" r:embed="rId1"/>
        <a:stretch>
          <a:fillRect/>
        </a:stretch>
      </xdr:blipFill>
      <xdr:spPr>
        <a:xfrm>
          <a:off x="342106" y="265906"/>
          <a:ext cx="1526582" cy="563871"/>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202406</xdr:colOff>
      <xdr:row>1</xdr:row>
      <xdr:rowOff>107156</xdr:rowOff>
    </xdr:from>
    <xdr:to>
      <xdr:col>2</xdr:col>
      <xdr:colOff>763788</xdr:colOff>
      <xdr:row>3</xdr:row>
      <xdr:rowOff>124927</xdr:rowOff>
    </xdr:to>
    <xdr:pic>
      <xdr:nvPicPr>
        <xdr:cNvPr id="2" name="Imagen 1" descr="Imagen que contiene Logotipo&#10;&#10;Descripción generada automáticamente">
          <a:extLst>
            <a:ext uri="{FF2B5EF4-FFF2-40B4-BE49-F238E27FC236}">
              <a16:creationId xmlns:a16="http://schemas.microsoft.com/office/drawing/2014/main" id="{DF727803-A5A7-41AE-A213-B7AA88C75C1C}"/>
            </a:ext>
          </a:extLst>
        </xdr:cNvPr>
        <xdr:cNvPicPr>
          <a:picLocks noChangeAspect="1"/>
        </xdr:cNvPicPr>
      </xdr:nvPicPr>
      <xdr:blipFill>
        <a:blip xmlns:r="http://schemas.openxmlformats.org/officeDocument/2006/relationships" r:embed="rId1"/>
        <a:stretch>
          <a:fillRect/>
        </a:stretch>
      </xdr:blipFill>
      <xdr:spPr>
        <a:xfrm>
          <a:off x="342106" y="265906"/>
          <a:ext cx="1526582" cy="563871"/>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202406</xdr:colOff>
      <xdr:row>1</xdr:row>
      <xdr:rowOff>107156</xdr:rowOff>
    </xdr:from>
    <xdr:to>
      <xdr:col>2</xdr:col>
      <xdr:colOff>763788</xdr:colOff>
      <xdr:row>3</xdr:row>
      <xdr:rowOff>124927</xdr:rowOff>
    </xdr:to>
    <xdr:pic>
      <xdr:nvPicPr>
        <xdr:cNvPr id="2" name="Imagen 1" descr="Imagen que contiene Logotipo&#10;&#10;Descripción generada automáticamente">
          <a:extLst>
            <a:ext uri="{FF2B5EF4-FFF2-40B4-BE49-F238E27FC236}">
              <a16:creationId xmlns:a16="http://schemas.microsoft.com/office/drawing/2014/main" id="{7D01CC07-9146-4F4C-84D9-FFED84134CE3}"/>
            </a:ext>
          </a:extLst>
        </xdr:cNvPr>
        <xdr:cNvPicPr>
          <a:picLocks noChangeAspect="1"/>
        </xdr:cNvPicPr>
      </xdr:nvPicPr>
      <xdr:blipFill>
        <a:blip xmlns:r="http://schemas.openxmlformats.org/officeDocument/2006/relationships" r:embed="rId1"/>
        <a:stretch>
          <a:fillRect/>
        </a:stretch>
      </xdr:blipFill>
      <xdr:spPr>
        <a:xfrm>
          <a:off x="342106" y="265906"/>
          <a:ext cx="1532932" cy="563871"/>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202406</xdr:colOff>
      <xdr:row>1</xdr:row>
      <xdr:rowOff>107156</xdr:rowOff>
    </xdr:from>
    <xdr:to>
      <xdr:col>2</xdr:col>
      <xdr:colOff>763788</xdr:colOff>
      <xdr:row>3</xdr:row>
      <xdr:rowOff>124927</xdr:rowOff>
    </xdr:to>
    <xdr:pic>
      <xdr:nvPicPr>
        <xdr:cNvPr id="2" name="Imagen 1" descr="Imagen que contiene Logotipo&#10;&#10;Descripción generada automáticamente">
          <a:extLst>
            <a:ext uri="{FF2B5EF4-FFF2-40B4-BE49-F238E27FC236}">
              <a16:creationId xmlns:a16="http://schemas.microsoft.com/office/drawing/2014/main" id="{69D9582A-BF0F-4F5C-AAA4-770072919F5B}"/>
            </a:ext>
          </a:extLst>
        </xdr:cNvPr>
        <xdr:cNvPicPr>
          <a:picLocks noChangeAspect="1"/>
        </xdr:cNvPicPr>
      </xdr:nvPicPr>
      <xdr:blipFill>
        <a:blip xmlns:r="http://schemas.openxmlformats.org/officeDocument/2006/relationships" r:embed="rId1"/>
        <a:stretch>
          <a:fillRect/>
        </a:stretch>
      </xdr:blipFill>
      <xdr:spPr>
        <a:xfrm>
          <a:off x="342106" y="265906"/>
          <a:ext cx="1526582" cy="563871"/>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202406</xdr:colOff>
      <xdr:row>1</xdr:row>
      <xdr:rowOff>107156</xdr:rowOff>
    </xdr:from>
    <xdr:to>
      <xdr:col>2</xdr:col>
      <xdr:colOff>763788</xdr:colOff>
      <xdr:row>3</xdr:row>
      <xdr:rowOff>124927</xdr:rowOff>
    </xdr:to>
    <xdr:pic>
      <xdr:nvPicPr>
        <xdr:cNvPr id="2" name="Imagen 1" descr="Imagen que contiene Logotipo&#10;&#10;Descripción generada automáticamente">
          <a:extLst>
            <a:ext uri="{FF2B5EF4-FFF2-40B4-BE49-F238E27FC236}">
              <a16:creationId xmlns:a16="http://schemas.microsoft.com/office/drawing/2014/main" id="{151629EB-9741-4865-9B30-58F123B246F4}"/>
            </a:ext>
          </a:extLst>
        </xdr:cNvPr>
        <xdr:cNvPicPr>
          <a:picLocks noChangeAspect="1"/>
        </xdr:cNvPicPr>
      </xdr:nvPicPr>
      <xdr:blipFill>
        <a:blip xmlns:r="http://schemas.openxmlformats.org/officeDocument/2006/relationships" r:embed="rId1"/>
        <a:stretch>
          <a:fillRect/>
        </a:stretch>
      </xdr:blipFill>
      <xdr:spPr>
        <a:xfrm>
          <a:off x="342106" y="265906"/>
          <a:ext cx="1526582" cy="563871"/>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202406</xdr:colOff>
      <xdr:row>1</xdr:row>
      <xdr:rowOff>107156</xdr:rowOff>
    </xdr:from>
    <xdr:to>
      <xdr:col>2</xdr:col>
      <xdr:colOff>763788</xdr:colOff>
      <xdr:row>3</xdr:row>
      <xdr:rowOff>134452</xdr:rowOff>
    </xdr:to>
    <xdr:pic>
      <xdr:nvPicPr>
        <xdr:cNvPr id="2" name="Imagen 1" descr="Imagen que contiene Logotipo&#10;&#10;Descripción generada automáticamente">
          <a:extLst>
            <a:ext uri="{FF2B5EF4-FFF2-40B4-BE49-F238E27FC236}">
              <a16:creationId xmlns:a16="http://schemas.microsoft.com/office/drawing/2014/main" id="{1A91F189-F6B8-4BA9-80D0-CE39A13041D3}"/>
            </a:ext>
          </a:extLst>
        </xdr:cNvPr>
        <xdr:cNvPicPr>
          <a:picLocks noChangeAspect="1"/>
        </xdr:cNvPicPr>
      </xdr:nvPicPr>
      <xdr:blipFill>
        <a:blip xmlns:r="http://schemas.openxmlformats.org/officeDocument/2006/relationships" r:embed="rId1"/>
        <a:stretch>
          <a:fillRect/>
        </a:stretch>
      </xdr:blipFill>
      <xdr:spPr>
        <a:xfrm>
          <a:off x="342106" y="265906"/>
          <a:ext cx="1526582" cy="573396"/>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1</xdr:col>
      <xdr:colOff>202406</xdr:colOff>
      <xdr:row>1</xdr:row>
      <xdr:rowOff>107156</xdr:rowOff>
    </xdr:from>
    <xdr:to>
      <xdr:col>2</xdr:col>
      <xdr:colOff>763788</xdr:colOff>
      <xdr:row>3</xdr:row>
      <xdr:rowOff>124927</xdr:rowOff>
    </xdr:to>
    <xdr:pic>
      <xdr:nvPicPr>
        <xdr:cNvPr id="2" name="Imagen 1" descr="Imagen que contiene Logotipo&#10;&#10;Descripción generada automáticamente">
          <a:extLst>
            <a:ext uri="{FF2B5EF4-FFF2-40B4-BE49-F238E27FC236}">
              <a16:creationId xmlns:a16="http://schemas.microsoft.com/office/drawing/2014/main" id="{84ABEF26-67FA-43D9-94EC-84EA086568CB}"/>
            </a:ext>
          </a:extLst>
        </xdr:cNvPr>
        <xdr:cNvPicPr>
          <a:picLocks noChangeAspect="1"/>
        </xdr:cNvPicPr>
      </xdr:nvPicPr>
      <xdr:blipFill>
        <a:blip xmlns:r="http://schemas.openxmlformats.org/officeDocument/2006/relationships" r:embed="rId1"/>
        <a:stretch>
          <a:fillRect/>
        </a:stretch>
      </xdr:blipFill>
      <xdr:spPr>
        <a:xfrm>
          <a:off x="342106" y="265906"/>
          <a:ext cx="1526582" cy="563871"/>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1</xdr:col>
      <xdr:colOff>202406</xdr:colOff>
      <xdr:row>1</xdr:row>
      <xdr:rowOff>107156</xdr:rowOff>
    </xdr:from>
    <xdr:to>
      <xdr:col>2</xdr:col>
      <xdr:colOff>763788</xdr:colOff>
      <xdr:row>3</xdr:row>
      <xdr:rowOff>124927</xdr:rowOff>
    </xdr:to>
    <xdr:pic>
      <xdr:nvPicPr>
        <xdr:cNvPr id="2" name="Imagen 1" descr="Imagen que contiene Logotipo&#10;&#10;Descripción generada automáticamente">
          <a:extLst>
            <a:ext uri="{FF2B5EF4-FFF2-40B4-BE49-F238E27FC236}">
              <a16:creationId xmlns:a16="http://schemas.microsoft.com/office/drawing/2014/main" id="{A06723A2-51FC-4BDE-8F1E-D1F5218D87C0}"/>
            </a:ext>
          </a:extLst>
        </xdr:cNvPr>
        <xdr:cNvPicPr>
          <a:picLocks noChangeAspect="1"/>
        </xdr:cNvPicPr>
      </xdr:nvPicPr>
      <xdr:blipFill>
        <a:blip xmlns:r="http://schemas.openxmlformats.org/officeDocument/2006/relationships" r:embed="rId1"/>
        <a:stretch>
          <a:fillRect/>
        </a:stretch>
      </xdr:blipFill>
      <xdr:spPr>
        <a:xfrm>
          <a:off x="342106" y="265906"/>
          <a:ext cx="1526582" cy="563871"/>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1</xdr:col>
      <xdr:colOff>202406</xdr:colOff>
      <xdr:row>1</xdr:row>
      <xdr:rowOff>107156</xdr:rowOff>
    </xdr:from>
    <xdr:to>
      <xdr:col>2</xdr:col>
      <xdr:colOff>763788</xdr:colOff>
      <xdr:row>3</xdr:row>
      <xdr:rowOff>124927</xdr:rowOff>
    </xdr:to>
    <xdr:pic>
      <xdr:nvPicPr>
        <xdr:cNvPr id="2" name="Imagen 1" descr="Imagen que contiene Logotipo&#10;&#10;Descripción generada automáticamente">
          <a:extLst>
            <a:ext uri="{FF2B5EF4-FFF2-40B4-BE49-F238E27FC236}">
              <a16:creationId xmlns:a16="http://schemas.microsoft.com/office/drawing/2014/main" id="{5730982F-7812-4C9F-A352-F40EEDD15053}"/>
            </a:ext>
          </a:extLst>
        </xdr:cNvPr>
        <xdr:cNvPicPr>
          <a:picLocks noChangeAspect="1"/>
        </xdr:cNvPicPr>
      </xdr:nvPicPr>
      <xdr:blipFill>
        <a:blip xmlns:r="http://schemas.openxmlformats.org/officeDocument/2006/relationships" r:embed="rId1"/>
        <a:stretch>
          <a:fillRect/>
        </a:stretch>
      </xdr:blipFill>
      <xdr:spPr>
        <a:xfrm>
          <a:off x="342106" y="265906"/>
          <a:ext cx="1526582" cy="563871"/>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1</xdr:col>
      <xdr:colOff>190500</xdr:colOff>
      <xdr:row>1</xdr:row>
      <xdr:rowOff>76201</xdr:rowOff>
    </xdr:from>
    <xdr:to>
      <xdr:col>7</xdr:col>
      <xdr:colOff>143836</xdr:colOff>
      <xdr:row>3</xdr:row>
      <xdr:rowOff>180975</xdr:rowOff>
    </xdr:to>
    <xdr:pic>
      <xdr:nvPicPr>
        <xdr:cNvPr id="2" name="Imagen 1" descr="Imagen que contiene Icono&#10;&#10;Descripción generada automáticamente">
          <a:extLst>
            <a:ext uri="{FF2B5EF4-FFF2-40B4-BE49-F238E27FC236}">
              <a16:creationId xmlns:a16="http://schemas.microsoft.com/office/drawing/2014/main" id="{B22B7696-B57B-4513-A8CF-EF864E34E2BE}"/>
            </a:ext>
          </a:extLst>
        </xdr:cNvPr>
        <xdr:cNvPicPr>
          <a:picLocks noChangeAspect="1"/>
        </xdr:cNvPicPr>
      </xdr:nvPicPr>
      <xdr:blipFill>
        <a:blip xmlns:r="http://schemas.openxmlformats.org/officeDocument/2006/relationships" r:embed="rId1"/>
        <a:stretch>
          <a:fillRect/>
        </a:stretch>
      </xdr:blipFill>
      <xdr:spPr>
        <a:xfrm>
          <a:off x="352425" y="152401"/>
          <a:ext cx="1267786" cy="504824"/>
        </a:xfrm>
        <a:prstGeom prst="rect">
          <a:avLst/>
        </a:prstGeom>
      </xdr:spPr>
    </xdr:pic>
    <xdr:clientData/>
  </xdr:twoCellAnchor>
  <xdr:twoCellAnchor editAs="oneCell">
    <xdr:from>
      <xdr:col>40</xdr:col>
      <xdr:colOff>95251</xdr:colOff>
      <xdr:row>1</xdr:row>
      <xdr:rowOff>76201</xdr:rowOff>
    </xdr:from>
    <xdr:to>
      <xdr:col>41</xdr:col>
      <xdr:colOff>800101</xdr:colOff>
      <xdr:row>3</xdr:row>
      <xdr:rowOff>88955</xdr:rowOff>
    </xdr:to>
    <xdr:pic>
      <xdr:nvPicPr>
        <xdr:cNvPr id="3" name="Imagen 2" descr="Imagen que contiene Logotipo&#10;&#10;Descripción generada automáticamente">
          <a:extLst>
            <a:ext uri="{FF2B5EF4-FFF2-40B4-BE49-F238E27FC236}">
              <a16:creationId xmlns:a16="http://schemas.microsoft.com/office/drawing/2014/main" id="{EA31B5AC-3491-4EB6-85A8-650FDD795CF7}"/>
            </a:ext>
          </a:extLst>
        </xdr:cNvPr>
        <xdr:cNvPicPr>
          <a:picLocks noChangeAspect="1"/>
        </xdr:cNvPicPr>
      </xdr:nvPicPr>
      <xdr:blipFill>
        <a:blip xmlns:r="http://schemas.openxmlformats.org/officeDocument/2006/relationships" r:embed="rId2"/>
        <a:stretch>
          <a:fillRect/>
        </a:stretch>
      </xdr:blipFill>
      <xdr:spPr>
        <a:xfrm>
          <a:off x="9458326" y="152401"/>
          <a:ext cx="1066800" cy="412804"/>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I:\Advisory\Forecasts%20for%20Telecoms%20and%20Mobile\2001_4q\Forecasts\Mobile\AME\CTYWKBKS\LA\MEX97.XLS"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172.16.9.31/ArchivosICBF/Desarrollo_Negocio/_Ofertas/ICBF/2015_09_GT/Modelo%20de%20Costes/2015_09_ICBF_GT_v.3-20_meses.xlsm" TargetMode="External"/><Relationship Id="rId1" Type="http://schemas.openxmlformats.org/officeDocument/2006/relationships/externalLinkPath" Target="/172.16.9.31/ArchivosICBF/Desarrollo_Negocio/_Ofertas/ICBF/2015_09_GT/Modelo%20de%20Costes/2015_09_ICBF_GT_v.3-20_meses.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icbfgob.sharepoint.com/172.16.9.31/ArchivosICBF/Desarrollo_Negocio/_Ofertas/ICBF/2015_09_GT/Modelo%20de%20Costes/2015_09_ICBF_GT_v.3-20_meses.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172.16.9.31\ArchivosICBF\Desarrollo_Negocio\_Ofertas\ICBF\2015_09_GT\Modelo%20de%20Costes\2015_09_ICBF_GT_v.3-20_meses.xlsm"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INPEC\imprimir\Ajustado_Modelo_de_costos_INPEC_10_01_2013.xlsx" TargetMode="External"/></Relationships>
</file>

<file path=xl/externalLinks/_rels/externalLink6.xml.rels><?xml version="1.0" encoding="UTF-8" standalone="yes"?>
<Relationships xmlns="http://schemas.openxmlformats.org/package/2006/relationships"><Relationship Id="rId2" Type="http://schemas.openxmlformats.org/officeDocument/2006/relationships/externalLinkPath" Target="../../../../../../../D09153DE/EQUIPOS%20METROLOGIA%20-%20SDI%20020713.xlsx" TargetMode="External"/><Relationship Id="rId1" Type="http://schemas.openxmlformats.org/officeDocument/2006/relationships/externalLinkPath" Target="/D09153DE/EQUIPOS%20METROLOGIA%20-%20SDI%20020713.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D:\DIRECCION%20TECNICA%20ICBF\Archivos%20FONADE\COSTEO%20DIAGNOSTICOS.xlsm" TargetMode="External"/></Relationships>
</file>

<file path=xl/externalLinks/_rels/externalLink8.xml.rels><?xml version="1.0" encoding="UTF-8" standalone="yes"?>
<Relationships xmlns="http://schemas.openxmlformats.org/package/2006/relationships"><Relationship Id="rId2" Type="http://schemas.openxmlformats.org/officeDocument/2006/relationships/externalLinkPath" Target="https://icbfgob.sharepoint.com/sites/FS_DAB/Documentos%20compartidos/03_ESC/01_FORMATOS/03_INTERNOS/03_SDC/05_SDC_EJEMPLO.xlsx" TargetMode="External"/><Relationship Id="rId1" Type="http://schemas.openxmlformats.org/officeDocument/2006/relationships/externalLinkPath" Target="https://icbfgob.sharepoint.com/sites/FS_DAB/Documentos%20compartidos/03_ESC/01_FORMATOS/03_INTERNOS/03_SDC/05_SDC_EJEMPLO.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carpetaspublicas/C4/C3/Normatividad%20Relativa%20al%20SGC/Document%20Library/F02.PR02.PN05%20(SEGUIMIENTO_%20AC).xls" TargetMode="External"/></Relationships>
</file>

<file path=xl/externalLinks/_rels/externalLink10.xml.rels><?xml version="1.0" encoding="UTF-8" standalone="yes"?>
<Relationships xmlns="http://schemas.openxmlformats.org/package/2006/relationships"><Relationship Id="rId2" Type="http://schemas.openxmlformats.org/officeDocument/2006/relationships/externalLinkPath" Target="../../../../../../../172.16.9.30/Disco%20local%20(F)/Datos/2012/ANTEPROYECTO/INGRESOS/BASE%20PND%202011-2014%20-%20PR%20SOCIAL%20feb%2010.xlsx" TargetMode="External"/><Relationship Id="rId1" Type="http://schemas.openxmlformats.org/officeDocument/2006/relationships/externalLinkPath" Target="/172.16.9.30/Disco%20local%20(F)/Datos/2012/ANTEPROYECTO/INGRESOS/BASE%20PND%202011-2014%20-%20PR%20SOCIAL%20feb%2010.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172.16.9.30\Disco%20local%20(F)\Datos\2012\ANTEPROYECTO\INGRESOS\BASE%20PND%202011-2014%20-%20PR%20SOCIAL%20feb%2010.xlsx" TargetMode="External"/></Relationships>
</file>

<file path=xl/externalLinks/_rels/externalLink12.xml.rels><?xml version="1.0" encoding="UTF-8" standalone="yes"?>
<Relationships xmlns="http://schemas.openxmlformats.org/package/2006/relationships"><Relationship Id="rId2" Type="http://schemas.openxmlformats.org/officeDocument/2006/relationships/externalLinkPath" Target="../../../../../../../172.16.9.31/archivosicbf/BK_CRM/ICBF/2015/Outsourcing/Oferta/Servicios%20de%20Outsourcing%20ICBF%20v2.0%2007092015%20_%2020%20meses.xlsm" TargetMode="External"/><Relationship Id="rId1" Type="http://schemas.openxmlformats.org/officeDocument/2006/relationships/externalLinkPath" Target="/172.16.9.31/archivosicbf/BK_CRM/ICBF/2015/Outsourcing/Oferta/Servicios%20de%20Outsourcing%20ICBF%20v2.0%2007092015%20_%2020%20meses.xlsm"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icbfgob.sharepoint.com/inteinsa-svr/Propuestas/BK_CRM/ICBF/2015/Outsourcing/Oferta/Servicios%20de%20Outsourcing%20ICBF%20v2.0%2007092015%20_%2020%20meses.xlsm"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172.16.9.31\archivosicbf\BK_CRM\ICBF\2015\Outsourcing\Oferta\Servicios%20de%20Outsourcing%20ICBF%20v2.0%2007092015%20_%2020%20meses.xlsm" TargetMode="External"/></Relationships>
</file>

<file path=xl/externalLinks/_rels/externalLink15.xml.rels><?xml version="1.0" encoding="UTF-8" standalone="yes"?>
<Relationships xmlns="http://schemas.openxmlformats.org/package/2006/relationships"><Relationship Id="rId1" Type="http://schemas.microsoft.com/office/2006/relationships/xlExternalLinkPath/xlPathMissing" Target="DATOS" TargetMode="External"/></Relationships>
</file>

<file path=xl/externalLinks/_rels/externalLink16.xml.rels><?xml version="1.0" encoding="UTF-8" standalone="yes"?>
<Relationships xmlns="http://schemas.openxmlformats.org/package/2006/relationships"><Relationship Id="rId2" Type="http://schemas.openxmlformats.org/officeDocument/2006/relationships/externalLinkPath" Target="../../../../../../../172.16.9.31/archivosicbf/Direcci&#243;n%20de%20Abastecimiento/Equipo%20de%20Estudios%20de%20Sector%20y%20Costos/6.%20ESTUDIOS%20DEFINITIVOS/2014/DIR%20DE%20GESTION%20HUMANA/EXAMENES%20MEDICOS%20OCUPACIONALES/EXAMENES%20MEDICOS-%20140213%20-CC2S.xlsx" TargetMode="External"/><Relationship Id="rId1" Type="http://schemas.openxmlformats.org/officeDocument/2006/relationships/externalLinkPath" Target="/172.16.9.31/archivosicbf/Direcci&#243;n%20de%20Abastecimiento/Equipo%20de%20Estudios%20de%20Sector%20y%20Costos/6.%20ESTUDIOS%20DEFINITIVOS/2014/DIR%20DE%20GESTION%20HUMANA/EXAMENES%20MEDICOS%20OCUPACIONALES/EXAMENES%20MEDICOS-%20140213%20-CC2S.xlsx"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172.16.9.31\archivosicbf\Direcci&#243;n%20de%20Abastecimiento\Equipo%20de%20Estudios%20de%20Sector%20y%20Costos\6.%20ESTUDIOS%20DEFINITIVOS\2014\DIR%20DE%20GESTION%20HUMANA\EXAMENES%20MEDICOS%20OCUPACIONALES\EXAMENES%20MEDICOS-%20140213%20-CC2S.xlsx"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E:\ICBF\DOCUMENTOS\1.%20DIRECCI&#211;N%20DE%20ABASTECIMIENTO\PROCESOS%202015\INTERVENTORIA%20CONT.%20OBRA%20No.1718\INTERVENTORIA%20CONT.%20OBRA%20No.1718%20-%20150616%20-%20EC.xlsx"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E:\ICBF\DOCUMENTOS\1.%20DIRECCI&#211;N%20DE%20ABASTECIMIENTO\PROCESOS%202017\EVALUACI&#211;N%20SRPA\04-EDC-EV-SRPA-160706.xlsx"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D:\Documents%20and%20Settings\diego.quintanilla\Escritorio\ICBF\Direcci&#243;n%20de%20Logistica%20y%20Abastecimiento\Encuesta%20Nacional%20de%20Juventud\E.C.%20Encuesta%20Nacional%20de%20Juventud.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D:\CONSOLIDADO_GENERAL_SEDES_PAE_15022010.xlsx" TargetMode="External"/></Relationships>
</file>

<file path=xl/externalLinks/_rels/externalLink22.xml.rels><?xml version="1.0" encoding="UTF-8" standalone="yes"?>
<Relationships xmlns="http://schemas.openxmlformats.org/package/2006/relationships"><Relationship Id="rId3" Type="http://schemas.openxmlformats.org/officeDocument/2006/relationships/externalLinkPath" Target="../Formato%20de%20cotizaci&#243;n%20-%20Vigilancia.xlsx" TargetMode="External"/><Relationship Id="rId2" Type="http://schemas.openxmlformats.org/officeDocument/2006/relationships/externalLinkPath" Target="file:///C:\Users\Camila\Documents\ICANH%202026\01.%20Procesos\09.%20Vigilancia\Formato%20de%20cotizaci&#243;n%20-%20Vigilancia.xlsx" TargetMode="External"/><Relationship Id="rId1" Type="http://schemas.openxmlformats.org/officeDocument/2006/relationships/externalLinkPath" Target="/Users/Camila/Documents/ICANH%202026/01.%20Procesos/09.%20Vigilancia/Formato%20de%20cotizaci&#243;n%20-%20Vigilancia.xlsx" TargetMode="External"/></Relationships>
</file>

<file path=xl/externalLinks/_rels/externalLink23.xml.rels><?xml version="1.0" encoding="UTF-8" standalone="yes"?>
<Relationships xmlns="http://schemas.openxmlformats.org/package/2006/relationships"><Relationship Id="rId2" Type="http://schemas.openxmlformats.org/officeDocument/2006/relationships/externalLinkPath" Target="../../../../../../mocri/Downloads/2%20Visan.xlsx" TargetMode="External"/><Relationship Id="rId1" Type="http://schemas.openxmlformats.org/officeDocument/2006/relationships/externalLinkPath" Target="/Users/mocri/Downloads/2%20Visan.xlsx" TargetMode="External"/></Relationships>
</file>

<file path=xl/externalLinks/_rels/externalLink24.xml.rels><?xml version="1.0" encoding="UTF-8" standalone="yes"?>
<Relationships xmlns="http://schemas.openxmlformats.org/package/2006/relationships"><Relationship Id="rId2" Type="http://schemas.openxmlformats.org/officeDocument/2006/relationships/externalLinkPath" Target="../../../../../../mocri/Downloads/3%20Libertadora.xlsx" TargetMode="External"/><Relationship Id="rId1" Type="http://schemas.openxmlformats.org/officeDocument/2006/relationships/externalLinkPath" Target="/Users/mocri/Downloads/3%20Libertadora.xlsx" TargetMode="External"/></Relationships>
</file>

<file path=xl/externalLinks/_rels/externalLink25.xml.rels><?xml version="1.0" encoding="UTF-8" standalone="yes"?>
<Relationships xmlns="http://schemas.openxmlformats.org/package/2006/relationships"><Relationship Id="rId2" Type="http://schemas.openxmlformats.org/officeDocument/2006/relationships/externalLinkPath" Target="../../../../../../mocri/Downloads/4%20Del%20sur.xlsx" TargetMode="External"/><Relationship Id="rId1" Type="http://schemas.openxmlformats.org/officeDocument/2006/relationships/externalLinkPath" Target="/Users/mocri/Downloads/4%20Del%20sur.xlsx" TargetMode="External"/></Relationships>
</file>

<file path=xl/externalLinks/_rels/externalLink26.xml.rels><?xml version="1.0" encoding="UTF-8" standalone="yes"?>
<Relationships xmlns="http://schemas.openxmlformats.org/package/2006/relationships"><Relationship Id="rId2" Type="http://schemas.openxmlformats.org/officeDocument/2006/relationships/externalLinkPath" Target="../../../../../../mocri/Downloads/5%20Squadra.xlsx" TargetMode="External"/><Relationship Id="rId1" Type="http://schemas.openxmlformats.org/officeDocument/2006/relationships/externalLinkPath" Target="/Users/mocri/Downloads/5%20Squadra.xlsx" TargetMode="External"/></Relationships>
</file>

<file path=xl/externalLinks/_rels/externalLink27.xml.rels><?xml version="1.0" encoding="UTF-8" standalone="yes"?>
<Relationships xmlns="http://schemas.openxmlformats.org/package/2006/relationships"><Relationship Id="rId2" Type="http://schemas.openxmlformats.org/officeDocument/2006/relationships/externalLinkPath" Target="../../../../../../mocri/Downloads/6%20Nueva%20Era.xlsx" TargetMode="External"/><Relationship Id="rId1" Type="http://schemas.openxmlformats.org/officeDocument/2006/relationships/externalLinkPath" Target="/Users/mocri/Downloads/6%20Nueva%20Era.xlsx" TargetMode="External"/></Relationships>
</file>

<file path=xl/externalLinks/_rels/externalLink28.xml.rels><?xml version="1.0" encoding="UTF-8" standalone="yes"?>
<Relationships xmlns="http://schemas.openxmlformats.org/package/2006/relationships"><Relationship Id="rId2" Type="http://schemas.openxmlformats.org/officeDocument/2006/relationships/externalLinkPath" Target="../../../../../../mocri/Downloads/7%20Pegaso.xlsx" TargetMode="External"/><Relationship Id="rId1" Type="http://schemas.openxmlformats.org/officeDocument/2006/relationships/externalLinkPath" Target="/Users/mocri/Downloads/7%20Pegaso.xlsx" TargetMode="External"/></Relationships>
</file>

<file path=xl/externalLinks/_rels/externalLink29.xml.rels><?xml version="1.0" encoding="UTF-8" standalone="yes"?>
<Relationships xmlns="http://schemas.openxmlformats.org/package/2006/relationships"><Relationship Id="rId2" Type="http://schemas.openxmlformats.org/officeDocument/2006/relationships/externalLinkPath" Target="../../../../../../mocri/Downloads/8%20Buho.xlsx" TargetMode="External"/><Relationship Id="rId1" Type="http://schemas.openxmlformats.org/officeDocument/2006/relationships/externalLinkPath" Target="/Users/mocri/Downloads/8%20Buho.xlsx" TargetMode="External"/></Relationships>
</file>

<file path=xl/externalLinks/_rels/externalLink30.xml.rels><?xml version="1.0" encoding="UTF-8" standalone="yes"?>
<Relationships xmlns="http://schemas.openxmlformats.org/package/2006/relationships"><Relationship Id="rId2" Type="http://schemas.openxmlformats.org/officeDocument/2006/relationships/externalLinkPath" Target="../../../../../../mocri/Downloads/9%20Azimut.xlsx" TargetMode="External"/><Relationship Id="rId1" Type="http://schemas.openxmlformats.org/officeDocument/2006/relationships/externalLinkPath" Target="/Users/mocri/Downloads/9%20Azimut.xlsx" TargetMode="External"/></Relationships>
</file>

<file path=xl/externalLinks/_rels/externalLink31.xml.rels><?xml version="1.0" encoding="UTF-8" standalone="yes"?>
<Relationships xmlns="http://schemas.openxmlformats.org/package/2006/relationships"><Relationship Id="rId2" Type="http://schemas.openxmlformats.org/officeDocument/2006/relationships/externalLinkPath" Target="../../../../../../mocri/Downloads/10%20Seracis.xlsx" TargetMode="External"/><Relationship Id="rId1" Type="http://schemas.openxmlformats.org/officeDocument/2006/relationships/externalLinkPath" Target="/Users/mocri/Downloads/10%20Seracis.xlsx" TargetMode="External"/></Relationships>
</file>

<file path=xl/externalLinks/_rels/externalLink32.xml.rels><?xml version="1.0" encoding="UTF-8" standalone="yes"?>
<Relationships xmlns="http://schemas.openxmlformats.org/package/2006/relationships"><Relationship Id="rId2" Type="http://schemas.openxmlformats.org/officeDocument/2006/relationships/externalLinkPath" Target="../../../../../../mocri/Downloads/11%20Acosta.xlsx" TargetMode="External"/><Relationship Id="rId1" Type="http://schemas.openxmlformats.org/officeDocument/2006/relationships/externalLinkPath" Target="/Users/mocri/Downloads/11%20Acosta.xlsx" TargetMode="External"/></Relationships>
</file>

<file path=xl/externalLinks/_rels/externalLink33.xml.rels><?xml version="1.0" encoding="UTF-8" standalone="yes"?>
<Relationships xmlns="http://schemas.openxmlformats.org/package/2006/relationships"><Relationship Id="rId2" Type="http://schemas.openxmlformats.org/officeDocument/2006/relationships/externalLinkPath" Target="../../../../../../mocri/Downloads/12%20Vipcol%202%20turnos.xlsx" TargetMode="External"/><Relationship Id="rId1" Type="http://schemas.openxmlformats.org/officeDocument/2006/relationships/externalLinkPath" Target="/Users/mocri/Downloads/12%20Vipcol%202%20turnos.xlsx" TargetMode="External"/></Relationships>
</file>

<file path=xl/externalLinks/_rels/externalLink34.xml.rels><?xml version="1.0" encoding="UTF-8" standalone="yes"?>
<Relationships xmlns="http://schemas.openxmlformats.org/package/2006/relationships"><Relationship Id="rId2" Type="http://schemas.openxmlformats.org/officeDocument/2006/relationships/externalLinkPath" Target="../../../../../../mocri/Downloads/Vipcol%201.xlsx" TargetMode="External"/><Relationship Id="rId1" Type="http://schemas.openxmlformats.org/officeDocument/2006/relationships/externalLinkPath" Target="/Users/mocri/Downloads/Vipcol%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sumptions"/>
      <sheetName val="MEX95IB"/>
      <sheetName val="Public"/>
      <sheetName val="MEX97"/>
      <sheetName val="Calculo"/>
      <sheetName val="Hoja1"/>
      <sheetName val="Global Catalog"/>
      <sheetName val="Programación"/>
      <sheetName val="MobileDataOutput"/>
      <sheetName val="MobileDemandOutput"/>
      <sheetName val="Media Output"/>
      <sheetName val="Ukraine Data"/>
      <sheetName val="Global Category"/>
      <sheetName val="Investing Motive &amp; Business Uni"/>
      <sheetName val="Technical Classification"/>
      <sheetName val="TABLAS"/>
      <sheetName val="Exp"/>
      <sheetName val="Cover"/>
      <sheetName val="Puerto"/>
      <sheetName val="Input"/>
      <sheetName val="Costanera"/>
      <sheetName val="Eletrobras"/>
      <sheetName val="Tractebel"/>
      <sheetName val="Cesp"/>
      <sheetName val="Tiete"/>
      <sheetName val="MPX"/>
      <sheetName val="Endesa"/>
      <sheetName val="Colbun"/>
      <sheetName val="Gener"/>
      <sheetName val="E.CL"/>
      <sheetName val="Isagen"/>
      <sheetName val="Edegel"/>
      <sheetName val="Costos"/>
      <sheetName val="Balancete Gerencial"/>
      <sheetName val="RawData"/>
      <sheetName val="Datos"/>
      <sheetName val="Global_Catalog"/>
      <sheetName val="Media_Output"/>
      <sheetName val="Ukraine_Data"/>
      <sheetName val="Global_Category"/>
      <sheetName val="Investing_Motive_&amp;_Business_Uni"/>
      <sheetName val="Technical_Classification"/>
      <sheetName val="dates "/>
      <sheetName val="%"/>
      <sheetName val="Summary"/>
      <sheetName val="08 mkt$ "/>
      <sheetName val="1994-skatt"/>
      <sheetName val="synthgraph DCF"/>
      <sheetName val="KENLBOPK"/>
      <sheetName val="AW"/>
      <sheetName val="RSG"/>
      <sheetName val="Transaction"/>
      <sheetName val="ReplaceExistingSites"/>
      <sheetName val="Media_Output3"/>
      <sheetName val="synthgraph_DCF2"/>
      <sheetName val="Media_Output1"/>
      <sheetName val="synthgraph_DCF"/>
      <sheetName val="FINANCE"/>
      <sheetName val="Media_Output2"/>
      <sheetName val="synthgraph_DCF1"/>
      <sheetName val="Media_Output4"/>
      <sheetName val="synthgraph_DCF3"/>
      <sheetName val="ELSA - Data Sheet"/>
      <sheetName val="HongKongResidential"/>
      <sheetName val="HongKongBusiness"/>
      <sheetName val="HongKongTotal"/>
      <sheetName val="Indonesia Residential"/>
      <sheetName val="Indonesia Business"/>
      <sheetName val="Indonesia Total"/>
      <sheetName val="Japan Residential"/>
      <sheetName val="Japan Business"/>
      <sheetName val="Japan Total"/>
      <sheetName val="DoT"/>
      <sheetName val="Index"/>
      <sheetName val="Tables"/>
      <sheetName val="Breakdown"/>
      <sheetName val="Listas"/>
      <sheetName val="Hoja4"/>
      <sheetName val="Summary Sheet (AT-2017-019)"/>
      <sheetName val="Hoja2"/>
      <sheetName val="Controles"/>
      <sheetName val="TC"/>
      <sheetName val="Sheet1"/>
      <sheetName val="SAFIB"/>
      <sheetName val="Telcel"/>
      <sheetName val="Supplier"/>
      <sheetName val="SOC.INSTRUMENTALES"/>
      <sheetName val="Apoio"/>
      <sheetName val="BB"/>
      <sheetName val="Variables"/>
      <sheetName val="BD"/>
      <sheetName val="MEX95IB_x0000_抺_x0013_ニӤ_x0000__x0000__x0000_珿抺_x0013_Ӥ_x0000_鸕粀抺_x0013__x001c_翻璆_x0013_珿"/>
      <sheetName val="MEX95IB_x0000_抺_x0013_ニӤ_x0000__x0000__x0000_珿抺_x0013_Ӥ_x0000_鸪粀抺_x0013__x001c_翻璆_x0013_珿"/>
      <sheetName val="Reconciliation"/>
      <sheetName val="Calcs and Matrix"/>
      <sheetName val="CEDBUDGET"/>
      <sheetName val="Paràmetro Paìs"/>
      <sheetName val="Sheet4"/>
      <sheetName val="MEX95IB"/>
      <sheetName val="Pre pago"/>
      <sheetName val="STOCK"/>
      <sheetName val="Technology Inputs"/>
      <sheetName val="Drop-down"/>
      <sheetName val="Performance Report"/>
      <sheetName val="I"/>
      <sheetName val="datos_bas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refreshError="1"/>
      <sheetData sheetId="58" refreshError="1"/>
      <sheetData sheetId="59" refreshError="1"/>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sheetData sheetId="99" refreshError="1"/>
      <sheetData sheetId="100" refreshError="1"/>
      <sheetData sheetId="101" refreshError="1"/>
      <sheetData sheetId="102" refreshError="1"/>
      <sheetData sheetId="103" refreshError="1"/>
      <sheetData sheetId="104" refreshError="1"/>
      <sheetData sheetId="10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ONFIGURACIÓN"/>
      <sheetName val="CALENDARIO"/>
      <sheetName val="DATOS ENTRADA"/>
      <sheetName val="COSTES NO SSPP"/>
      <sheetName val="HW&amp;SW"/>
      <sheetName val="DATOS MAESTROS"/>
      <sheetName val="TASAS"/>
      <sheetName val="Cash Flow (COP)"/>
      <sheetName val="DASHBOARD"/>
      <sheetName val="PARÁMETR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FIGURACIÓN"/>
      <sheetName val="CALENDARIO"/>
      <sheetName val="DATOS ENTRADA"/>
      <sheetName val="COSTES NO SSPP"/>
      <sheetName val="HW&amp;SW"/>
      <sheetName val="DATOS MAESTROS"/>
      <sheetName val="TASAS"/>
      <sheetName val="Cash Flow (COP)"/>
      <sheetName val="DASHBOARD"/>
      <sheetName val="PARÁMETROS"/>
      <sheetName val="Control de Cambios"/>
      <sheetName val="VALIDACION"/>
      <sheetName val="HOJA DE CONTROL"/>
      <sheetName val="ANALISIS OFFSHORE"/>
      <sheetName val="-OTROS PRECIO-"/>
      <sheetName val="PRICING"/>
      <sheetName val="COT ESCENARIO 1"/>
      <sheetName val="RESUMEN"/>
      <sheetName val="DETALLE INGRESOS"/>
      <sheetName val="DETALLE COSTES"/>
      <sheetName val="COSTES SSPP"/>
      <sheetName val="Costes SIEM - Firewalls"/>
      <sheetName val="TRANSICIÓN"/>
      <sheetName val="SERVICIOS - AT"/>
      <sheetName val="SERVICIOS - GU MICRO"/>
      <sheetName val="SERVICIOS - GU CAU"/>
      <sheetName val="SERVICIOS - GT"/>
      <sheetName val="SERVICIOS - FLEX-iT"/>
      <sheetName val="PIRÁMIDES"/>
      <sheetName val="LINEA BASE"/>
      <sheetName val="NOTAS"/>
      <sheetName val="hoja índice"/>
      <sheetName val="mex95ib"/>
      <sheetName val="Control_de_Cambios4"/>
      <sheetName val="HOJA_DE_CONTROL4"/>
      <sheetName val="ANALISIS_OFFSHORE4"/>
      <sheetName val="-OTROS_PRECIO-4"/>
      <sheetName val="COT_ESCENARIO_14"/>
      <sheetName val="DATOS_ENTRADA5"/>
      <sheetName val="Cash_Flow_(COP)5"/>
      <sheetName val="DETALLE_INGRESOS4"/>
      <sheetName val="DETALLE_COSTES4"/>
      <sheetName val="COSTES_SSPP4"/>
      <sheetName val="COSTES_NO_SSPP5"/>
      <sheetName val="Costes_SIEM_-_Firewalls4"/>
      <sheetName val="SERVICIOS_-_AT4"/>
      <sheetName val="SERVICIOS_-_GU_MICRO4"/>
      <sheetName val="SERVICIOS_-_GU_CAU4"/>
      <sheetName val="SERVICIOS_-_GT4"/>
      <sheetName val="SERVICIOS_-_FLEX-iT4"/>
      <sheetName val="LINEA_BASE4"/>
      <sheetName val="DATOS_MAESTROS5"/>
      <sheetName val="Control_de_Cambios3"/>
      <sheetName val="HOJA_DE_CONTROL3"/>
      <sheetName val="ANALISIS_OFFSHORE3"/>
      <sheetName val="-OTROS_PRECIO-3"/>
      <sheetName val="COT_ESCENARIO_13"/>
      <sheetName val="DATOS_ENTRADA4"/>
      <sheetName val="Cash_Flow_(COP)4"/>
      <sheetName val="DETALLE_INGRESOS3"/>
      <sheetName val="DETALLE_COSTES3"/>
      <sheetName val="COSTES_SSPP3"/>
      <sheetName val="COSTES_NO_SSPP4"/>
      <sheetName val="Costes_SIEM_-_Firewalls3"/>
      <sheetName val="SERVICIOS_-_AT3"/>
      <sheetName val="SERVICIOS_-_GU_MICRO3"/>
      <sheetName val="SERVICIOS_-_GU_CAU3"/>
      <sheetName val="SERVICIOS_-_GT3"/>
      <sheetName val="SERVICIOS_-_FLEX-iT3"/>
      <sheetName val="LINEA_BASE3"/>
      <sheetName val="DATOS_MAESTROS4"/>
      <sheetName val="Control_de_Cambios"/>
      <sheetName val="HOJA_DE_CONTROL"/>
      <sheetName val="ANALISIS_OFFSHORE"/>
      <sheetName val="-OTROS_PRECIO-"/>
      <sheetName val="COT_ESCENARIO_1"/>
      <sheetName val="DATOS_ENTRADA1"/>
      <sheetName val="Cash_Flow_(COP)1"/>
      <sheetName val="DETALLE_INGRESOS"/>
      <sheetName val="DETALLE_COSTES"/>
      <sheetName val="COSTES_SSPP"/>
      <sheetName val="COSTES_NO_SSPP1"/>
      <sheetName val="Costes_SIEM_-_Firewalls"/>
      <sheetName val="SERVICIOS_-_AT"/>
      <sheetName val="SERVICIOS_-_GU_MICRO"/>
      <sheetName val="SERVICIOS_-_GU_CAU"/>
      <sheetName val="SERVICIOS_-_GT"/>
      <sheetName val="SERVICIOS_-_FLEX-iT"/>
      <sheetName val="LINEA_BASE"/>
      <sheetName val="DATOS_MAESTROS1"/>
      <sheetName val="Cash_Flow_(COP)"/>
      <sheetName val="DATOS_ENTRADA"/>
      <sheetName val="DATOS_MAESTROS"/>
      <sheetName val="COSTES_NO_SSPP"/>
      <sheetName val="Control_de_Cambios2"/>
      <sheetName val="HOJA_DE_CONTROL2"/>
      <sheetName val="ANALISIS_OFFSHORE2"/>
      <sheetName val="-OTROS_PRECIO-2"/>
      <sheetName val="COT_ESCENARIO_12"/>
      <sheetName val="DATOS_ENTRADA3"/>
      <sheetName val="Cash_Flow_(COP)3"/>
      <sheetName val="DETALLE_INGRESOS2"/>
      <sheetName val="DETALLE_COSTES2"/>
      <sheetName val="COSTES_SSPP2"/>
      <sheetName val="COSTES_NO_SSPP3"/>
      <sheetName val="Costes_SIEM_-_Firewalls2"/>
      <sheetName val="SERVICIOS_-_AT2"/>
      <sheetName val="SERVICIOS_-_GU_MICRO2"/>
      <sheetName val="SERVICIOS_-_GU_CAU2"/>
      <sheetName val="SERVICIOS_-_GT2"/>
      <sheetName val="SERVICIOS_-_FLEX-iT2"/>
      <sheetName val="LINEA_BASE2"/>
      <sheetName val="DATOS_MAESTROS3"/>
      <sheetName val="Control_de_Cambios1"/>
      <sheetName val="HOJA_DE_CONTROL1"/>
      <sheetName val="ANALISIS_OFFSHORE1"/>
      <sheetName val="-OTROS_PRECIO-1"/>
      <sheetName val="COT_ESCENARIO_11"/>
      <sheetName val="DATOS_ENTRADA2"/>
      <sheetName val="Cash_Flow_(COP)2"/>
      <sheetName val="DETALLE_INGRESOS1"/>
      <sheetName val="DETALLE_COSTES1"/>
      <sheetName val="COSTES_SSPP1"/>
      <sheetName val="COSTES_NO_SSPP2"/>
      <sheetName val="Costes_SIEM_-_Firewalls1"/>
      <sheetName val="SERVICIOS_-_AT1"/>
      <sheetName val="SERVICIOS_-_GU_MICRO1"/>
      <sheetName val="SERVICIOS_-_GU_CAU1"/>
      <sheetName val="SERVICIOS_-_GT1"/>
      <sheetName val="SERVICIOS_-_FLEX-iT1"/>
      <sheetName val="LINEA_BASE1"/>
      <sheetName val="DATOS_MAESTROS2"/>
      <sheetName val="Control_de_Cambios5"/>
      <sheetName val="HOJA_DE_CONTROL5"/>
      <sheetName val="ANALISIS_OFFSHORE5"/>
      <sheetName val="-OTROS_PRECIO-5"/>
      <sheetName val="COT_ESCENARIO_15"/>
      <sheetName val="DATOS_ENTRADA6"/>
      <sheetName val="Cash_Flow_(COP)6"/>
      <sheetName val="DETALLE_INGRESOS5"/>
      <sheetName val="DETALLE_COSTES5"/>
      <sheetName val="COSTES_SSPP5"/>
      <sheetName val="COSTES_NO_SSPP6"/>
      <sheetName val="Costes_SIEM_-_Firewalls5"/>
      <sheetName val="SERVICIOS_-_AT5"/>
      <sheetName val="SERVICIOS_-_GU_MICRO5"/>
      <sheetName val="SERVICIOS_-_GU_CAU5"/>
      <sheetName val="SERVICIOS_-_GT5"/>
      <sheetName val="SERVICIOS_-_FLEX-iT5"/>
      <sheetName val="LINEA_BASE5"/>
      <sheetName val="DATOS_MAESTROS6"/>
      <sheetName val="Alimentos"/>
    </sheetNames>
    <sheetDataSet>
      <sheetData sheetId="0" refreshError="1">
        <row r="8">
          <cell r="C8">
            <v>18</v>
          </cell>
        </row>
        <row r="9">
          <cell r="C9">
            <v>42370</v>
          </cell>
          <cell r="F9">
            <v>2016</v>
          </cell>
        </row>
        <row r="10">
          <cell r="C10">
            <v>42916</v>
          </cell>
        </row>
        <row r="12">
          <cell r="C12">
            <v>9</v>
          </cell>
        </row>
        <row r="17">
          <cell r="D17">
            <v>12</v>
          </cell>
          <cell r="E17">
            <v>0</v>
          </cell>
        </row>
        <row r="18">
          <cell r="E18">
            <v>6</v>
          </cell>
          <cell r="F18">
            <v>0</v>
          </cell>
        </row>
        <row r="19">
          <cell r="F19">
            <v>0</v>
          </cell>
          <cell r="G19">
            <v>0</v>
          </cell>
        </row>
        <row r="20">
          <cell r="G20">
            <v>0</v>
          </cell>
          <cell r="H20">
            <v>0</v>
          </cell>
        </row>
        <row r="21">
          <cell r="H21">
            <v>0</v>
          </cell>
          <cell r="I21">
            <v>0</v>
          </cell>
        </row>
        <row r="22">
          <cell r="I22">
            <v>0</v>
          </cell>
          <cell r="J22">
            <v>0</v>
          </cell>
        </row>
        <row r="23">
          <cell r="J23">
            <v>0</v>
          </cell>
          <cell r="K23">
            <v>0</v>
          </cell>
        </row>
        <row r="24">
          <cell r="K24">
            <v>0</v>
          </cell>
          <cell r="L24">
            <v>0</v>
          </cell>
        </row>
        <row r="25">
          <cell r="L25">
            <v>0</v>
          </cell>
          <cell r="M25">
            <v>0</v>
          </cell>
        </row>
        <row r="26">
          <cell r="M26">
            <v>0</v>
          </cell>
          <cell r="N26">
            <v>0</v>
          </cell>
        </row>
        <row r="29">
          <cell r="D29">
            <v>12</v>
          </cell>
          <cell r="E29">
            <v>6</v>
          </cell>
          <cell r="F29">
            <v>0</v>
          </cell>
          <cell r="G29">
            <v>0</v>
          </cell>
          <cell r="H29">
            <v>0</v>
          </cell>
          <cell r="I29">
            <v>0</v>
          </cell>
          <cell r="J29">
            <v>0</v>
          </cell>
          <cell r="K29">
            <v>0</v>
          </cell>
          <cell r="L29">
            <v>0</v>
          </cell>
          <cell r="M29">
            <v>0</v>
          </cell>
          <cell r="N29">
            <v>0</v>
          </cell>
        </row>
        <row r="47">
          <cell r="B47" t="str">
            <v>COLOMBIA</v>
          </cell>
          <cell r="C47">
            <v>2200</v>
          </cell>
        </row>
        <row r="48">
          <cell r="C48">
            <v>0</v>
          </cell>
        </row>
        <row r="49">
          <cell r="C49">
            <v>0</v>
          </cell>
        </row>
        <row r="50">
          <cell r="C50">
            <v>0</v>
          </cell>
        </row>
        <row r="51">
          <cell r="C51">
            <v>0</v>
          </cell>
        </row>
        <row r="52">
          <cell r="C52">
            <v>0</v>
          </cell>
        </row>
        <row r="53">
          <cell r="C53">
            <v>0</v>
          </cell>
        </row>
      </sheetData>
      <sheetData sheetId="1" refreshError="1">
        <row r="6">
          <cell r="B6" t="str">
            <v>2013ENERO</v>
          </cell>
          <cell r="C6">
            <v>31</v>
          </cell>
          <cell r="D6">
            <v>2</v>
          </cell>
          <cell r="E6">
            <v>8</v>
          </cell>
          <cell r="F6">
            <v>21</v>
          </cell>
          <cell r="G6">
            <v>9</v>
          </cell>
          <cell r="H6">
            <v>189</v>
          </cell>
        </row>
        <row r="7">
          <cell r="B7" t="str">
            <v>2013FEBRERO</v>
          </cell>
          <cell r="C7">
            <v>28</v>
          </cell>
          <cell r="D7">
            <v>0</v>
          </cell>
          <cell r="E7">
            <v>8</v>
          </cell>
          <cell r="F7">
            <v>20</v>
          </cell>
          <cell r="G7">
            <v>9</v>
          </cell>
          <cell r="H7">
            <v>180</v>
          </cell>
        </row>
        <row r="8">
          <cell r="B8" t="str">
            <v>2013MARZO</v>
          </cell>
          <cell r="C8">
            <v>31</v>
          </cell>
          <cell r="D8">
            <v>3</v>
          </cell>
          <cell r="E8">
            <v>10</v>
          </cell>
          <cell r="F8">
            <v>18</v>
          </cell>
          <cell r="G8">
            <v>9</v>
          </cell>
          <cell r="H8">
            <v>162</v>
          </cell>
        </row>
        <row r="9">
          <cell r="B9" t="str">
            <v>2013ABRIL</v>
          </cell>
          <cell r="C9">
            <v>30</v>
          </cell>
          <cell r="D9">
            <v>0</v>
          </cell>
          <cell r="E9">
            <v>8</v>
          </cell>
          <cell r="F9">
            <v>22</v>
          </cell>
          <cell r="G9">
            <v>9</v>
          </cell>
          <cell r="H9">
            <v>198</v>
          </cell>
        </row>
        <row r="10">
          <cell r="B10" t="str">
            <v xml:space="preserve">2013MAYO       </v>
          </cell>
          <cell r="C10">
            <v>31</v>
          </cell>
          <cell r="D10">
            <v>2</v>
          </cell>
          <cell r="E10">
            <v>8</v>
          </cell>
          <cell r="F10">
            <v>21</v>
          </cell>
          <cell r="G10">
            <v>9</v>
          </cell>
          <cell r="H10">
            <v>189</v>
          </cell>
        </row>
        <row r="11">
          <cell r="B11" t="str">
            <v>2013JUNIO</v>
          </cell>
          <cell r="C11">
            <v>30</v>
          </cell>
          <cell r="D11">
            <v>2</v>
          </cell>
          <cell r="E11">
            <v>10</v>
          </cell>
          <cell r="F11">
            <v>18</v>
          </cell>
          <cell r="G11">
            <v>9</v>
          </cell>
          <cell r="H11">
            <v>162</v>
          </cell>
        </row>
        <row r="12">
          <cell r="B12" t="str">
            <v>2013JULIO</v>
          </cell>
          <cell r="C12">
            <v>31</v>
          </cell>
          <cell r="D12">
            <v>1</v>
          </cell>
          <cell r="E12">
            <v>8</v>
          </cell>
          <cell r="F12">
            <v>22</v>
          </cell>
          <cell r="G12">
            <v>9</v>
          </cell>
          <cell r="H12">
            <v>198</v>
          </cell>
        </row>
        <row r="13">
          <cell r="B13" t="str">
            <v>2013AGOSTO</v>
          </cell>
          <cell r="C13">
            <v>31</v>
          </cell>
          <cell r="D13">
            <v>2</v>
          </cell>
          <cell r="E13">
            <v>9</v>
          </cell>
          <cell r="F13">
            <v>20</v>
          </cell>
          <cell r="G13">
            <v>9</v>
          </cell>
          <cell r="H13">
            <v>180</v>
          </cell>
        </row>
        <row r="14">
          <cell r="B14" t="str">
            <v>2013SEPTIEMBRE</v>
          </cell>
          <cell r="C14">
            <v>30</v>
          </cell>
          <cell r="D14">
            <v>0</v>
          </cell>
          <cell r="E14">
            <v>9</v>
          </cell>
          <cell r="F14">
            <v>21</v>
          </cell>
          <cell r="G14">
            <v>9</v>
          </cell>
          <cell r="H14">
            <v>189</v>
          </cell>
        </row>
        <row r="15">
          <cell r="B15" t="str">
            <v>2013OCTUBRE</v>
          </cell>
          <cell r="C15">
            <v>31</v>
          </cell>
          <cell r="D15">
            <v>1</v>
          </cell>
          <cell r="E15">
            <v>8</v>
          </cell>
          <cell r="F15">
            <v>22</v>
          </cell>
          <cell r="G15">
            <v>9</v>
          </cell>
          <cell r="H15">
            <v>198</v>
          </cell>
        </row>
        <row r="16">
          <cell r="B16" t="str">
            <v>2013NOVIEMBRE</v>
          </cell>
          <cell r="C16">
            <v>30</v>
          </cell>
          <cell r="D16">
            <v>2</v>
          </cell>
          <cell r="E16">
            <v>9</v>
          </cell>
          <cell r="F16">
            <v>19</v>
          </cell>
          <cell r="G16">
            <v>9</v>
          </cell>
          <cell r="H16">
            <v>171</v>
          </cell>
        </row>
        <row r="17">
          <cell r="B17" t="str">
            <v xml:space="preserve">2013DICIEMBRE   </v>
          </cell>
          <cell r="C17">
            <v>31</v>
          </cell>
          <cell r="D17">
            <v>1</v>
          </cell>
          <cell r="E17">
            <v>9</v>
          </cell>
          <cell r="F17">
            <v>21</v>
          </cell>
          <cell r="G17">
            <v>9</v>
          </cell>
          <cell r="H17">
            <v>189</v>
          </cell>
        </row>
        <row r="18">
          <cell r="B18" t="str">
            <v>2014ENERO</v>
          </cell>
          <cell r="C18">
            <v>31</v>
          </cell>
          <cell r="D18">
            <v>2</v>
          </cell>
          <cell r="E18">
            <v>8</v>
          </cell>
          <cell r="F18">
            <v>21</v>
          </cell>
          <cell r="G18">
            <v>9</v>
          </cell>
          <cell r="H18">
            <v>189</v>
          </cell>
        </row>
        <row r="19">
          <cell r="B19" t="str">
            <v>2014FEBRERO</v>
          </cell>
          <cell r="C19">
            <v>28</v>
          </cell>
          <cell r="D19">
            <v>0</v>
          </cell>
          <cell r="E19">
            <v>8</v>
          </cell>
          <cell r="F19">
            <v>20</v>
          </cell>
          <cell r="G19">
            <v>9</v>
          </cell>
          <cell r="H19">
            <v>180</v>
          </cell>
        </row>
        <row r="20">
          <cell r="B20" t="str">
            <v>2014MARZO</v>
          </cell>
          <cell r="C20">
            <v>31</v>
          </cell>
          <cell r="D20">
            <v>1</v>
          </cell>
          <cell r="E20">
            <v>10</v>
          </cell>
          <cell r="F20">
            <v>20</v>
          </cell>
          <cell r="G20">
            <v>9</v>
          </cell>
          <cell r="H20">
            <v>180</v>
          </cell>
        </row>
        <row r="21">
          <cell r="B21" t="str">
            <v>2014ABRIL</v>
          </cell>
          <cell r="C21">
            <v>30</v>
          </cell>
          <cell r="D21">
            <v>2</v>
          </cell>
          <cell r="E21">
            <v>8</v>
          </cell>
          <cell r="F21">
            <v>20</v>
          </cell>
          <cell r="G21">
            <v>9</v>
          </cell>
          <cell r="H21">
            <v>180</v>
          </cell>
        </row>
        <row r="22">
          <cell r="B22" t="str">
            <v>2014MAYO</v>
          </cell>
          <cell r="C22">
            <v>31</v>
          </cell>
          <cell r="D22">
            <v>1</v>
          </cell>
          <cell r="E22">
            <v>9</v>
          </cell>
          <cell r="F22">
            <v>21</v>
          </cell>
          <cell r="G22">
            <v>9</v>
          </cell>
          <cell r="H22">
            <v>189</v>
          </cell>
        </row>
        <row r="23">
          <cell r="B23" t="str">
            <v>2014JUNIO</v>
          </cell>
          <cell r="C23">
            <v>30</v>
          </cell>
          <cell r="D23">
            <v>3</v>
          </cell>
          <cell r="E23">
            <v>9</v>
          </cell>
          <cell r="F23">
            <v>18</v>
          </cell>
          <cell r="G23">
            <v>9</v>
          </cell>
          <cell r="H23">
            <v>162</v>
          </cell>
        </row>
        <row r="24">
          <cell r="B24" t="str">
            <v>2014JULIO</v>
          </cell>
          <cell r="C24">
            <v>31</v>
          </cell>
          <cell r="D24">
            <v>0</v>
          </cell>
          <cell r="E24">
            <v>8</v>
          </cell>
          <cell r="F24">
            <v>23</v>
          </cell>
          <cell r="G24">
            <v>9</v>
          </cell>
          <cell r="H24">
            <v>207</v>
          </cell>
        </row>
        <row r="25">
          <cell r="B25" t="str">
            <v>2014AGOSTO</v>
          </cell>
          <cell r="C25">
            <v>31</v>
          </cell>
          <cell r="D25">
            <v>2</v>
          </cell>
          <cell r="E25">
            <v>10</v>
          </cell>
          <cell r="F25">
            <v>19</v>
          </cell>
          <cell r="G25">
            <v>9</v>
          </cell>
          <cell r="H25">
            <v>171</v>
          </cell>
        </row>
        <row r="26">
          <cell r="B26" t="str">
            <v>2014SEPTIEMBRE</v>
          </cell>
          <cell r="C26">
            <v>30</v>
          </cell>
          <cell r="D26">
            <v>0</v>
          </cell>
          <cell r="E26">
            <v>8</v>
          </cell>
          <cell r="F26">
            <v>22</v>
          </cell>
          <cell r="G26">
            <v>9</v>
          </cell>
          <cell r="H26">
            <v>198</v>
          </cell>
        </row>
        <row r="27">
          <cell r="B27" t="str">
            <v>2014OCTUBRE</v>
          </cell>
          <cell r="C27">
            <v>31</v>
          </cell>
          <cell r="D27">
            <v>1</v>
          </cell>
          <cell r="E27">
            <v>8</v>
          </cell>
          <cell r="F27">
            <v>22</v>
          </cell>
          <cell r="G27">
            <v>9</v>
          </cell>
          <cell r="H27">
            <v>198</v>
          </cell>
        </row>
        <row r="28">
          <cell r="B28" t="str">
            <v>2014NOVIEMBRE</v>
          </cell>
          <cell r="C28">
            <v>30</v>
          </cell>
          <cell r="D28">
            <v>2</v>
          </cell>
          <cell r="E28">
            <v>10</v>
          </cell>
          <cell r="F28">
            <v>18</v>
          </cell>
          <cell r="G28">
            <v>9</v>
          </cell>
          <cell r="H28">
            <v>162</v>
          </cell>
        </row>
        <row r="29">
          <cell r="B29" t="str">
            <v>2014DICIEMBRE</v>
          </cell>
          <cell r="C29">
            <v>31</v>
          </cell>
          <cell r="D29">
            <v>2</v>
          </cell>
          <cell r="E29">
            <v>8</v>
          </cell>
          <cell r="F29">
            <v>21</v>
          </cell>
          <cell r="G29">
            <v>9</v>
          </cell>
          <cell r="H29">
            <v>189</v>
          </cell>
        </row>
        <row r="30">
          <cell r="B30" t="str">
            <v>2015ENERO</v>
          </cell>
          <cell r="C30">
            <v>31</v>
          </cell>
          <cell r="D30">
            <v>2</v>
          </cell>
          <cell r="E30">
            <v>9</v>
          </cell>
          <cell r="F30">
            <v>20</v>
          </cell>
          <cell r="G30">
            <v>9</v>
          </cell>
          <cell r="H30">
            <v>180</v>
          </cell>
        </row>
        <row r="31">
          <cell r="B31" t="str">
            <v>2015FEBRERO</v>
          </cell>
          <cell r="C31">
            <v>28</v>
          </cell>
          <cell r="D31">
            <v>0</v>
          </cell>
          <cell r="E31">
            <v>8</v>
          </cell>
          <cell r="F31">
            <v>20</v>
          </cell>
          <cell r="G31">
            <v>9</v>
          </cell>
          <cell r="H31">
            <v>180</v>
          </cell>
        </row>
        <row r="32">
          <cell r="B32" t="str">
            <v>2015MARZO</v>
          </cell>
          <cell r="C32">
            <v>31</v>
          </cell>
          <cell r="D32">
            <v>1</v>
          </cell>
          <cell r="E32">
            <v>9</v>
          </cell>
          <cell r="F32">
            <v>21</v>
          </cell>
          <cell r="G32">
            <v>9</v>
          </cell>
          <cell r="H32">
            <v>189</v>
          </cell>
        </row>
        <row r="33">
          <cell r="B33" t="str">
            <v>2015ABRIL</v>
          </cell>
          <cell r="C33">
            <v>30</v>
          </cell>
          <cell r="D33">
            <v>2</v>
          </cell>
          <cell r="E33">
            <v>8</v>
          </cell>
          <cell r="F33">
            <v>20</v>
          </cell>
          <cell r="G33">
            <v>9</v>
          </cell>
          <cell r="H33">
            <v>180</v>
          </cell>
        </row>
        <row r="34">
          <cell r="B34" t="str">
            <v>2015MAYO</v>
          </cell>
          <cell r="C34">
            <v>31</v>
          </cell>
          <cell r="D34">
            <v>2</v>
          </cell>
          <cell r="E34">
            <v>10</v>
          </cell>
          <cell r="F34">
            <v>19</v>
          </cell>
          <cell r="G34">
            <v>9</v>
          </cell>
          <cell r="H34">
            <v>171</v>
          </cell>
        </row>
        <row r="35">
          <cell r="B35" t="str">
            <v>2015JUNIO</v>
          </cell>
          <cell r="C35">
            <v>30</v>
          </cell>
          <cell r="D35">
            <v>3</v>
          </cell>
          <cell r="E35">
            <v>8</v>
          </cell>
          <cell r="F35">
            <v>19</v>
          </cell>
          <cell r="G35">
            <v>9</v>
          </cell>
          <cell r="H35">
            <v>171</v>
          </cell>
        </row>
        <row r="36">
          <cell r="B36" t="str">
            <v>2015JULIO</v>
          </cell>
          <cell r="C36">
            <v>31</v>
          </cell>
          <cell r="D36">
            <v>1</v>
          </cell>
          <cell r="E36">
            <v>8</v>
          </cell>
          <cell r="F36">
            <v>22</v>
          </cell>
          <cell r="G36">
            <v>9</v>
          </cell>
          <cell r="H36">
            <v>198</v>
          </cell>
        </row>
        <row r="37">
          <cell r="B37" t="str">
            <v>2015AGOSTO</v>
          </cell>
          <cell r="C37">
            <v>31</v>
          </cell>
          <cell r="D37">
            <v>2</v>
          </cell>
          <cell r="E37">
            <v>10</v>
          </cell>
          <cell r="F37">
            <v>19</v>
          </cell>
          <cell r="G37">
            <v>9</v>
          </cell>
          <cell r="H37">
            <v>171</v>
          </cell>
        </row>
        <row r="38">
          <cell r="B38" t="str">
            <v>2015SEPTIEMBRE</v>
          </cell>
          <cell r="C38">
            <v>30</v>
          </cell>
          <cell r="D38">
            <v>0</v>
          </cell>
          <cell r="E38">
            <v>8</v>
          </cell>
          <cell r="F38">
            <v>22</v>
          </cell>
          <cell r="G38">
            <v>9</v>
          </cell>
          <cell r="H38">
            <v>198</v>
          </cell>
        </row>
        <row r="39">
          <cell r="B39" t="str">
            <v>2015OCTUBRE</v>
          </cell>
          <cell r="C39">
            <v>31</v>
          </cell>
          <cell r="D39">
            <v>1</v>
          </cell>
          <cell r="E39">
            <v>9</v>
          </cell>
          <cell r="F39">
            <v>21</v>
          </cell>
          <cell r="G39">
            <v>9</v>
          </cell>
          <cell r="H39">
            <v>189</v>
          </cell>
        </row>
        <row r="40">
          <cell r="B40" t="str">
            <v>2015NOVIEMBRE</v>
          </cell>
          <cell r="C40">
            <v>30</v>
          </cell>
          <cell r="D40">
            <v>2</v>
          </cell>
          <cell r="E40">
            <v>9</v>
          </cell>
          <cell r="F40">
            <v>19</v>
          </cell>
          <cell r="G40">
            <v>9</v>
          </cell>
          <cell r="H40">
            <v>171</v>
          </cell>
        </row>
        <row r="41">
          <cell r="B41" t="str">
            <v>2015DICIEMBRE</v>
          </cell>
          <cell r="C41">
            <v>31</v>
          </cell>
          <cell r="D41">
            <v>2</v>
          </cell>
          <cell r="E41">
            <v>8</v>
          </cell>
          <cell r="F41">
            <v>21</v>
          </cell>
          <cell r="G41">
            <v>9</v>
          </cell>
          <cell r="H41">
            <v>189</v>
          </cell>
        </row>
        <row r="42">
          <cell r="B42" t="str">
            <v>2016ENERO</v>
          </cell>
          <cell r="C42">
            <v>31</v>
          </cell>
          <cell r="D42">
            <v>2</v>
          </cell>
          <cell r="E42">
            <v>10</v>
          </cell>
          <cell r="F42">
            <v>19</v>
          </cell>
          <cell r="G42">
            <v>9</v>
          </cell>
          <cell r="H42">
            <v>171</v>
          </cell>
        </row>
        <row r="43">
          <cell r="B43" t="str">
            <v>2016FEBRERO</v>
          </cell>
          <cell r="C43">
            <v>29</v>
          </cell>
          <cell r="D43">
            <v>0</v>
          </cell>
          <cell r="E43">
            <v>8</v>
          </cell>
          <cell r="F43">
            <v>21</v>
          </cell>
          <cell r="G43">
            <v>9</v>
          </cell>
          <cell r="H43">
            <v>189</v>
          </cell>
        </row>
        <row r="44">
          <cell r="B44" t="str">
            <v>2016MARZO</v>
          </cell>
          <cell r="C44">
            <v>31</v>
          </cell>
          <cell r="D44">
            <v>3</v>
          </cell>
          <cell r="E44">
            <v>8</v>
          </cell>
          <cell r="F44">
            <v>20</v>
          </cell>
          <cell r="G44">
            <v>9</v>
          </cell>
          <cell r="H44">
            <v>180</v>
          </cell>
        </row>
        <row r="45">
          <cell r="B45" t="str">
            <v>2016ABRIL</v>
          </cell>
          <cell r="C45">
            <v>30</v>
          </cell>
          <cell r="D45">
            <v>0</v>
          </cell>
          <cell r="E45">
            <v>8</v>
          </cell>
          <cell r="F45">
            <v>22</v>
          </cell>
          <cell r="G45">
            <v>9</v>
          </cell>
          <cell r="H45">
            <v>198</v>
          </cell>
        </row>
        <row r="46">
          <cell r="B46" t="str">
            <v>2016MAYO</v>
          </cell>
          <cell r="C46">
            <v>31</v>
          </cell>
          <cell r="D46">
            <v>2</v>
          </cell>
          <cell r="E46">
            <v>9</v>
          </cell>
          <cell r="F46">
            <v>20</v>
          </cell>
          <cell r="G46">
            <v>9</v>
          </cell>
          <cell r="H46">
            <v>180</v>
          </cell>
        </row>
        <row r="47">
          <cell r="B47" t="str">
            <v>2016JUNIO</v>
          </cell>
          <cell r="C47">
            <v>30</v>
          </cell>
          <cell r="D47">
            <v>1</v>
          </cell>
          <cell r="E47">
            <v>8</v>
          </cell>
          <cell r="F47">
            <v>21</v>
          </cell>
          <cell r="G47">
            <v>9</v>
          </cell>
          <cell r="H47">
            <v>189</v>
          </cell>
        </row>
        <row r="48">
          <cell r="B48" t="str">
            <v>2016JULIO</v>
          </cell>
          <cell r="C48">
            <v>31</v>
          </cell>
          <cell r="D48">
            <v>2</v>
          </cell>
          <cell r="E48">
            <v>10</v>
          </cell>
          <cell r="F48">
            <v>19</v>
          </cell>
          <cell r="G48">
            <v>9</v>
          </cell>
          <cell r="H48">
            <v>171</v>
          </cell>
        </row>
        <row r="49">
          <cell r="B49" t="str">
            <v>2016AGOSTO</v>
          </cell>
          <cell r="C49">
            <v>31</v>
          </cell>
          <cell r="D49">
            <v>1</v>
          </cell>
          <cell r="E49">
            <v>8</v>
          </cell>
          <cell r="F49">
            <v>22</v>
          </cell>
          <cell r="G49">
            <v>9</v>
          </cell>
          <cell r="H49">
            <v>198</v>
          </cell>
        </row>
        <row r="50">
          <cell r="B50" t="str">
            <v>2016SEPTIEMBRE</v>
          </cell>
          <cell r="C50">
            <v>30</v>
          </cell>
          <cell r="D50">
            <v>0</v>
          </cell>
          <cell r="E50">
            <v>8</v>
          </cell>
          <cell r="F50">
            <v>22</v>
          </cell>
          <cell r="G50">
            <v>9</v>
          </cell>
          <cell r="H50">
            <v>198</v>
          </cell>
        </row>
        <row r="51">
          <cell r="B51" t="str">
            <v>2016OCTUBRE</v>
          </cell>
          <cell r="C51">
            <v>31</v>
          </cell>
          <cell r="D51">
            <v>1</v>
          </cell>
          <cell r="E51">
            <v>10</v>
          </cell>
          <cell r="F51">
            <v>20</v>
          </cell>
          <cell r="G51">
            <v>9</v>
          </cell>
          <cell r="H51">
            <v>180</v>
          </cell>
        </row>
        <row r="52">
          <cell r="B52" t="str">
            <v>2016NOVIEMBRE</v>
          </cell>
          <cell r="C52">
            <v>30</v>
          </cell>
          <cell r="D52">
            <v>2</v>
          </cell>
          <cell r="E52">
            <v>8</v>
          </cell>
          <cell r="F52">
            <v>20</v>
          </cell>
          <cell r="G52">
            <v>9</v>
          </cell>
          <cell r="H52">
            <v>180</v>
          </cell>
        </row>
        <row r="53">
          <cell r="B53" t="str">
            <v>2016DICIEMBRE</v>
          </cell>
          <cell r="C53">
            <v>31</v>
          </cell>
          <cell r="D53">
            <v>1</v>
          </cell>
          <cell r="E53">
            <v>9</v>
          </cell>
          <cell r="F53">
            <v>21</v>
          </cell>
          <cell r="G53">
            <v>9</v>
          </cell>
          <cell r="H53">
            <v>189</v>
          </cell>
        </row>
        <row r="54">
          <cell r="B54" t="str">
            <v>2017ENERO</v>
          </cell>
          <cell r="C54">
            <v>31</v>
          </cell>
          <cell r="D54">
            <v>1</v>
          </cell>
          <cell r="E54">
            <v>9</v>
          </cell>
          <cell r="F54">
            <v>21</v>
          </cell>
          <cell r="G54">
            <v>9</v>
          </cell>
          <cell r="H54">
            <v>189</v>
          </cell>
        </row>
        <row r="55">
          <cell r="B55" t="str">
            <v>2017FEBRERO</v>
          </cell>
          <cell r="C55">
            <v>28</v>
          </cell>
          <cell r="D55">
            <v>0</v>
          </cell>
          <cell r="E55">
            <v>8</v>
          </cell>
          <cell r="F55">
            <v>20</v>
          </cell>
          <cell r="G55">
            <v>9</v>
          </cell>
          <cell r="H55">
            <v>180</v>
          </cell>
        </row>
        <row r="56">
          <cell r="B56" t="str">
            <v>2017MARZO</v>
          </cell>
          <cell r="C56">
            <v>31</v>
          </cell>
          <cell r="D56">
            <v>1</v>
          </cell>
          <cell r="E56">
            <v>8</v>
          </cell>
          <cell r="F56">
            <v>22</v>
          </cell>
          <cell r="G56">
            <v>9</v>
          </cell>
          <cell r="H56">
            <v>198</v>
          </cell>
        </row>
        <row r="57">
          <cell r="B57" t="str">
            <v>2017ABRIL</v>
          </cell>
          <cell r="C57">
            <v>30</v>
          </cell>
          <cell r="D57">
            <v>2</v>
          </cell>
          <cell r="E57">
            <v>10</v>
          </cell>
          <cell r="F57">
            <v>18</v>
          </cell>
          <cell r="G57">
            <v>9</v>
          </cell>
          <cell r="H57">
            <v>162</v>
          </cell>
        </row>
        <row r="58">
          <cell r="B58" t="str">
            <v>2017MAYO</v>
          </cell>
          <cell r="C58">
            <v>31</v>
          </cell>
          <cell r="D58">
            <v>2</v>
          </cell>
          <cell r="E58">
            <v>8</v>
          </cell>
          <cell r="F58">
            <v>21</v>
          </cell>
          <cell r="G58">
            <v>9</v>
          </cell>
          <cell r="H58">
            <v>189</v>
          </cell>
        </row>
        <row r="59">
          <cell r="B59" t="str">
            <v>2017JUNIO</v>
          </cell>
          <cell r="C59">
            <v>30</v>
          </cell>
          <cell r="D59">
            <v>2</v>
          </cell>
          <cell r="E59">
            <v>8</v>
          </cell>
          <cell r="F59">
            <v>20</v>
          </cell>
          <cell r="G59">
            <v>9</v>
          </cell>
          <cell r="H59">
            <v>180</v>
          </cell>
        </row>
        <row r="60">
          <cell r="B60" t="str">
            <v>2017JULIO</v>
          </cell>
          <cell r="C60">
            <v>31</v>
          </cell>
          <cell r="D60">
            <v>2</v>
          </cell>
          <cell r="E60">
            <v>10</v>
          </cell>
          <cell r="F60">
            <v>19</v>
          </cell>
          <cell r="G60">
            <v>9</v>
          </cell>
          <cell r="H60">
            <v>171</v>
          </cell>
        </row>
        <row r="61">
          <cell r="B61" t="str">
            <v>2017AGOSTO</v>
          </cell>
          <cell r="C61">
            <v>31</v>
          </cell>
          <cell r="D61">
            <v>2</v>
          </cell>
          <cell r="E61">
            <v>8</v>
          </cell>
          <cell r="F61">
            <v>21</v>
          </cell>
          <cell r="G61">
            <v>9</v>
          </cell>
          <cell r="H61">
            <v>189</v>
          </cell>
        </row>
        <row r="62">
          <cell r="B62" t="str">
            <v>2017SEPTIEMBRE</v>
          </cell>
          <cell r="C62">
            <v>30</v>
          </cell>
          <cell r="D62">
            <v>0</v>
          </cell>
          <cell r="E62">
            <v>9</v>
          </cell>
          <cell r="F62">
            <v>21</v>
          </cell>
          <cell r="G62">
            <v>9</v>
          </cell>
          <cell r="H62">
            <v>189</v>
          </cell>
        </row>
        <row r="63">
          <cell r="B63" t="str">
            <v>2017OCTUBRE</v>
          </cell>
          <cell r="C63">
            <v>31</v>
          </cell>
          <cell r="D63">
            <v>1</v>
          </cell>
          <cell r="E63">
            <v>9</v>
          </cell>
          <cell r="F63">
            <v>21</v>
          </cell>
          <cell r="G63">
            <v>9</v>
          </cell>
          <cell r="H63">
            <v>189</v>
          </cell>
        </row>
        <row r="64">
          <cell r="B64" t="str">
            <v>2017NOVIEMBRE</v>
          </cell>
          <cell r="C64">
            <v>30</v>
          </cell>
          <cell r="D64">
            <v>2</v>
          </cell>
          <cell r="E64">
            <v>8</v>
          </cell>
          <cell r="F64">
            <v>20</v>
          </cell>
          <cell r="G64">
            <v>9</v>
          </cell>
          <cell r="H64">
            <v>180</v>
          </cell>
        </row>
        <row r="65">
          <cell r="B65" t="str">
            <v>2017DICIEMBRE</v>
          </cell>
          <cell r="C65">
            <v>31</v>
          </cell>
          <cell r="D65">
            <v>2</v>
          </cell>
          <cell r="E65">
            <v>10</v>
          </cell>
          <cell r="F65">
            <v>19</v>
          </cell>
          <cell r="G65">
            <v>9</v>
          </cell>
          <cell r="H65">
            <v>171</v>
          </cell>
        </row>
        <row r="66">
          <cell r="B66" t="str">
            <v>2018ENERO</v>
          </cell>
          <cell r="C66">
            <v>31</v>
          </cell>
          <cell r="D66">
            <v>2</v>
          </cell>
          <cell r="E66">
            <v>8</v>
          </cell>
          <cell r="F66">
            <v>21</v>
          </cell>
          <cell r="G66">
            <v>9</v>
          </cell>
          <cell r="H66">
            <v>189</v>
          </cell>
        </row>
        <row r="67">
          <cell r="B67" t="str">
            <v>2018FEBRERO</v>
          </cell>
          <cell r="C67">
            <v>28</v>
          </cell>
          <cell r="D67">
            <v>0</v>
          </cell>
          <cell r="E67">
            <v>8</v>
          </cell>
          <cell r="F67">
            <v>20</v>
          </cell>
          <cell r="G67">
            <v>9</v>
          </cell>
          <cell r="H67">
            <v>180</v>
          </cell>
        </row>
        <row r="68">
          <cell r="B68" t="str">
            <v>2018MARZO</v>
          </cell>
          <cell r="C68">
            <v>31</v>
          </cell>
          <cell r="D68">
            <v>3</v>
          </cell>
          <cell r="E68">
            <v>9</v>
          </cell>
          <cell r="F68">
            <v>19</v>
          </cell>
          <cell r="G68">
            <v>9</v>
          </cell>
          <cell r="H68">
            <v>171</v>
          </cell>
        </row>
        <row r="69">
          <cell r="B69" t="str">
            <v>2018ABRIL</v>
          </cell>
          <cell r="C69">
            <v>30</v>
          </cell>
          <cell r="D69">
            <v>0</v>
          </cell>
          <cell r="E69">
            <v>9</v>
          </cell>
          <cell r="F69">
            <v>21</v>
          </cell>
          <cell r="G69">
            <v>9</v>
          </cell>
          <cell r="H69">
            <v>189</v>
          </cell>
        </row>
        <row r="70">
          <cell r="B70" t="str">
            <v>2018MAYO</v>
          </cell>
          <cell r="C70">
            <v>31</v>
          </cell>
          <cell r="D70">
            <v>1</v>
          </cell>
          <cell r="E70">
            <v>8</v>
          </cell>
          <cell r="F70">
            <v>22</v>
          </cell>
          <cell r="G70">
            <v>9</v>
          </cell>
          <cell r="H70">
            <v>198</v>
          </cell>
        </row>
        <row r="71">
          <cell r="B71" t="str">
            <v>2018JUNIO</v>
          </cell>
          <cell r="C71">
            <v>30</v>
          </cell>
          <cell r="D71">
            <v>2</v>
          </cell>
          <cell r="E71">
            <v>9</v>
          </cell>
          <cell r="F71">
            <v>19</v>
          </cell>
          <cell r="G71">
            <v>9</v>
          </cell>
          <cell r="H71">
            <v>171</v>
          </cell>
        </row>
        <row r="72">
          <cell r="B72" t="str">
            <v>2018JULIO</v>
          </cell>
          <cell r="C72">
            <v>31</v>
          </cell>
          <cell r="D72">
            <v>2</v>
          </cell>
          <cell r="E72">
            <v>9</v>
          </cell>
          <cell r="F72">
            <v>20</v>
          </cell>
          <cell r="G72">
            <v>9</v>
          </cell>
          <cell r="H72">
            <v>180</v>
          </cell>
        </row>
        <row r="73">
          <cell r="B73" t="str">
            <v>2018AGOSTO</v>
          </cell>
          <cell r="C73">
            <v>31</v>
          </cell>
          <cell r="D73">
            <v>2</v>
          </cell>
          <cell r="E73">
            <v>8</v>
          </cell>
          <cell r="F73">
            <v>21</v>
          </cell>
          <cell r="G73">
            <v>9</v>
          </cell>
          <cell r="H73">
            <v>189</v>
          </cell>
        </row>
        <row r="74">
          <cell r="B74" t="str">
            <v>2018SEPTIEMBRE</v>
          </cell>
          <cell r="C74">
            <v>30</v>
          </cell>
          <cell r="D74">
            <v>0</v>
          </cell>
          <cell r="E74">
            <v>10</v>
          </cell>
          <cell r="F74">
            <v>20</v>
          </cell>
          <cell r="G74">
            <v>9</v>
          </cell>
          <cell r="H74">
            <v>180</v>
          </cell>
        </row>
        <row r="75">
          <cell r="B75" t="str">
            <v>2018OCTUBRE</v>
          </cell>
          <cell r="C75">
            <v>31</v>
          </cell>
          <cell r="D75">
            <v>1</v>
          </cell>
          <cell r="E75">
            <v>8</v>
          </cell>
          <cell r="F75">
            <v>22</v>
          </cell>
          <cell r="G75">
            <v>9</v>
          </cell>
          <cell r="H75">
            <v>198</v>
          </cell>
        </row>
        <row r="76">
          <cell r="B76" t="str">
            <v>2018NOVIEMBRE</v>
          </cell>
          <cell r="C76">
            <v>30</v>
          </cell>
          <cell r="D76">
            <v>2</v>
          </cell>
          <cell r="E76">
            <v>8</v>
          </cell>
          <cell r="F76">
            <v>20</v>
          </cell>
          <cell r="G76">
            <v>9</v>
          </cell>
          <cell r="H76">
            <v>180</v>
          </cell>
        </row>
        <row r="77">
          <cell r="B77" t="str">
            <v>2018DICIEMBRE</v>
          </cell>
          <cell r="C77">
            <v>31</v>
          </cell>
          <cell r="D77">
            <v>2</v>
          </cell>
          <cell r="E77">
            <v>10</v>
          </cell>
          <cell r="F77">
            <v>19</v>
          </cell>
          <cell r="G77">
            <v>9</v>
          </cell>
          <cell r="H77">
            <v>171</v>
          </cell>
        </row>
        <row r="78">
          <cell r="B78" t="str">
            <v>2019ENERO</v>
          </cell>
          <cell r="C78">
            <v>31</v>
          </cell>
          <cell r="D78">
            <v>2</v>
          </cell>
          <cell r="E78">
            <v>8</v>
          </cell>
          <cell r="F78">
            <v>21</v>
          </cell>
          <cell r="G78">
            <v>9</v>
          </cell>
          <cell r="H78">
            <v>189</v>
          </cell>
        </row>
        <row r="79">
          <cell r="B79" t="str">
            <v>2019FEBRERO</v>
          </cell>
          <cell r="C79">
            <v>28</v>
          </cell>
          <cell r="D79">
            <v>0</v>
          </cell>
          <cell r="E79">
            <v>8</v>
          </cell>
          <cell r="F79">
            <v>20</v>
          </cell>
          <cell r="G79">
            <v>9</v>
          </cell>
          <cell r="H79">
            <v>180</v>
          </cell>
        </row>
        <row r="80">
          <cell r="B80" t="str">
            <v>2019MARZO</v>
          </cell>
          <cell r="C80">
            <v>31</v>
          </cell>
          <cell r="D80">
            <v>3</v>
          </cell>
          <cell r="E80">
            <v>9</v>
          </cell>
          <cell r="F80">
            <v>19</v>
          </cell>
          <cell r="G80">
            <v>9</v>
          </cell>
          <cell r="H80">
            <v>171</v>
          </cell>
        </row>
        <row r="81">
          <cell r="B81" t="str">
            <v>2019ABRIL</v>
          </cell>
          <cell r="C81">
            <v>30</v>
          </cell>
          <cell r="D81">
            <v>0</v>
          </cell>
          <cell r="E81">
            <v>9</v>
          </cell>
          <cell r="F81">
            <v>21</v>
          </cell>
          <cell r="G81">
            <v>9</v>
          </cell>
          <cell r="H81">
            <v>189</v>
          </cell>
        </row>
        <row r="82">
          <cell r="B82" t="str">
            <v>2019MAYO</v>
          </cell>
          <cell r="C82">
            <v>31</v>
          </cell>
          <cell r="D82">
            <v>1</v>
          </cell>
          <cell r="E82">
            <v>8</v>
          </cell>
          <cell r="F82">
            <v>22</v>
          </cell>
          <cell r="G82">
            <v>9</v>
          </cell>
          <cell r="H82">
            <v>198</v>
          </cell>
        </row>
        <row r="83">
          <cell r="B83" t="str">
            <v>2019JUNIO</v>
          </cell>
          <cell r="C83">
            <v>30</v>
          </cell>
          <cell r="D83">
            <v>2</v>
          </cell>
          <cell r="E83">
            <v>9</v>
          </cell>
          <cell r="F83">
            <v>19</v>
          </cell>
          <cell r="G83">
            <v>9</v>
          </cell>
          <cell r="H83">
            <v>171</v>
          </cell>
        </row>
        <row r="84">
          <cell r="B84" t="str">
            <v>2019JULIO</v>
          </cell>
          <cell r="C84">
            <v>31</v>
          </cell>
          <cell r="D84">
            <v>2</v>
          </cell>
          <cell r="E84">
            <v>9</v>
          </cell>
          <cell r="F84">
            <v>20</v>
          </cell>
          <cell r="G84">
            <v>9</v>
          </cell>
          <cell r="H84">
            <v>180</v>
          </cell>
        </row>
        <row r="85">
          <cell r="B85" t="str">
            <v>2019AGOSTO</v>
          </cell>
          <cell r="C85">
            <v>31</v>
          </cell>
          <cell r="D85">
            <v>2</v>
          </cell>
          <cell r="E85">
            <v>8</v>
          </cell>
          <cell r="F85">
            <v>21</v>
          </cell>
          <cell r="G85">
            <v>9</v>
          </cell>
          <cell r="H85">
            <v>189</v>
          </cell>
        </row>
        <row r="86">
          <cell r="B86" t="str">
            <v>2019SEPTIEMBRE</v>
          </cell>
          <cell r="C86">
            <v>30</v>
          </cell>
          <cell r="D86">
            <v>0</v>
          </cell>
          <cell r="E86">
            <v>10</v>
          </cell>
          <cell r="F86">
            <v>20</v>
          </cell>
          <cell r="G86">
            <v>9</v>
          </cell>
          <cell r="H86">
            <v>180</v>
          </cell>
        </row>
        <row r="87">
          <cell r="B87" t="str">
            <v>2019OCTUBRE</v>
          </cell>
          <cell r="C87">
            <v>31</v>
          </cell>
          <cell r="D87">
            <v>1</v>
          </cell>
          <cell r="E87">
            <v>8</v>
          </cell>
          <cell r="F87">
            <v>22</v>
          </cell>
          <cell r="G87">
            <v>9</v>
          </cell>
          <cell r="H87">
            <v>198</v>
          </cell>
        </row>
        <row r="88">
          <cell r="B88" t="str">
            <v>2019NOVIEMBRE</v>
          </cell>
          <cell r="C88">
            <v>30</v>
          </cell>
          <cell r="D88">
            <v>2</v>
          </cell>
          <cell r="E88">
            <v>8</v>
          </cell>
          <cell r="F88">
            <v>20</v>
          </cell>
          <cell r="G88">
            <v>9</v>
          </cell>
          <cell r="H88">
            <v>180</v>
          </cell>
        </row>
        <row r="89">
          <cell r="B89" t="str">
            <v>2019DICIEMBRE</v>
          </cell>
          <cell r="C89">
            <v>31</v>
          </cell>
          <cell r="D89">
            <v>2</v>
          </cell>
          <cell r="E89">
            <v>10</v>
          </cell>
          <cell r="F89">
            <v>19</v>
          </cell>
          <cell r="G89">
            <v>9</v>
          </cell>
          <cell r="H89">
            <v>171</v>
          </cell>
        </row>
        <row r="90">
          <cell r="B90" t="str">
            <v>2020ENERO</v>
          </cell>
          <cell r="C90">
            <v>31</v>
          </cell>
          <cell r="D90">
            <v>2</v>
          </cell>
          <cell r="E90">
            <v>8</v>
          </cell>
          <cell r="F90">
            <v>21</v>
          </cell>
          <cell r="G90">
            <v>9</v>
          </cell>
          <cell r="H90">
            <v>189</v>
          </cell>
        </row>
        <row r="91">
          <cell r="B91" t="str">
            <v>2020FEBRERO</v>
          </cell>
          <cell r="C91">
            <v>28</v>
          </cell>
          <cell r="D91">
            <v>0</v>
          </cell>
          <cell r="E91">
            <v>8</v>
          </cell>
          <cell r="F91">
            <v>20</v>
          </cell>
          <cell r="G91">
            <v>9</v>
          </cell>
          <cell r="H91">
            <v>180</v>
          </cell>
        </row>
        <row r="92">
          <cell r="B92" t="str">
            <v>2020MARZO</v>
          </cell>
          <cell r="C92">
            <v>31</v>
          </cell>
          <cell r="D92">
            <v>3</v>
          </cell>
          <cell r="E92">
            <v>9</v>
          </cell>
          <cell r="F92">
            <v>19</v>
          </cell>
          <cell r="G92">
            <v>9</v>
          </cell>
          <cell r="H92">
            <v>171</v>
          </cell>
        </row>
        <row r="93">
          <cell r="B93" t="str">
            <v>2020ABRIL</v>
          </cell>
          <cell r="C93">
            <v>30</v>
          </cell>
          <cell r="D93">
            <v>0</v>
          </cell>
          <cell r="E93">
            <v>9</v>
          </cell>
          <cell r="F93">
            <v>21</v>
          </cell>
          <cell r="G93">
            <v>9</v>
          </cell>
          <cell r="H93">
            <v>189</v>
          </cell>
        </row>
        <row r="94">
          <cell r="B94" t="str">
            <v>2020MAYO</v>
          </cell>
          <cell r="C94">
            <v>31</v>
          </cell>
          <cell r="D94">
            <v>1</v>
          </cell>
          <cell r="E94">
            <v>8</v>
          </cell>
          <cell r="F94">
            <v>22</v>
          </cell>
          <cell r="G94">
            <v>9</v>
          </cell>
          <cell r="H94">
            <v>198</v>
          </cell>
        </row>
        <row r="95">
          <cell r="B95" t="str">
            <v>2020JUNIO</v>
          </cell>
          <cell r="C95">
            <v>30</v>
          </cell>
          <cell r="D95">
            <v>2</v>
          </cell>
          <cell r="E95">
            <v>9</v>
          </cell>
          <cell r="F95">
            <v>19</v>
          </cell>
          <cell r="G95">
            <v>9</v>
          </cell>
          <cell r="H95">
            <v>171</v>
          </cell>
        </row>
        <row r="96">
          <cell r="B96" t="str">
            <v>2020JULIO</v>
          </cell>
          <cell r="C96">
            <v>31</v>
          </cell>
          <cell r="D96">
            <v>2</v>
          </cell>
          <cell r="E96">
            <v>9</v>
          </cell>
          <cell r="F96">
            <v>20</v>
          </cell>
          <cell r="G96">
            <v>9</v>
          </cell>
          <cell r="H96">
            <v>180</v>
          </cell>
        </row>
        <row r="97">
          <cell r="B97" t="str">
            <v>2020AGOSTO</v>
          </cell>
          <cell r="C97">
            <v>31</v>
          </cell>
          <cell r="D97">
            <v>2</v>
          </cell>
          <cell r="E97">
            <v>8</v>
          </cell>
          <cell r="F97">
            <v>21</v>
          </cell>
          <cell r="G97">
            <v>9</v>
          </cell>
          <cell r="H97">
            <v>189</v>
          </cell>
        </row>
        <row r="98">
          <cell r="B98" t="str">
            <v>2020SEPTIEMBRE</v>
          </cell>
          <cell r="C98">
            <v>30</v>
          </cell>
          <cell r="D98">
            <v>0</v>
          </cell>
          <cell r="E98">
            <v>10</v>
          </cell>
          <cell r="F98">
            <v>20</v>
          </cell>
          <cell r="G98">
            <v>9</v>
          </cell>
          <cell r="H98">
            <v>180</v>
          </cell>
        </row>
        <row r="99">
          <cell r="B99" t="str">
            <v>2020OCTUBRE</v>
          </cell>
          <cell r="C99">
            <v>31</v>
          </cell>
          <cell r="D99">
            <v>1</v>
          </cell>
          <cell r="E99">
            <v>8</v>
          </cell>
          <cell r="F99">
            <v>22</v>
          </cell>
          <cell r="G99">
            <v>9</v>
          </cell>
          <cell r="H99">
            <v>198</v>
          </cell>
        </row>
        <row r="100">
          <cell r="B100" t="str">
            <v>2020NOVIEMBRE</v>
          </cell>
          <cell r="C100">
            <v>30</v>
          </cell>
          <cell r="D100">
            <v>2</v>
          </cell>
          <cell r="E100">
            <v>8</v>
          </cell>
          <cell r="F100">
            <v>20</v>
          </cell>
          <cell r="G100">
            <v>9</v>
          </cell>
          <cell r="H100">
            <v>180</v>
          </cell>
        </row>
        <row r="101">
          <cell r="B101" t="str">
            <v>2020DICIEMBRE</v>
          </cell>
          <cell r="C101">
            <v>31</v>
          </cell>
          <cell r="D101">
            <v>2</v>
          </cell>
          <cell r="E101">
            <v>10</v>
          </cell>
          <cell r="F101">
            <v>19</v>
          </cell>
          <cell r="G101">
            <v>9</v>
          </cell>
          <cell r="H101">
            <v>171</v>
          </cell>
        </row>
        <row r="102">
          <cell r="B102" t="str">
            <v>2021ENERO</v>
          </cell>
          <cell r="C102">
            <v>31</v>
          </cell>
          <cell r="D102">
            <v>2</v>
          </cell>
          <cell r="E102">
            <v>8</v>
          </cell>
          <cell r="F102">
            <v>21</v>
          </cell>
          <cell r="G102">
            <v>9</v>
          </cell>
          <cell r="H102">
            <v>189</v>
          </cell>
        </row>
        <row r="103">
          <cell r="B103" t="str">
            <v>2021FEBRERO</v>
          </cell>
          <cell r="C103">
            <v>28</v>
          </cell>
          <cell r="D103">
            <v>0</v>
          </cell>
          <cell r="E103">
            <v>8</v>
          </cell>
          <cell r="F103">
            <v>20</v>
          </cell>
          <cell r="G103">
            <v>9</v>
          </cell>
          <cell r="H103">
            <v>180</v>
          </cell>
        </row>
        <row r="104">
          <cell r="B104" t="str">
            <v>2021MARZO</v>
          </cell>
          <cell r="C104">
            <v>31</v>
          </cell>
          <cell r="D104">
            <v>3</v>
          </cell>
          <cell r="E104">
            <v>9</v>
          </cell>
          <cell r="F104">
            <v>19</v>
          </cell>
          <cell r="G104">
            <v>9</v>
          </cell>
          <cell r="H104">
            <v>171</v>
          </cell>
        </row>
        <row r="105">
          <cell r="B105" t="str">
            <v>2021ABRIL</v>
          </cell>
          <cell r="C105">
            <v>30</v>
          </cell>
          <cell r="D105">
            <v>0</v>
          </cell>
          <cell r="E105">
            <v>9</v>
          </cell>
          <cell r="F105">
            <v>21</v>
          </cell>
          <cell r="G105">
            <v>9</v>
          </cell>
          <cell r="H105">
            <v>189</v>
          </cell>
        </row>
        <row r="106">
          <cell r="B106" t="str">
            <v>2021MAYO</v>
          </cell>
          <cell r="C106">
            <v>31</v>
          </cell>
          <cell r="D106">
            <v>1</v>
          </cell>
          <cell r="E106">
            <v>8</v>
          </cell>
          <cell r="F106">
            <v>22</v>
          </cell>
          <cell r="G106">
            <v>9</v>
          </cell>
          <cell r="H106">
            <v>198</v>
          </cell>
        </row>
        <row r="107">
          <cell r="B107" t="str">
            <v>2021JUNIO</v>
          </cell>
          <cell r="C107">
            <v>30</v>
          </cell>
          <cell r="D107">
            <v>2</v>
          </cell>
          <cell r="E107">
            <v>9</v>
          </cell>
          <cell r="F107">
            <v>19</v>
          </cell>
          <cell r="G107">
            <v>9</v>
          </cell>
          <cell r="H107">
            <v>171</v>
          </cell>
        </row>
        <row r="108">
          <cell r="B108" t="str">
            <v>2021JULIO</v>
          </cell>
          <cell r="C108">
            <v>31</v>
          </cell>
          <cell r="D108">
            <v>2</v>
          </cell>
          <cell r="E108">
            <v>9</v>
          </cell>
          <cell r="F108">
            <v>20</v>
          </cell>
          <cell r="G108">
            <v>9</v>
          </cell>
          <cell r="H108">
            <v>180</v>
          </cell>
        </row>
        <row r="109">
          <cell r="B109" t="str">
            <v>2021AGOSTO</v>
          </cell>
          <cell r="C109">
            <v>31</v>
          </cell>
          <cell r="D109">
            <v>2</v>
          </cell>
          <cell r="E109">
            <v>8</v>
          </cell>
          <cell r="F109">
            <v>21</v>
          </cell>
          <cell r="G109">
            <v>9</v>
          </cell>
          <cell r="H109">
            <v>189</v>
          </cell>
        </row>
        <row r="110">
          <cell r="B110" t="str">
            <v>2021SEPTIEMBRE</v>
          </cell>
          <cell r="C110">
            <v>30</v>
          </cell>
          <cell r="D110">
            <v>0</v>
          </cell>
          <cell r="E110">
            <v>10</v>
          </cell>
          <cell r="F110">
            <v>20</v>
          </cell>
          <cell r="G110">
            <v>9</v>
          </cell>
          <cell r="H110">
            <v>180</v>
          </cell>
        </row>
        <row r="111">
          <cell r="B111" t="str">
            <v>2021OCTUBRE</v>
          </cell>
          <cell r="C111">
            <v>31</v>
          </cell>
          <cell r="D111">
            <v>1</v>
          </cell>
          <cell r="E111">
            <v>8</v>
          </cell>
          <cell r="F111">
            <v>22</v>
          </cell>
          <cell r="G111">
            <v>9</v>
          </cell>
          <cell r="H111">
            <v>198</v>
          </cell>
        </row>
        <row r="112">
          <cell r="B112" t="str">
            <v>2021NOVIEMBRE</v>
          </cell>
          <cell r="C112">
            <v>30</v>
          </cell>
          <cell r="D112">
            <v>2</v>
          </cell>
          <cell r="E112">
            <v>8</v>
          </cell>
          <cell r="F112">
            <v>20</v>
          </cell>
          <cell r="G112">
            <v>9</v>
          </cell>
          <cell r="H112">
            <v>180</v>
          </cell>
        </row>
        <row r="113">
          <cell r="B113" t="str">
            <v>2021DICIEMBRE</v>
          </cell>
          <cell r="C113">
            <v>31</v>
          </cell>
          <cell r="D113">
            <v>2</v>
          </cell>
          <cell r="E113">
            <v>10</v>
          </cell>
          <cell r="F113">
            <v>19</v>
          </cell>
          <cell r="G113">
            <v>9</v>
          </cell>
          <cell r="H113">
            <v>171</v>
          </cell>
        </row>
        <row r="114">
          <cell r="B114" t="str">
            <v>2022ENERO</v>
          </cell>
          <cell r="C114">
            <v>31</v>
          </cell>
          <cell r="D114">
            <v>2</v>
          </cell>
          <cell r="E114">
            <v>8</v>
          </cell>
          <cell r="F114">
            <v>21</v>
          </cell>
          <cell r="G114">
            <v>9</v>
          </cell>
          <cell r="H114">
            <v>189</v>
          </cell>
        </row>
        <row r="115">
          <cell r="B115" t="str">
            <v>2022FEBRERO</v>
          </cell>
          <cell r="C115">
            <v>28</v>
          </cell>
          <cell r="D115">
            <v>0</v>
          </cell>
          <cell r="E115">
            <v>8</v>
          </cell>
          <cell r="F115">
            <v>20</v>
          </cell>
          <cell r="G115">
            <v>9</v>
          </cell>
          <cell r="H115">
            <v>180</v>
          </cell>
        </row>
        <row r="116">
          <cell r="B116" t="str">
            <v>2022MARZO</v>
          </cell>
          <cell r="C116">
            <v>31</v>
          </cell>
          <cell r="D116">
            <v>3</v>
          </cell>
          <cell r="E116">
            <v>9</v>
          </cell>
          <cell r="F116">
            <v>19</v>
          </cell>
          <cell r="G116">
            <v>9</v>
          </cell>
          <cell r="H116">
            <v>171</v>
          </cell>
        </row>
        <row r="117">
          <cell r="B117" t="str">
            <v>2022ABRIL</v>
          </cell>
          <cell r="C117">
            <v>30</v>
          </cell>
          <cell r="D117">
            <v>0</v>
          </cell>
          <cell r="E117">
            <v>9</v>
          </cell>
          <cell r="F117">
            <v>21</v>
          </cell>
          <cell r="G117">
            <v>9</v>
          </cell>
          <cell r="H117">
            <v>189</v>
          </cell>
        </row>
        <row r="118">
          <cell r="B118" t="str">
            <v>2022MAYO</v>
          </cell>
          <cell r="C118">
            <v>31</v>
          </cell>
          <cell r="D118">
            <v>1</v>
          </cell>
          <cell r="E118">
            <v>8</v>
          </cell>
          <cell r="F118">
            <v>22</v>
          </cell>
          <cell r="G118">
            <v>9</v>
          </cell>
          <cell r="H118">
            <v>198</v>
          </cell>
        </row>
        <row r="119">
          <cell r="B119" t="str">
            <v>2022JUNIO</v>
          </cell>
          <cell r="C119">
            <v>30</v>
          </cell>
          <cell r="D119">
            <v>2</v>
          </cell>
          <cell r="E119">
            <v>9</v>
          </cell>
          <cell r="F119">
            <v>19</v>
          </cell>
          <cell r="G119">
            <v>9</v>
          </cell>
          <cell r="H119">
            <v>171</v>
          </cell>
        </row>
        <row r="120">
          <cell r="B120" t="str">
            <v>2022JULIO</v>
          </cell>
          <cell r="C120">
            <v>31</v>
          </cell>
          <cell r="D120">
            <v>2</v>
          </cell>
          <cell r="E120">
            <v>9</v>
          </cell>
          <cell r="F120">
            <v>20</v>
          </cell>
          <cell r="G120">
            <v>9</v>
          </cell>
          <cell r="H120">
            <v>180</v>
          </cell>
        </row>
        <row r="121">
          <cell r="B121" t="str">
            <v>2022AGOSTO</v>
          </cell>
          <cell r="C121">
            <v>31</v>
          </cell>
          <cell r="D121">
            <v>2</v>
          </cell>
          <cell r="E121">
            <v>8</v>
          </cell>
          <cell r="F121">
            <v>21</v>
          </cell>
          <cell r="G121">
            <v>9</v>
          </cell>
          <cell r="H121">
            <v>189</v>
          </cell>
        </row>
        <row r="122">
          <cell r="B122" t="str">
            <v>2022SEPTIEMBRE</v>
          </cell>
          <cell r="C122">
            <v>30</v>
          </cell>
          <cell r="D122">
            <v>0</v>
          </cell>
          <cell r="E122">
            <v>10</v>
          </cell>
          <cell r="F122">
            <v>20</v>
          </cell>
          <cell r="G122">
            <v>9</v>
          </cell>
          <cell r="H122">
            <v>180</v>
          </cell>
        </row>
        <row r="123">
          <cell r="B123" t="str">
            <v>2022OCTUBRE</v>
          </cell>
          <cell r="C123">
            <v>31</v>
          </cell>
          <cell r="D123">
            <v>1</v>
          </cell>
          <cell r="E123">
            <v>8</v>
          </cell>
          <cell r="F123">
            <v>22</v>
          </cell>
          <cell r="G123">
            <v>9</v>
          </cell>
          <cell r="H123">
            <v>198</v>
          </cell>
        </row>
        <row r="124">
          <cell r="B124" t="str">
            <v>2022NOVIEMBRE</v>
          </cell>
          <cell r="C124">
            <v>30</v>
          </cell>
          <cell r="D124">
            <v>2</v>
          </cell>
          <cell r="E124">
            <v>8</v>
          </cell>
          <cell r="F124">
            <v>20</v>
          </cell>
          <cell r="G124">
            <v>9</v>
          </cell>
          <cell r="H124">
            <v>180</v>
          </cell>
        </row>
        <row r="125">
          <cell r="B125" t="str">
            <v>2022DICIEMBRE</v>
          </cell>
          <cell r="C125">
            <v>31</v>
          </cell>
          <cell r="D125">
            <v>2</v>
          </cell>
          <cell r="E125">
            <v>10</v>
          </cell>
          <cell r="F125">
            <v>19</v>
          </cell>
          <cell r="G125">
            <v>9</v>
          </cell>
          <cell r="H125">
            <v>171</v>
          </cell>
        </row>
        <row r="126">
          <cell r="B126" t="str">
            <v>2023ENERO</v>
          </cell>
          <cell r="C126">
            <v>31</v>
          </cell>
          <cell r="D126">
            <v>2</v>
          </cell>
          <cell r="E126">
            <v>8</v>
          </cell>
          <cell r="F126">
            <v>21</v>
          </cell>
          <cell r="G126">
            <v>9</v>
          </cell>
          <cell r="H126">
            <v>189</v>
          </cell>
        </row>
        <row r="127">
          <cell r="B127" t="str">
            <v>2023FEBRERO</v>
          </cell>
          <cell r="C127">
            <v>28</v>
          </cell>
          <cell r="D127">
            <v>0</v>
          </cell>
          <cell r="E127">
            <v>8</v>
          </cell>
          <cell r="F127">
            <v>20</v>
          </cell>
          <cell r="G127">
            <v>9</v>
          </cell>
          <cell r="H127">
            <v>180</v>
          </cell>
        </row>
        <row r="128">
          <cell r="B128" t="str">
            <v>2023MARZO</v>
          </cell>
          <cell r="C128">
            <v>31</v>
          </cell>
          <cell r="D128">
            <v>3</v>
          </cell>
          <cell r="E128">
            <v>9</v>
          </cell>
          <cell r="F128">
            <v>19</v>
          </cell>
          <cell r="G128">
            <v>9</v>
          </cell>
          <cell r="H128">
            <v>171</v>
          </cell>
        </row>
        <row r="129">
          <cell r="B129" t="str">
            <v>2023ABRIL</v>
          </cell>
          <cell r="C129">
            <v>30</v>
          </cell>
          <cell r="D129">
            <v>0</v>
          </cell>
          <cell r="E129">
            <v>9</v>
          </cell>
          <cell r="F129">
            <v>21</v>
          </cell>
          <cell r="G129">
            <v>9</v>
          </cell>
          <cell r="H129">
            <v>189</v>
          </cell>
        </row>
        <row r="130">
          <cell r="B130" t="str">
            <v>2023MAYO</v>
          </cell>
          <cell r="C130">
            <v>31</v>
          </cell>
          <cell r="D130">
            <v>1</v>
          </cell>
          <cell r="E130">
            <v>8</v>
          </cell>
          <cell r="F130">
            <v>22</v>
          </cell>
          <cell r="G130">
            <v>9</v>
          </cell>
          <cell r="H130">
            <v>198</v>
          </cell>
        </row>
        <row r="131">
          <cell r="B131" t="str">
            <v>2023JUNIO</v>
          </cell>
          <cell r="C131">
            <v>30</v>
          </cell>
          <cell r="D131">
            <v>2</v>
          </cell>
          <cell r="E131">
            <v>9</v>
          </cell>
          <cell r="F131">
            <v>19</v>
          </cell>
          <cell r="G131">
            <v>9</v>
          </cell>
          <cell r="H131">
            <v>171</v>
          </cell>
        </row>
        <row r="132">
          <cell r="B132" t="str">
            <v>2023JULIO</v>
          </cell>
          <cell r="C132">
            <v>31</v>
          </cell>
          <cell r="D132">
            <v>2</v>
          </cell>
          <cell r="E132">
            <v>9</v>
          </cell>
          <cell r="F132">
            <v>20</v>
          </cell>
          <cell r="G132">
            <v>9</v>
          </cell>
          <cell r="H132">
            <v>180</v>
          </cell>
        </row>
        <row r="133">
          <cell r="B133" t="str">
            <v>2023AGOSTO</v>
          </cell>
          <cell r="C133">
            <v>31</v>
          </cell>
          <cell r="D133">
            <v>2</v>
          </cell>
          <cell r="E133">
            <v>8</v>
          </cell>
          <cell r="F133">
            <v>21</v>
          </cell>
          <cell r="G133">
            <v>9</v>
          </cell>
          <cell r="H133">
            <v>189</v>
          </cell>
        </row>
        <row r="134">
          <cell r="B134" t="str">
            <v>2023SEPTIEMBRE</v>
          </cell>
          <cell r="C134">
            <v>30</v>
          </cell>
          <cell r="D134">
            <v>0</v>
          </cell>
          <cell r="E134">
            <v>10</v>
          </cell>
          <cell r="F134">
            <v>20</v>
          </cell>
          <cell r="G134">
            <v>9</v>
          </cell>
          <cell r="H134">
            <v>180</v>
          </cell>
        </row>
        <row r="135">
          <cell r="B135" t="str">
            <v>2023OCTUBRE</v>
          </cell>
          <cell r="C135">
            <v>31</v>
          </cell>
          <cell r="D135">
            <v>1</v>
          </cell>
          <cell r="E135">
            <v>8</v>
          </cell>
          <cell r="F135">
            <v>22</v>
          </cell>
          <cell r="G135">
            <v>9</v>
          </cell>
          <cell r="H135">
            <v>198</v>
          </cell>
        </row>
        <row r="136">
          <cell r="B136" t="str">
            <v>2023NOVIEMBRE</v>
          </cell>
          <cell r="C136">
            <v>30</v>
          </cell>
          <cell r="D136">
            <v>2</v>
          </cell>
          <cell r="E136">
            <v>8</v>
          </cell>
          <cell r="F136">
            <v>20</v>
          </cell>
          <cell r="G136">
            <v>9</v>
          </cell>
          <cell r="H136">
            <v>180</v>
          </cell>
        </row>
        <row r="137">
          <cell r="B137" t="str">
            <v>2023DICIEMBRE</v>
          </cell>
          <cell r="C137">
            <v>31</v>
          </cell>
          <cell r="D137">
            <v>2</v>
          </cell>
          <cell r="E137">
            <v>10</v>
          </cell>
          <cell r="F137">
            <v>19</v>
          </cell>
          <cell r="G137">
            <v>9</v>
          </cell>
          <cell r="H137">
            <v>171</v>
          </cell>
        </row>
        <row r="138">
          <cell r="B138" t="str">
            <v>2024ENERO</v>
          </cell>
          <cell r="C138">
            <v>31</v>
          </cell>
          <cell r="D138">
            <v>2</v>
          </cell>
          <cell r="E138">
            <v>8</v>
          </cell>
          <cell r="F138">
            <v>21</v>
          </cell>
          <cell r="G138">
            <v>9</v>
          </cell>
          <cell r="H138">
            <v>189</v>
          </cell>
        </row>
        <row r="139">
          <cell r="B139" t="str">
            <v>2024FEBRERO</v>
          </cell>
          <cell r="C139">
            <v>28</v>
          </cell>
          <cell r="D139">
            <v>0</v>
          </cell>
          <cell r="E139">
            <v>8</v>
          </cell>
          <cell r="F139">
            <v>20</v>
          </cell>
          <cell r="G139">
            <v>9</v>
          </cell>
          <cell r="H139">
            <v>180</v>
          </cell>
        </row>
        <row r="140">
          <cell r="B140" t="str">
            <v>2024MARZO</v>
          </cell>
          <cell r="C140">
            <v>31</v>
          </cell>
          <cell r="D140">
            <v>3</v>
          </cell>
          <cell r="E140">
            <v>9</v>
          </cell>
          <cell r="F140">
            <v>19</v>
          </cell>
          <cell r="G140">
            <v>9</v>
          </cell>
          <cell r="H140">
            <v>171</v>
          </cell>
        </row>
        <row r="141">
          <cell r="B141" t="str">
            <v>2024ABRIL</v>
          </cell>
          <cell r="C141">
            <v>30</v>
          </cell>
          <cell r="D141">
            <v>0</v>
          </cell>
          <cell r="E141">
            <v>9</v>
          </cell>
          <cell r="F141">
            <v>21</v>
          </cell>
          <cell r="G141">
            <v>9</v>
          </cell>
          <cell r="H141">
            <v>189</v>
          </cell>
        </row>
        <row r="142">
          <cell r="B142" t="str">
            <v>2024MAYO</v>
          </cell>
          <cell r="C142">
            <v>31</v>
          </cell>
          <cell r="D142">
            <v>1</v>
          </cell>
          <cell r="E142">
            <v>8</v>
          </cell>
          <cell r="F142">
            <v>22</v>
          </cell>
          <cell r="G142">
            <v>9</v>
          </cell>
          <cell r="H142">
            <v>198</v>
          </cell>
        </row>
        <row r="143">
          <cell r="B143" t="str">
            <v>2024JUNIO</v>
          </cell>
          <cell r="C143">
            <v>30</v>
          </cell>
          <cell r="D143">
            <v>2</v>
          </cell>
          <cell r="E143">
            <v>9</v>
          </cell>
          <cell r="F143">
            <v>19</v>
          </cell>
          <cell r="G143">
            <v>9</v>
          </cell>
          <cell r="H143">
            <v>171</v>
          </cell>
        </row>
        <row r="144">
          <cell r="B144" t="str">
            <v>2024JULIO</v>
          </cell>
          <cell r="C144">
            <v>31</v>
          </cell>
          <cell r="D144">
            <v>2</v>
          </cell>
          <cell r="E144">
            <v>9</v>
          </cell>
          <cell r="F144">
            <v>20</v>
          </cell>
          <cell r="G144">
            <v>9</v>
          </cell>
          <cell r="H144">
            <v>180</v>
          </cell>
        </row>
        <row r="145">
          <cell r="B145" t="str">
            <v>2024AGOSTO</v>
          </cell>
          <cell r="C145">
            <v>31</v>
          </cell>
          <cell r="D145">
            <v>2</v>
          </cell>
          <cell r="E145">
            <v>8</v>
          </cell>
          <cell r="F145">
            <v>21</v>
          </cell>
          <cell r="G145">
            <v>9</v>
          </cell>
          <cell r="H145">
            <v>189</v>
          </cell>
        </row>
        <row r="146">
          <cell r="B146" t="str">
            <v>2024SEPTIEMBRE</v>
          </cell>
          <cell r="C146">
            <v>30</v>
          </cell>
          <cell r="D146">
            <v>0</v>
          </cell>
          <cell r="E146">
            <v>10</v>
          </cell>
          <cell r="F146">
            <v>20</v>
          </cell>
          <cell r="G146">
            <v>9</v>
          </cell>
          <cell r="H146">
            <v>180</v>
          </cell>
        </row>
        <row r="147">
          <cell r="B147" t="str">
            <v>2024OCTUBRE</v>
          </cell>
          <cell r="C147">
            <v>31</v>
          </cell>
          <cell r="D147">
            <v>1</v>
          </cell>
          <cell r="E147">
            <v>8</v>
          </cell>
          <cell r="F147">
            <v>22</v>
          </cell>
          <cell r="G147">
            <v>9</v>
          </cell>
          <cell r="H147">
            <v>198</v>
          </cell>
        </row>
        <row r="148">
          <cell r="B148" t="str">
            <v>2024NOVIEMBRE</v>
          </cell>
          <cell r="C148">
            <v>30</v>
          </cell>
          <cell r="D148">
            <v>2</v>
          </cell>
          <cell r="E148">
            <v>8</v>
          </cell>
          <cell r="F148">
            <v>20</v>
          </cell>
          <cell r="G148">
            <v>9</v>
          </cell>
          <cell r="H148">
            <v>180</v>
          </cell>
        </row>
        <row r="149">
          <cell r="B149" t="str">
            <v>2024DICIEMBRE</v>
          </cell>
          <cell r="C149">
            <v>31</v>
          </cell>
          <cell r="D149">
            <v>2</v>
          </cell>
          <cell r="E149">
            <v>10</v>
          </cell>
          <cell r="F149">
            <v>19</v>
          </cell>
          <cell r="G149">
            <v>9</v>
          </cell>
          <cell r="H149">
            <v>171</v>
          </cell>
        </row>
        <row r="150">
          <cell r="B150" t="str">
            <v>2025ENERO</v>
          </cell>
          <cell r="C150">
            <v>31</v>
          </cell>
          <cell r="D150">
            <v>2</v>
          </cell>
          <cell r="E150">
            <v>8</v>
          </cell>
          <cell r="F150">
            <v>21</v>
          </cell>
          <cell r="G150">
            <v>9</v>
          </cell>
          <cell r="H150">
            <v>189</v>
          </cell>
        </row>
        <row r="151">
          <cell r="B151" t="str">
            <v>2025FEBRERO</v>
          </cell>
          <cell r="C151">
            <v>28</v>
          </cell>
          <cell r="D151">
            <v>0</v>
          </cell>
          <cell r="E151">
            <v>8</v>
          </cell>
          <cell r="F151">
            <v>20</v>
          </cell>
          <cell r="G151">
            <v>9</v>
          </cell>
          <cell r="H151">
            <v>180</v>
          </cell>
        </row>
        <row r="152">
          <cell r="B152" t="str">
            <v>2025MARZO</v>
          </cell>
          <cell r="C152">
            <v>31</v>
          </cell>
          <cell r="D152">
            <v>3</v>
          </cell>
          <cell r="E152">
            <v>9</v>
          </cell>
          <cell r="F152">
            <v>19</v>
          </cell>
          <cell r="G152">
            <v>9</v>
          </cell>
          <cell r="H152">
            <v>171</v>
          </cell>
        </row>
        <row r="153">
          <cell r="B153" t="str">
            <v>2025ABRIL</v>
          </cell>
          <cell r="C153">
            <v>30</v>
          </cell>
          <cell r="D153">
            <v>0</v>
          </cell>
          <cell r="E153">
            <v>9</v>
          </cell>
          <cell r="F153">
            <v>21</v>
          </cell>
          <cell r="G153">
            <v>9</v>
          </cell>
          <cell r="H153">
            <v>189</v>
          </cell>
        </row>
        <row r="154">
          <cell r="B154" t="str">
            <v>2025MAYO</v>
          </cell>
          <cell r="C154">
            <v>31</v>
          </cell>
          <cell r="D154">
            <v>1</v>
          </cell>
          <cell r="E154">
            <v>8</v>
          </cell>
          <cell r="F154">
            <v>22</v>
          </cell>
          <cell r="G154">
            <v>9</v>
          </cell>
          <cell r="H154">
            <v>198</v>
          </cell>
        </row>
        <row r="155">
          <cell r="B155" t="str">
            <v>2025JUNIO</v>
          </cell>
          <cell r="C155">
            <v>30</v>
          </cell>
          <cell r="D155">
            <v>2</v>
          </cell>
          <cell r="E155">
            <v>9</v>
          </cell>
          <cell r="F155">
            <v>19</v>
          </cell>
          <cell r="G155">
            <v>9</v>
          </cell>
          <cell r="H155">
            <v>171</v>
          </cell>
        </row>
        <row r="156">
          <cell r="B156" t="str">
            <v>2025JULIO</v>
          </cell>
          <cell r="C156">
            <v>31</v>
          </cell>
          <cell r="D156">
            <v>2</v>
          </cell>
          <cell r="E156">
            <v>9</v>
          </cell>
          <cell r="F156">
            <v>20</v>
          </cell>
          <cell r="G156">
            <v>9</v>
          </cell>
          <cell r="H156">
            <v>180</v>
          </cell>
        </row>
        <row r="157">
          <cell r="B157" t="str">
            <v>2025AGOSTO</v>
          </cell>
          <cell r="C157">
            <v>31</v>
          </cell>
          <cell r="D157">
            <v>2</v>
          </cell>
          <cell r="E157">
            <v>8</v>
          </cell>
          <cell r="F157">
            <v>21</v>
          </cell>
          <cell r="G157">
            <v>9</v>
          </cell>
          <cell r="H157">
            <v>189</v>
          </cell>
        </row>
        <row r="158">
          <cell r="B158" t="str">
            <v>2025SEPTIEMBRE</v>
          </cell>
          <cell r="C158">
            <v>30</v>
          </cell>
          <cell r="D158">
            <v>0</v>
          </cell>
          <cell r="E158">
            <v>10</v>
          </cell>
          <cell r="F158">
            <v>20</v>
          </cell>
          <cell r="G158">
            <v>9</v>
          </cell>
          <cell r="H158">
            <v>180</v>
          </cell>
        </row>
        <row r="159">
          <cell r="B159" t="str">
            <v>2025OCTUBRE</v>
          </cell>
          <cell r="C159">
            <v>31</v>
          </cell>
          <cell r="D159">
            <v>1</v>
          </cell>
          <cell r="E159">
            <v>8</v>
          </cell>
          <cell r="F159">
            <v>22</v>
          </cell>
          <cell r="G159">
            <v>9</v>
          </cell>
          <cell r="H159">
            <v>198</v>
          </cell>
        </row>
        <row r="160">
          <cell r="B160" t="str">
            <v>2025NOVIEMBRE</v>
          </cell>
          <cell r="C160">
            <v>30</v>
          </cell>
          <cell r="D160">
            <v>2</v>
          </cell>
          <cell r="E160">
            <v>8</v>
          </cell>
          <cell r="F160">
            <v>20</v>
          </cell>
          <cell r="G160">
            <v>9</v>
          </cell>
          <cell r="H160">
            <v>180</v>
          </cell>
        </row>
        <row r="161">
          <cell r="B161" t="str">
            <v>2025DICIEMBRE</v>
          </cell>
          <cell r="C161">
            <v>31</v>
          </cell>
          <cell r="D161">
            <v>2</v>
          </cell>
          <cell r="E161">
            <v>10</v>
          </cell>
          <cell r="F161">
            <v>19</v>
          </cell>
          <cell r="G161">
            <v>9</v>
          </cell>
          <cell r="H161">
            <v>171</v>
          </cell>
        </row>
      </sheetData>
      <sheetData sheetId="2" refreshError="1">
        <row r="1">
          <cell r="E1">
            <v>3300</v>
          </cell>
        </row>
        <row r="2">
          <cell r="E2">
            <v>3450</v>
          </cell>
        </row>
      </sheetData>
      <sheetData sheetId="3" refreshError="1">
        <row r="13">
          <cell r="B13" t="str">
            <v>ESPAÑA</v>
          </cell>
        </row>
        <row r="24">
          <cell r="B24" t="str">
            <v>INVERSIONES</v>
          </cell>
        </row>
        <row r="25">
          <cell r="B25" t="str">
            <v>MTO. HW &amp; SW</v>
          </cell>
        </row>
        <row r="26">
          <cell r="B26" t="str">
            <v>GESTIÓN</v>
          </cell>
        </row>
        <row r="27">
          <cell r="B27" t="str">
            <v>GENERALES</v>
          </cell>
        </row>
        <row r="28">
          <cell r="B28" t="str">
            <v>COMUNICACIONES</v>
          </cell>
        </row>
        <row r="29">
          <cell r="B29" t="str">
            <v>ALCANCE SERVICIO</v>
          </cell>
        </row>
        <row r="30">
          <cell r="B30" t="str">
            <v>PUESTO TRABAJO</v>
          </cell>
        </row>
        <row r="31">
          <cell r="B31" t="str">
            <v>COMERCIALES</v>
          </cell>
        </row>
        <row r="32">
          <cell r="B32" t="str">
            <v>FLEX-IT</v>
          </cell>
        </row>
        <row r="33">
          <cell r="B33" t="str">
            <v>SERVICIOS 3os</v>
          </cell>
        </row>
      </sheetData>
      <sheetData sheetId="4" refreshError="1">
        <row r="7">
          <cell r="D7" t="str">
            <v>DD - Director III (16 - DIII) - 197,99</v>
          </cell>
        </row>
        <row r="314">
          <cell r="C314" t="str">
            <v>Centro de cómputo</v>
          </cell>
        </row>
        <row r="315">
          <cell r="C315" t="str">
            <v>Servidores</v>
          </cell>
        </row>
        <row r="316">
          <cell r="C316" t="str">
            <v>Seguridad</v>
          </cell>
        </row>
        <row r="317">
          <cell r="C317" t="str">
            <v>SOC</v>
          </cell>
        </row>
        <row r="318">
          <cell r="C318" t="str">
            <v>Almacenamiento y Backup</v>
          </cell>
        </row>
        <row r="319">
          <cell r="C319" t="str">
            <v>Correo electrónico y Lync</v>
          </cell>
        </row>
        <row r="320">
          <cell r="C320" t="str">
            <v>Aplicaciones y BBDD</v>
          </cell>
        </row>
        <row r="321">
          <cell r="C321" t="str">
            <v>Gestión y monitoreo</v>
          </cell>
        </row>
        <row r="322">
          <cell r="C322" t="str">
            <v>Redes de área local LAN y WAN</v>
          </cell>
        </row>
        <row r="323">
          <cell r="C323" t="str">
            <v>Internet móvil</v>
          </cell>
        </row>
        <row r="324">
          <cell r="C324" t="str">
            <v>REPARTO</v>
          </cell>
        </row>
      </sheetData>
      <sheetData sheetId="5" refreshError="1">
        <row r="13">
          <cell r="B13" t="str">
            <v>ESPAÑA</v>
          </cell>
        </row>
        <row r="14">
          <cell r="B14" t="str">
            <v>ESPAÑA -ISL</v>
          </cell>
        </row>
        <row r="15">
          <cell r="B15" t="str">
            <v>ALEMANIA</v>
          </cell>
        </row>
        <row r="16">
          <cell r="B16" t="str">
            <v>ARGENTINA ISL</v>
          </cell>
        </row>
        <row r="17">
          <cell r="B17" t="str">
            <v>BRASIL ISL</v>
          </cell>
        </row>
        <row r="18">
          <cell r="B18" t="str">
            <v>CHILE</v>
          </cell>
        </row>
        <row r="19">
          <cell r="B19" t="str">
            <v>COLOMBIA</v>
          </cell>
        </row>
        <row r="20">
          <cell r="B20" t="str">
            <v>FILIPINAS ISL</v>
          </cell>
        </row>
        <row r="21">
          <cell r="B21" t="str">
            <v>INDIA</v>
          </cell>
        </row>
        <row r="22">
          <cell r="B22" t="str">
            <v>ITALIA</v>
          </cell>
        </row>
        <row r="23">
          <cell r="B23" t="str">
            <v>MÉXICO ISL</v>
          </cell>
        </row>
        <row r="24">
          <cell r="B24" t="str">
            <v>ESLOVAQUIA ISL</v>
          </cell>
        </row>
        <row r="25">
          <cell r="B25" t="str">
            <v>PANAMÁ</v>
          </cell>
        </row>
        <row r="26">
          <cell r="B26" t="str">
            <v>PERÚ</v>
          </cell>
        </row>
        <row r="27">
          <cell r="B27" t="str">
            <v>REP CHEQUIA</v>
          </cell>
        </row>
        <row r="28">
          <cell r="B28" t="str">
            <v>UK</v>
          </cell>
        </row>
        <row r="29">
          <cell r="B29" t="str">
            <v>VENEZUELA</v>
          </cell>
        </row>
        <row r="30">
          <cell r="B30" t="str">
            <v>CSP JULIAN CAMARILLO</v>
          </cell>
        </row>
        <row r="31">
          <cell r="B31" t="str">
            <v>KENIA</v>
          </cell>
        </row>
        <row r="32">
          <cell r="B32" t="str">
            <v>OTROS #3</v>
          </cell>
        </row>
        <row r="33">
          <cell r="B33" t="str">
            <v>OTROS #4</v>
          </cell>
        </row>
        <row r="34">
          <cell r="B34" t="str">
            <v>OTROS #5</v>
          </cell>
        </row>
        <row r="35">
          <cell r="B35" t="str">
            <v>OTROS #6</v>
          </cell>
        </row>
        <row r="36">
          <cell r="B36" t="str">
            <v>OTROS #7</v>
          </cell>
        </row>
        <row r="37">
          <cell r="B37" t="str">
            <v>OTROS #8</v>
          </cell>
        </row>
        <row r="38">
          <cell r="B38" t="str">
            <v>OTROS #9</v>
          </cell>
        </row>
        <row r="39">
          <cell r="B39" t="str">
            <v>OTROS #10</v>
          </cell>
        </row>
      </sheetData>
      <sheetData sheetId="6" refreshError="1">
        <row r="7">
          <cell r="D7" t="str">
            <v>DD - Director III (16 - DIII) - 197,99</v>
          </cell>
        </row>
        <row r="8">
          <cell r="D8" t="str">
            <v>DX - Director II - 7 (15 - DII) - 160,27</v>
          </cell>
        </row>
        <row r="9">
          <cell r="D9" t="str">
            <v>DP - Director II - 6 (15 - DII) - 116,65</v>
          </cell>
        </row>
        <row r="10">
          <cell r="D10" t="str">
            <v>D0 - Director II - 5 (15 - DII) - 106,78</v>
          </cell>
        </row>
        <row r="11">
          <cell r="D11" t="str">
            <v>DC - Director II - 4 (15 - DII) - 97,97</v>
          </cell>
        </row>
        <row r="12">
          <cell r="D12" t="str">
            <v>DB - Director I - 5 (14 - DI) - 94,28</v>
          </cell>
        </row>
        <row r="13">
          <cell r="D13" t="str">
            <v>GX - Gerente III - 8 (13 - GIII) - 94,26</v>
          </cell>
        </row>
        <row r="14">
          <cell r="D14" t="str">
            <v>D7 - Director II - 3 (15 - DII) - 89,11</v>
          </cell>
        </row>
        <row r="15">
          <cell r="D15" t="str">
            <v>GI - Gerente II - 6 (12 - GII) - 87,99</v>
          </cell>
        </row>
        <row r="16">
          <cell r="D16" t="str">
            <v>DJ - DIRECTOR I - 4.5 (14 - DI) - 87,17</v>
          </cell>
        </row>
        <row r="17">
          <cell r="D17" t="str">
            <v>D2 - Director II - 2.5 (15 - DII) - 82,16</v>
          </cell>
        </row>
        <row r="18">
          <cell r="D18" t="str">
            <v>GY - Gerente III - 7 (13 - GIII) - 80,67</v>
          </cell>
        </row>
        <row r="19">
          <cell r="D19" t="str">
            <v>DZ - Director I - 4 (14 - DI) - 80,06</v>
          </cell>
        </row>
        <row r="20">
          <cell r="D20" t="str">
            <v>DE - Director II - 2 (15 - DII) - 78,57</v>
          </cell>
        </row>
        <row r="21">
          <cell r="D21" t="str">
            <v>DK - DIRECTOR I - 3.5 (14 - DI) - 75,89</v>
          </cell>
        </row>
        <row r="22">
          <cell r="D22" t="str">
            <v>G0 - Gerente III - 6 (13 - GIII) - 73,34</v>
          </cell>
        </row>
        <row r="23">
          <cell r="D23" t="str">
            <v>DW - Director II - 1.5 (15 - DII) - 71,89</v>
          </cell>
        </row>
        <row r="24">
          <cell r="D24" t="str">
            <v>DA - Director I - 3 (14 - DI) - 71,71</v>
          </cell>
        </row>
        <row r="25">
          <cell r="D25" t="str">
            <v>TX - Técnico III - 21 (10 - TIII-3) - 69,76</v>
          </cell>
        </row>
        <row r="26">
          <cell r="D26" t="str">
            <v>GZ - Gerente III - 5 (13 - GIII) - 67,91</v>
          </cell>
        </row>
        <row r="27">
          <cell r="D27" t="str">
            <v>DY - Director I - 2.5 (14 - DI) - 66,76</v>
          </cell>
        </row>
        <row r="28">
          <cell r="D28" t="str">
            <v>G5 - Gerente I - 3 (11 - GI) - 64,7</v>
          </cell>
        </row>
        <row r="29">
          <cell r="D29" t="str">
            <v>DG - Director II - 1 (15 - DII) - 63,9</v>
          </cell>
        </row>
        <row r="30">
          <cell r="D30" t="str">
            <v>GG - Gerente II - 5 (12 - GII) - 63,9</v>
          </cell>
        </row>
        <row r="31">
          <cell r="D31" t="str">
            <v>G1 - Gerente III - 4 (13 - GIII) - 63,51</v>
          </cell>
        </row>
        <row r="32">
          <cell r="D32" t="str">
            <v>CG - Consultor II - 5 (7 - TII-3) - 62,85</v>
          </cell>
        </row>
        <row r="33">
          <cell r="D33" t="str">
            <v>DF - Director I - 2 (14 - DI) - 62,85</v>
          </cell>
        </row>
        <row r="34">
          <cell r="D34" t="str">
            <v>T0 - Técnico III - 20 (10 - TIII-3) - 62,46</v>
          </cell>
        </row>
        <row r="35">
          <cell r="D35" t="str">
            <v>GB - Gerente III - 3 (13 - GIII) - 59,08</v>
          </cell>
        </row>
        <row r="36">
          <cell r="D36" t="str">
            <v>DI - Director I - 1.5 (14 - DI) - 58,54</v>
          </cell>
        </row>
        <row r="37">
          <cell r="D37" t="str">
            <v>C0 - Consultor III - 9 (10 - TIII-3) - 57,61</v>
          </cell>
        </row>
        <row r="38">
          <cell r="D38" t="str">
            <v>GL - Gerente II - 4.1 ( 12 - GII ) - 57,61</v>
          </cell>
        </row>
        <row r="39">
          <cell r="D39" t="str">
            <v>T1 - Técnico III - 19 (10 - TIII-3) - 55,28</v>
          </cell>
        </row>
        <row r="40">
          <cell r="D40" t="str">
            <v>GC - Gerente I - 5 (11 - GI) - 54,47</v>
          </cell>
        </row>
        <row r="41">
          <cell r="D41" t="str">
            <v>RF - Técnico II - 10 (7 - TII-3) - 54,47</v>
          </cell>
        </row>
        <row r="42">
          <cell r="D42" t="str">
            <v>GM - Gerente III - 2.5 (13 - GIII) - 54,43</v>
          </cell>
        </row>
        <row r="43">
          <cell r="D43" t="str">
            <v>G2 - Gerente II - 4 (12 - GII) - 54,32</v>
          </cell>
        </row>
        <row r="44">
          <cell r="D44" t="str">
            <v>DH - Director I - 1 (14 - DI) - 53,42</v>
          </cell>
        </row>
        <row r="45">
          <cell r="D45" t="str">
            <v>T2 - Técnico III - 18 (10 - TIII-3) - 52,84</v>
          </cell>
        </row>
        <row r="46">
          <cell r="D46" t="str">
            <v>SM - Soporte II - 8 (5 - TII-1) - 51,33</v>
          </cell>
        </row>
        <row r="47">
          <cell r="D47" t="str">
            <v>G9 - Gerente II - 3.5 (12 - GII) - 50,84</v>
          </cell>
        </row>
        <row r="48">
          <cell r="D48" t="str">
            <v>T3 - Técnico III - 17 (10 - TIII-3) - 50,49</v>
          </cell>
        </row>
        <row r="49">
          <cell r="D49" t="str">
            <v>GH - Gerente III - 2 (13 - GIII) - 50,28</v>
          </cell>
        </row>
        <row r="50">
          <cell r="D50" t="str">
            <v>GO - Gerente I - 4.5 (11 -GI) - 49,3</v>
          </cell>
        </row>
        <row r="51">
          <cell r="D51" t="str">
            <v>T4 - Técnico III - 16 (10 - TIII-3) - 48,43</v>
          </cell>
        </row>
        <row r="52">
          <cell r="D52" t="str">
            <v>GE - Gerente II - 3 (12 - GII) - 48,19</v>
          </cell>
        </row>
        <row r="53">
          <cell r="D53" t="str">
            <v>G6 - Gerente III - 1.5 (13 - GIII) - 47,24</v>
          </cell>
        </row>
        <row r="54">
          <cell r="D54" t="str">
            <v>T5 - Técnico III - 15 (10 - TIII-3) - 46,47</v>
          </cell>
        </row>
        <row r="55">
          <cell r="D55" t="str">
            <v>C1 - Consultor III - 8 (10 - TIII-3) - 46,26</v>
          </cell>
        </row>
        <row r="56">
          <cell r="D56" t="str">
            <v>G3 - Gerente I - 4 (11 - GI) - 45,26</v>
          </cell>
        </row>
        <row r="57">
          <cell r="D57" t="str">
            <v>T6 - Técnico III - 14 (10 - TIII-3) - 44,65</v>
          </cell>
        </row>
        <row r="58">
          <cell r="D58" t="str">
            <v>G7 - Gerente II - 2.5 (12 - GII) - 44,16</v>
          </cell>
        </row>
        <row r="59">
          <cell r="D59" t="str">
            <v>RA - Técnico II - 9 (7 - TII-3) - 44</v>
          </cell>
        </row>
        <row r="60">
          <cell r="D60" t="str">
            <v>T7 - Técnico III - 13 (10 - TIII-3) - 43,02</v>
          </cell>
        </row>
        <row r="61">
          <cell r="D61" t="str">
            <v>CX - Consultor III - 7 (10 - TIII-3) - 42,64</v>
          </cell>
        </row>
        <row r="62">
          <cell r="D62" t="str">
            <v>GD - Gerente III - 1 (13 - GIII) - 42,43</v>
          </cell>
        </row>
        <row r="63">
          <cell r="D63" t="str">
            <v>G8 - Grente I - 3.5 (11 - GI) - 42,11</v>
          </cell>
        </row>
        <row r="64">
          <cell r="D64" t="str">
            <v>SN - Soporte I - 7 (2 - SOPII) - 42,11</v>
          </cell>
        </row>
        <row r="65">
          <cell r="D65" t="str">
            <v>T8 - Técnico III - 12 (10 - TIII-3) - 41,59</v>
          </cell>
        </row>
        <row r="66">
          <cell r="D66" t="str">
            <v>GF - Gerente II - 2 (12 - GII) - 40,85</v>
          </cell>
        </row>
        <row r="67">
          <cell r="D67" t="str">
            <v>T9 - Técnico III - 11 (10 - TIII-3) - 40,28</v>
          </cell>
        </row>
        <row r="68">
          <cell r="D68" t="str">
            <v>C8 - Consultor II - 4.5 (7 - TII-3) - 40,05</v>
          </cell>
        </row>
        <row r="69">
          <cell r="D69" t="str">
            <v>G4 - Gerente I - 3 (11 - GI) - 39,14</v>
          </cell>
        </row>
        <row r="70">
          <cell r="D70" t="str">
            <v>C2 - Consultor III - 6 (10 - TIII-3) - 39,12</v>
          </cell>
        </row>
        <row r="71">
          <cell r="D71" t="str">
            <v>R1 - Técnico III - 10 (10 - TIII-3) - 38,98</v>
          </cell>
        </row>
        <row r="72">
          <cell r="D72" t="str">
            <v>S0 - Soporte IV - V - 7 (10 - TIII-3) - 38,24</v>
          </cell>
        </row>
        <row r="73">
          <cell r="D73" t="str">
            <v>RI - Tecnico II - 8.5 (7 - TII-3) - 38</v>
          </cell>
        </row>
        <row r="74">
          <cell r="D74" t="str">
            <v>GP - GERENTE II - 1.5 (12 - GIi) - 37,71</v>
          </cell>
        </row>
        <row r="75">
          <cell r="D75" t="str">
            <v>R2 - Técnico III - 9 (10 - TIII-3) - 37,64</v>
          </cell>
        </row>
        <row r="76">
          <cell r="D76" t="str">
            <v>C9 - CONSULTOR III - 5.5 (9 - TIII-2) - 37,12</v>
          </cell>
        </row>
        <row r="77">
          <cell r="D77" t="str">
            <v>CN - CONSULTOR II - 4.45 (7 - TII-3) - 36,97</v>
          </cell>
        </row>
        <row r="78">
          <cell r="D78" t="str">
            <v>SG - Soporte III - 6 (6 - TII-2) - 36,66</v>
          </cell>
        </row>
        <row r="79">
          <cell r="D79" t="str">
            <v>SI - Soporte II - 7 (4 - TI-2) - 36,66</v>
          </cell>
        </row>
        <row r="80">
          <cell r="D80" t="str">
            <v>R3 - Técnico III - 8 (10 - TIII-3) - 36,23</v>
          </cell>
        </row>
        <row r="81">
          <cell r="D81" t="str">
            <v>GN - Gerente I - 2.5 (11 - GI) - 35,95</v>
          </cell>
        </row>
        <row r="82">
          <cell r="D82" t="str">
            <v>CY - Consultor III - 5 (9 - TIII-2) - 35,12</v>
          </cell>
        </row>
        <row r="83">
          <cell r="D83" t="str">
            <v>C7 - Consultor I - 5 (4 - TI-2) - 34,92</v>
          </cell>
        </row>
        <row r="84">
          <cell r="D84" t="str">
            <v>R4 - Técnico III - 7 (9 - TIII-2) - 34,78</v>
          </cell>
        </row>
        <row r="85">
          <cell r="D85" t="str">
            <v>GQ - GERENTE I - 2.5 (11 - GI) - 34,73</v>
          </cell>
        </row>
        <row r="86">
          <cell r="D86" t="str">
            <v>GJ - Gerente II - 1 (12 - GII) - 34,57</v>
          </cell>
        </row>
        <row r="87">
          <cell r="D87" t="str">
            <v>C6 - Consultor II - 4.4 (7 -TII-3) - 33,89</v>
          </cell>
        </row>
        <row r="88">
          <cell r="D88" t="str">
            <v>GA - Gerente I - 2 (11 - GI) - 33,52</v>
          </cell>
        </row>
        <row r="89">
          <cell r="D89" t="str">
            <v>RD - Técnico II - 8 (7 - TII-3) - 33,52</v>
          </cell>
        </row>
        <row r="90">
          <cell r="D90" t="str">
            <v>R5 - Técnico III - 6 (9 - TIII-2) - 33,3</v>
          </cell>
        </row>
        <row r="91">
          <cell r="D91" t="str">
            <v>SA - Soporte IV - V - 6 (10 - TIII-3) - 33,26</v>
          </cell>
        </row>
        <row r="92">
          <cell r="D92" t="str">
            <v>CJ - CONSULTOR III - 4.5 (8 - TIII-1) - 33,19</v>
          </cell>
        </row>
        <row r="93">
          <cell r="D93" t="str">
            <v>R6 - Técnico III - 5 (8 - TIII-1) - 31,61</v>
          </cell>
        </row>
        <row r="94">
          <cell r="D94" t="str">
            <v>RJ - TECNICO II - 7.5 (7 - TII-3) - 31,43</v>
          </cell>
        </row>
        <row r="95">
          <cell r="D95" t="str">
            <v>C3 - Consultor III - 4 (8 - TIII-1) - 31,26</v>
          </cell>
        </row>
        <row r="96">
          <cell r="D96" t="str">
            <v>CO - CONSULTOR II - 4.2 (7 - TII-3) - 31,09</v>
          </cell>
        </row>
        <row r="97">
          <cell r="D97" t="str">
            <v>S1 - Soporte IV - V - 5 (9 - TIII-2) - 29,97</v>
          </cell>
        </row>
        <row r="98">
          <cell r="D98" t="str">
            <v>R7 - Técnico III - 4 (8 - TIII-1) - 29,85</v>
          </cell>
        </row>
        <row r="99">
          <cell r="D99" t="str">
            <v>R8 - Técnico II - 7 (7 - TII-3) - 29,33</v>
          </cell>
        </row>
        <row r="100">
          <cell r="D100" t="str">
            <v>CK - CONSULTOR III - 3.5 (8 - TIII-1) - 29,31</v>
          </cell>
        </row>
        <row r="101">
          <cell r="D101" t="str">
            <v>S8 - Soporte I - 6.5 (2 -SOPII) - 28,76</v>
          </cell>
        </row>
        <row r="102">
          <cell r="D102" t="str">
            <v>GK - Gerente I - 1 (11 - GI) - 28,49</v>
          </cell>
        </row>
        <row r="103">
          <cell r="D103" t="str">
            <v>CR - CONSULTOR I - 4.5 (4 - TII-2) - 28,46</v>
          </cell>
        </row>
        <row r="104">
          <cell r="D104" t="str">
            <v>CD - Consultor II - 4 (7 - TII-3) - 28,28</v>
          </cell>
        </row>
        <row r="105">
          <cell r="D105" t="str">
            <v>R9 - TECNICO III - 3.5 (8 - TIII-1) - 28,28</v>
          </cell>
        </row>
        <row r="106">
          <cell r="D106" t="str">
            <v>SU - Soporte II - 6 (4 - TI-2) - 28,28</v>
          </cell>
        </row>
        <row r="107">
          <cell r="D107" t="str">
            <v>SR - Soporte III - 5 (6 - TII-2) - 27,76</v>
          </cell>
        </row>
        <row r="108">
          <cell r="D108" t="str">
            <v>PP - TECNICO II - 6.5 (6 - TII-2) - 27,74</v>
          </cell>
        </row>
        <row r="109">
          <cell r="D109" t="str">
            <v>CZ - Consultor III - 3 (8 - TIII-1) - 27,35</v>
          </cell>
        </row>
        <row r="110">
          <cell r="D110" t="str">
            <v>SB - Soporte IV - V - 4 (9 - TIII-2) - 27,29</v>
          </cell>
        </row>
        <row r="111">
          <cell r="D111" t="str">
            <v>RC - Técnico III - 3 (8 - TIII-1) - 26,71</v>
          </cell>
        </row>
        <row r="112">
          <cell r="D112" t="str">
            <v>SP - Soporte I - 6 (2 - SOPII) - 26,6</v>
          </cell>
        </row>
        <row r="113">
          <cell r="D113" t="str">
            <v>P0 - Técnico II - 6 (6 - TII-2) - 26,16</v>
          </cell>
        </row>
        <row r="114">
          <cell r="D114" t="str">
            <v>CP - CONSULTOR II - 3.5 (6 - TII-2) - 25,93</v>
          </cell>
        </row>
        <row r="115">
          <cell r="D115" t="str">
            <v>S2 - Soporte IV - V - 3 (8 - TIII-1) - 24,89</v>
          </cell>
        </row>
        <row r="116">
          <cell r="D116" t="str">
            <v>RR - TECNICO III - 2.5 (8 - TIII-1) - 24,88</v>
          </cell>
        </row>
        <row r="117">
          <cell r="D117" t="str">
            <v>CL - CONSULTOR III - 2.5 (8 - TIII-1) - 24,67</v>
          </cell>
        </row>
        <row r="118">
          <cell r="D118" t="str">
            <v>SZ - Soporte III - 4.5 (5 - TII-1) - 24,65</v>
          </cell>
        </row>
        <row r="119">
          <cell r="D119" t="str">
            <v>P1 - Técnico II - 5 (6 - TII-2) - 24,47</v>
          </cell>
        </row>
        <row r="120">
          <cell r="D120" t="str">
            <v>STI13 - Colaborativos Experto - 24,14</v>
          </cell>
        </row>
        <row r="121">
          <cell r="D121" t="str">
            <v>ST - Soporte II - 5 (4 - TI-2) - 24,09</v>
          </cell>
        </row>
        <row r="122">
          <cell r="D122" t="str">
            <v>C4 - Consultor II - 3 (6 - TII-2) - 23,57</v>
          </cell>
        </row>
        <row r="123">
          <cell r="D123" t="str">
            <v>RB - Técnico III - 2 (8 - TIII-1) - 23,05</v>
          </cell>
        </row>
        <row r="124">
          <cell r="D124" t="str">
            <v>S3 - Soporte III - 4 (5 - TII-1) - 23,05</v>
          </cell>
        </row>
        <row r="125">
          <cell r="D125" t="str">
            <v>P2 - Técnico II - 4 (5 - TII-1) - 22,94</v>
          </cell>
        </row>
        <row r="126">
          <cell r="D126" t="str">
            <v>SC - Soporte IV - V - 2 (8 - TIII-1) - 22,77</v>
          </cell>
        </row>
        <row r="127">
          <cell r="D127" t="str">
            <v>CB - Consultor I - 4 (4 - TI-2) - 22</v>
          </cell>
        </row>
        <row r="128">
          <cell r="D128" t="str">
            <v>CE - Consultor III - 2 (8 - TIII-1) - 22</v>
          </cell>
        </row>
        <row r="129">
          <cell r="D129" t="str">
            <v>PA - Técnico I - 5 (4 - TI-2) - 22</v>
          </cell>
        </row>
        <row r="130">
          <cell r="D130" t="str">
            <v>P9 - TECNICO II - 3.5 (5 - TII-1) - 21,69</v>
          </cell>
        </row>
        <row r="131">
          <cell r="D131" t="str">
            <v>CW - CONSULTOR II - 2.5 (5 - TII-1) - 21,21</v>
          </cell>
        </row>
        <row r="132">
          <cell r="D132" t="str">
            <v>SJ - Soporte I - 5 (2 - SOPII) - 21,16</v>
          </cell>
        </row>
        <row r="133">
          <cell r="D133" t="str">
            <v>CS - CONSULTOR I - 3.5 ( (4 - TI-2) - 20,95</v>
          </cell>
        </row>
        <row r="134">
          <cell r="D134" t="str">
            <v>RH - TECNICO III - 1.5 (8 - TIII-1) - 20,69</v>
          </cell>
        </row>
        <row r="135">
          <cell r="D135" t="str">
            <v>SY - Soporte III - 3.5 (5 - TII-1) - 20,54</v>
          </cell>
        </row>
        <row r="136">
          <cell r="D136" t="str">
            <v>P3 - Técnico II - 3 (5 - TII-1) - 20,43</v>
          </cell>
        </row>
        <row r="137">
          <cell r="D137" t="str">
            <v>SX - Soporte II - 4.5 (3 - TI-1) - 20,33</v>
          </cell>
        </row>
        <row r="138">
          <cell r="D138" t="str">
            <v>P4 - Técnico I - 4 (4 - TI-2) - 20,23</v>
          </cell>
        </row>
        <row r="139">
          <cell r="D139" t="str">
            <v>C5 - Consultor I - 3 (4 - TI-2) - 19,9</v>
          </cell>
        </row>
        <row r="140">
          <cell r="D140" t="str">
            <v>CM - CONSULTOR III - 1.5 (8 - TIII-1) - 19,38</v>
          </cell>
        </row>
        <row r="141">
          <cell r="D141" t="str">
            <v>SD - Soporte III - 3 (5 - TII-1) - 19,35</v>
          </cell>
        </row>
        <row r="142">
          <cell r="D142" t="str">
            <v>SE - Soporte II - 4 (3 - TI-1) - 19,17</v>
          </cell>
        </row>
        <row r="143">
          <cell r="D143" t="str">
            <v>STI10 - Operación Senior - 18,96</v>
          </cell>
        </row>
        <row r="144">
          <cell r="D144" t="str">
            <v>P5 - Técnico I - 3 (3 - TI-1) - 18,92</v>
          </cell>
        </row>
        <row r="145">
          <cell r="D145" t="str">
            <v>CC - Consultor II - 2 (5 - TII-1) - 18,86</v>
          </cell>
        </row>
        <row r="146">
          <cell r="D146" t="str">
            <v>STI14 - Colaborativos Senior - 18,52</v>
          </cell>
        </row>
        <row r="147">
          <cell r="D147" t="str">
            <v>PD - TECNICO II - 2.5 (5 - TII-1) - 18,49</v>
          </cell>
        </row>
        <row r="148">
          <cell r="D148" t="str">
            <v>CT - CONSULTOR I - 2.5 (3 - TI-1) - 18,33</v>
          </cell>
        </row>
        <row r="149">
          <cell r="D149" t="str">
            <v>RE - Técnico III - 1 (8 - TIII-1) - 18,33</v>
          </cell>
        </row>
        <row r="150">
          <cell r="D150" t="str">
            <v>SO - Soporte I - 4 (2 - SOPII) - 18,13</v>
          </cell>
        </row>
        <row r="151">
          <cell r="D151" t="str">
            <v>S4 - Soporte III - 2 (5 - TII-1) - 18,02</v>
          </cell>
        </row>
        <row r="152">
          <cell r="D152" t="str">
            <v>SF - Soporte IV - V - 1 (8 - TIII-1) - 17,81</v>
          </cell>
        </row>
        <row r="153">
          <cell r="D153" t="str">
            <v>CQ - CONSULTOR II - 1.5 (5 - TII-1) - 17,73</v>
          </cell>
        </row>
        <row r="154">
          <cell r="D154" t="str">
            <v>P8 - Tencico I - 2.5 (3 - TI-1) - 17,46</v>
          </cell>
        </row>
        <row r="155">
          <cell r="D155" t="str">
            <v>SW - Soporte II - 3.5 (3 - TI-1) - 17,46</v>
          </cell>
        </row>
        <row r="156">
          <cell r="D156" t="str">
            <v>STI7 - Micro Senior - 17,28</v>
          </cell>
        </row>
        <row r="157">
          <cell r="D157" t="str">
            <v>CA - Consultor I - 2 (3 - TI-1) - 16,76</v>
          </cell>
        </row>
        <row r="158">
          <cell r="D158" t="str">
            <v>CF - Consultor III - 1 (8 - TIII-1) - 16,76</v>
          </cell>
        </row>
        <row r="159">
          <cell r="D159" t="str">
            <v>CH - Consultor II - 1 (5 - TII-1) - 16,61</v>
          </cell>
        </row>
        <row r="160">
          <cell r="D160" t="str">
            <v>PB - Técnico II - 2 (5 - TII-1) - 16,56</v>
          </cell>
        </row>
        <row r="161">
          <cell r="D161" t="str">
            <v>SS - Soporte I - 3 (2 - SOPII) - 16,56</v>
          </cell>
        </row>
        <row r="162">
          <cell r="D162" t="str">
            <v>P6 - Técnico I - 2 (3 - TI-1) - 15,95</v>
          </cell>
        </row>
        <row r="163">
          <cell r="D163" t="str">
            <v>S5 - Soporte II - 3 (3 - TI-1) - 15,95</v>
          </cell>
        </row>
        <row r="164">
          <cell r="D164" t="str">
            <v>SH - Soporte III - 1 (5 - TII-1) - 15,71</v>
          </cell>
        </row>
        <row r="165">
          <cell r="D165" t="str">
            <v>STI1 - CAU Senior - 15,38</v>
          </cell>
        </row>
        <row r="166">
          <cell r="D166" t="str">
            <v>STI4 - Implantación Senior - 15</v>
          </cell>
        </row>
        <row r="167">
          <cell r="D167" t="str">
            <v>STI15 - Colaborativos Medio - 15</v>
          </cell>
        </row>
        <row r="168">
          <cell r="D168" t="str">
            <v>PE - TECNICO II - 1.5 (5 - TII-1) - 14,56</v>
          </cell>
        </row>
        <row r="169">
          <cell r="D169" t="str">
            <v>SK - Soporte I - 2 (1 - SOPI) - 14,46</v>
          </cell>
        </row>
        <row r="170">
          <cell r="D170" t="str">
            <v>CV - CONSULTOR I - 1.5 (3 - TI-1) - 14,4</v>
          </cell>
        </row>
        <row r="171">
          <cell r="D171" t="str">
            <v>S6 - Soporte II - 2 (3 - TI-1) - 14,24</v>
          </cell>
        </row>
        <row r="172">
          <cell r="D172" t="str">
            <v>PF - TECNICO I - 1.5 (3 - TI-1) - 14,21</v>
          </cell>
        </row>
        <row r="173">
          <cell r="D173" t="str">
            <v>STI5 - Implantación Medio - 14</v>
          </cell>
        </row>
        <row r="174">
          <cell r="D174" t="str">
            <v>STI11 - Operación Medio - 14</v>
          </cell>
        </row>
        <row r="175">
          <cell r="D175" t="str">
            <v>STI8 - Micro Medio - 13</v>
          </cell>
        </row>
        <row r="176">
          <cell r="D176" t="str">
            <v>PC - Técnico II - 1 (5 - TII-1) - 12,57</v>
          </cell>
        </row>
        <row r="177">
          <cell r="D177" t="str">
            <v>P7 - Técnico I - 1 (3 - TI-1) - 12,47</v>
          </cell>
        </row>
        <row r="178">
          <cell r="D178" t="str">
            <v>SL - Soporte I - 1 (1 - SOPI) - 12,15</v>
          </cell>
        </row>
        <row r="179">
          <cell r="D179" t="str">
            <v>S7 - Soporte II - 1 (3 - TI-1) - 12,06</v>
          </cell>
        </row>
        <row r="180">
          <cell r="D180" t="str">
            <v>CI - Consultor I - 1 (3 - TI-1) - 12,05</v>
          </cell>
        </row>
        <row r="181">
          <cell r="D181" t="str">
            <v>STI2 - CAU Medio - 12</v>
          </cell>
        </row>
        <row r="182">
          <cell r="D182" t="str">
            <v>STI6 - Implantación Junior - 11,3</v>
          </cell>
        </row>
        <row r="183">
          <cell r="D183" t="str">
            <v>STI12 - Operación Junior - 11,3</v>
          </cell>
        </row>
        <row r="184">
          <cell r="D184" t="str">
            <v>STI3 - CAU Junior - 10</v>
          </cell>
        </row>
        <row r="185">
          <cell r="D185" t="str">
            <v>STI9 - Micro Junior - 10</v>
          </cell>
        </row>
        <row r="186">
          <cell r="D186" t="str">
            <v>W0 - Tasa Regularizacion - 0,01</v>
          </cell>
        </row>
        <row r="187">
          <cell r="D187" t="str">
            <v>N1 - 0</v>
          </cell>
        </row>
        <row r="188">
          <cell r="D188" t="str">
            <v>N2 - 0</v>
          </cell>
        </row>
        <row r="189">
          <cell r="D189" t="str">
            <v>N3 - 0</v>
          </cell>
        </row>
        <row r="190">
          <cell r="D190" t="str">
            <v>N4 - 0</v>
          </cell>
        </row>
        <row r="191">
          <cell r="D191" t="str">
            <v>N5 - 0</v>
          </cell>
        </row>
        <row r="192">
          <cell r="D192" t="str">
            <v>N6 - 0</v>
          </cell>
        </row>
        <row r="193">
          <cell r="D193" t="str">
            <v>N7 - 0</v>
          </cell>
        </row>
        <row r="194">
          <cell r="D194" t="str">
            <v>N8 - 0</v>
          </cell>
        </row>
        <row r="195">
          <cell r="D195" t="str">
            <v>N9 - 0</v>
          </cell>
        </row>
        <row r="196">
          <cell r="D196" t="str">
            <v>N10 - 0</v>
          </cell>
        </row>
        <row r="197">
          <cell r="D197" t="str">
            <v>N11 - 0</v>
          </cell>
        </row>
        <row r="198">
          <cell r="D198" t="str">
            <v>N12 - 0</v>
          </cell>
        </row>
        <row r="330">
          <cell r="B330" t="str">
            <v>Director</v>
          </cell>
        </row>
        <row r="331">
          <cell r="B331" t="str">
            <v xml:space="preserve">Gestor /Gerente B </v>
          </cell>
        </row>
        <row r="332">
          <cell r="B332" t="str">
            <v xml:space="preserve">Gestor/Gerente A </v>
          </cell>
        </row>
        <row r="333">
          <cell r="B333" t="str">
            <v xml:space="preserve">Ingeniero Software Senior B </v>
          </cell>
        </row>
        <row r="334">
          <cell r="B334" t="str">
            <v xml:space="preserve">Ingeniero Software Senior A </v>
          </cell>
        </row>
        <row r="335">
          <cell r="B335" t="str">
            <v xml:space="preserve">Ingeniero de Software B </v>
          </cell>
        </row>
        <row r="336">
          <cell r="B336" t="str">
            <v xml:space="preserve">Ingeniero de Software A </v>
          </cell>
        </row>
        <row r="337">
          <cell r="B337" t="str">
            <v xml:space="preserve">Técnico de Software Senior B </v>
          </cell>
        </row>
        <row r="338">
          <cell r="B338" t="str">
            <v xml:space="preserve">Técnico de Software Senior A </v>
          </cell>
        </row>
        <row r="339">
          <cell r="B339" t="str">
            <v xml:space="preserve">Técnico de Software II B </v>
          </cell>
        </row>
        <row r="340">
          <cell r="B340" t="str">
            <v xml:space="preserve">Técnico de Software II A </v>
          </cell>
        </row>
        <row r="341">
          <cell r="B341" t="str">
            <v xml:space="preserve">Técnico de Software I B </v>
          </cell>
        </row>
        <row r="342">
          <cell r="B342" t="str">
            <v xml:space="preserve">Técnico de Software I A </v>
          </cell>
        </row>
        <row r="343">
          <cell r="B343" t="str">
            <v>Soporte CSP - Julian Camarillo</v>
          </cell>
        </row>
        <row r="344">
          <cell r="B344" t="str">
            <v>Administrativo</v>
          </cell>
        </row>
        <row r="345">
          <cell r="B345" t="str">
            <v>DADireccion I</v>
          </cell>
        </row>
        <row r="346">
          <cell r="B346" t="str">
            <v>DBDireccioón</v>
          </cell>
        </row>
        <row r="347">
          <cell r="B347" t="str">
            <v>GWGerente VII</v>
          </cell>
        </row>
        <row r="348">
          <cell r="B348" t="str">
            <v>GMGerente VI</v>
          </cell>
        </row>
        <row r="349">
          <cell r="B349" t="str">
            <v>GXGerente V</v>
          </cell>
        </row>
        <row r="350">
          <cell r="B350" t="str">
            <v>GYGerente IV</v>
          </cell>
        </row>
        <row r="351">
          <cell r="B351" t="str">
            <v>G0Gerente III</v>
          </cell>
        </row>
        <row r="352">
          <cell r="B352" t="str">
            <v>GZGerente II</v>
          </cell>
        </row>
        <row r="353">
          <cell r="B353" t="str">
            <v>G1Gerente I</v>
          </cell>
        </row>
        <row r="354">
          <cell r="B354" t="str">
            <v>GBGestor de Proyecto V</v>
          </cell>
        </row>
        <row r="355">
          <cell r="B355" t="str">
            <v>G2Gestor de Proyecto IV</v>
          </cell>
        </row>
        <row r="356">
          <cell r="B356" t="str">
            <v>GEGestor de Proyecto III</v>
          </cell>
        </row>
        <row r="357">
          <cell r="B357" t="str">
            <v>G3Gestor de Proyecto II</v>
          </cell>
        </row>
        <row r="358">
          <cell r="B358" t="str">
            <v>G4Gestor de Proyecto I</v>
          </cell>
        </row>
        <row r="359">
          <cell r="B359" t="str">
            <v>CVConsultor Principal III</v>
          </cell>
        </row>
        <row r="360">
          <cell r="B360" t="str">
            <v>CWConsultor Principal II</v>
          </cell>
        </row>
        <row r="361">
          <cell r="B361" t="str">
            <v>C0Consultor Principal I</v>
          </cell>
        </row>
        <row r="362">
          <cell r="B362" t="str">
            <v>C1Consultor Senior III</v>
          </cell>
        </row>
        <row r="363">
          <cell r="B363" t="str">
            <v>CXConsultor Senior II</v>
          </cell>
        </row>
        <row r="364">
          <cell r="B364" t="str">
            <v>C2Consultor Senior I</v>
          </cell>
        </row>
        <row r="365">
          <cell r="B365" t="str">
            <v>CYConsultor II</v>
          </cell>
        </row>
        <row r="366">
          <cell r="B366" t="str">
            <v>C3Consultor I</v>
          </cell>
        </row>
        <row r="367">
          <cell r="B367" t="str">
            <v>CZConsultor Junior II</v>
          </cell>
        </row>
        <row r="368">
          <cell r="B368" t="str">
            <v>C4Consultor Junior I</v>
          </cell>
        </row>
        <row r="369">
          <cell r="B369" t="str">
            <v>C5Consultor Trainee</v>
          </cell>
        </row>
        <row r="370">
          <cell r="B370" t="str">
            <v>TXLider de Proyecto VII- Ingeniero IV</v>
          </cell>
        </row>
        <row r="371">
          <cell r="B371" t="str">
            <v>T0Lider de Proyecto VI- Ingeniero Principal III</v>
          </cell>
        </row>
        <row r="372">
          <cell r="B372" t="str">
            <v>T1Lider de Proyecto V- Ingeniero Principal II</v>
          </cell>
        </row>
        <row r="373">
          <cell r="B373" t="str">
            <v>T2Lider de Proyecto IV- Ingeniero Principal I</v>
          </cell>
        </row>
        <row r="374">
          <cell r="B374" t="str">
            <v>T3Lider de Proyecto III- Ingeniero Senior IV</v>
          </cell>
        </row>
        <row r="375">
          <cell r="B375" t="str">
            <v>T4Lider de Proyecto II- Ingeniero Senior III</v>
          </cell>
        </row>
        <row r="376">
          <cell r="B376" t="str">
            <v>T5Lider de Proyecto I- Ingeniero Senior II</v>
          </cell>
        </row>
        <row r="377">
          <cell r="B377" t="str">
            <v>T6Programador Senior IV- Ingeniero Senior I</v>
          </cell>
        </row>
        <row r="378">
          <cell r="B378" t="str">
            <v>T7Programador Senior III- Ingeniero XI</v>
          </cell>
        </row>
        <row r="379">
          <cell r="B379" t="str">
            <v>T8Programador Senior II- Ingeniero X</v>
          </cell>
        </row>
        <row r="380">
          <cell r="B380" t="str">
            <v>T9Programador Senior I- Ingeniero IX</v>
          </cell>
        </row>
        <row r="381">
          <cell r="B381" t="str">
            <v>R1Programador VI- Ingeniero VIII</v>
          </cell>
        </row>
        <row r="382">
          <cell r="B382" t="str">
            <v>R2Programador V- Ingeniero VII</v>
          </cell>
        </row>
        <row r="383">
          <cell r="B383" t="str">
            <v>R3Programador IV- Ingeniero VI</v>
          </cell>
        </row>
        <row r="384">
          <cell r="B384" t="str">
            <v>R4Programador III- Ingeniero V</v>
          </cell>
        </row>
        <row r="385">
          <cell r="B385" t="str">
            <v>R5Programador II- Ingeniero IV</v>
          </cell>
        </row>
        <row r="386">
          <cell r="B386" t="str">
            <v>R6Programador I- Ingeniero III</v>
          </cell>
        </row>
        <row r="387">
          <cell r="B387" t="str">
            <v>R7Programador Junior VII- Ingeniero II</v>
          </cell>
        </row>
        <row r="388">
          <cell r="B388" t="str">
            <v>R8Programador Junior VI- Ingeniero I</v>
          </cell>
        </row>
        <row r="389">
          <cell r="B389" t="str">
            <v>P0Programador Junior V- Ingeniero Junior III</v>
          </cell>
        </row>
        <row r="390">
          <cell r="B390" t="str">
            <v>P1Programador Junior IV- Ingeniero Junior II</v>
          </cell>
        </row>
        <row r="391">
          <cell r="B391" t="str">
            <v>P2Programador Junior III- Ingeniero Junior I</v>
          </cell>
        </row>
        <row r="392">
          <cell r="B392" t="str">
            <v>P3Programador Junior II- Ingeniero Trainee II</v>
          </cell>
        </row>
        <row r="393">
          <cell r="B393" t="str">
            <v>P4Programador Junior I- Ingeniero Trainee I</v>
          </cell>
        </row>
        <row r="394">
          <cell r="B394" t="str">
            <v>P5Programador Trainee II</v>
          </cell>
        </row>
        <row r="395">
          <cell r="B395" t="str">
            <v>P6Programador Trainee I</v>
          </cell>
        </row>
        <row r="396">
          <cell r="B396" t="str">
            <v>S0Técnico Soporte Senior</v>
          </cell>
        </row>
        <row r="397">
          <cell r="B397" t="str">
            <v xml:space="preserve">SATécnico Soporte </v>
          </cell>
        </row>
        <row r="398">
          <cell r="B398" t="str">
            <v>S1Operador de Sistemas VIII</v>
          </cell>
        </row>
        <row r="399">
          <cell r="B399" t="str">
            <v>SBOperador de Sistemas VII</v>
          </cell>
        </row>
        <row r="400">
          <cell r="B400" t="str">
            <v>S2Operador de Sistemas VI</v>
          </cell>
        </row>
        <row r="401">
          <cell r="B401" t="str">
            <v>SCOperador de Sistemas V</v>
          </cell>
        </row>
        <row r="402">
          <cell r="B402" t="str">
            <v>S3Operador de Sistemas IV</v>
          </cell>
        </row>
        <row r="403">
          <cell r="B403" t="str">
            <v>SDOperador de Sistemas III</v>
          </cell>
        </row>
        <row r="404">
          <cell r="B404" t="str">
            <v>S4Operador de Sistemas II</v>
          </cell>
        </row>
        <row r="405">
          <cell r="B405" t="str">
            <v>SEOperador de Sistemas I</v>
          </cell>
        </row>
        <row r="406">
          <cell r="B406" t="str">
            <v>S5Soporte Auxiliar II</v>
          </cell>
        </row>
        <row r="407">
          <cell r="B407" t="str">
            <v>S6Soporte Auxiliar I</v>
          </cell>
        </row>
        <row r="408">
          <cell r="B408" t="str">
            <v>Y1Supervisor IV</v>
          </cell>
        </row>
        <row r="409">
          <cell r="B409" t="str">
            <v>Y2Supervisor III</v>
          </cell>
        </row>
        <row r="410">
          <cell r="B410" t="str">
            <v>Y3Supervisor II</v>
          </cell>
        </row>
        <row r="411">
          <cell r="B411" t="str">
            <v>Y4Supervisor I</v>
          </cell>
        </row>
        <row r="412">
          <cell r="B412" t="str">
            <v>O9Operador VII</v>
          </cell>
        </row>
        <row r="413">
          <cell r="B413" t="str">
            <v>O8Operador VI</v>
          </cell>
        </row>
        <row r="414">
          <cell r="B414" t="str">
            <v>O7Operador V</v>
          </cell>
        </row>
        <row r="415">
          <cell r="B415" t="str">
            <v>O6Operador IV</v>
          </cell>
        </row>
        <row r="416">
          <cell r="B416" t="str">
            <v>O5Operador III</v>
          </cell>
        </row>
        <row r="417">
          <cell r="B417" t="str">
            <v>O4Operador II</v>
          </cell>
        </row>
        <row r="418">
          <cell r="B418" t="str">
            <v>O3Operador I</v>
          </cell>
        </row>
        <row r="419">
          <cell r="B419" t="str">
            <v>O2Documentalista Senior</v>
          </cell>
        </row>
        <row r="420">
          <cell r="B420" t="str">
            <v xml:space="preserve">O1Documentalista </v>
          </cell>
        </row>
        <row r="421">
          <cell r="B421" t="str">
            <v>O0Documentalista Junior</v>
          </cell>
        </row>
        <row r="422">
          <cell r="B422" t="str">
            <v>Q1Auxiliar III - Salario Mínimo</v>
          </cell>
        </row>
        <row r="423">
          <cell r="B423" t="str">
            <v>Q2Auxiliar II - Aprendiz Etapa Productiva</v>
          </cell>
        </row>
        <row r="424">
          <cell r="B424" t="str">
            <v>Q3Auxiliar I - Aprendiz Etapa Lectiva</v>
          </cell>
        </row>
        <row r="425">
          <cell r="B425" t="str">
            <v>XTPereira - Lider de Proyecto VII- Ingeniero IV</v>
          </cell>
        </row>
        <row r="426">
          <cell r="B426" t="str">
            <v>0TPereira - Lider de Proyecto VI- Ingeniero Principal III</v>
          </cell>
        </row>
        <row r="427">
          <cell r="B427" t="str">
            <v>1TPereira - Lider de Proyecto V- Ingeniero Principal II</v>
          </cell>
        </row>
        <row r="428">
          <cell r="B428" t="str">
            <v>2TPereira - Lider de Proyecto IV- Ingeniero Principal I</v>
          </cell>
        </row>
        <row r="429">
          <cell r="B429" t="str">
            <v>3TPereira - Lider de Proyecto III- Ingeniero Senior IV</v>
          </cell>
        </row>
        <row r="430">
          <cell r="B430" t="str">
            <v>4TPereira - Lider de Proyecto II- Ingeniero Senior III</v>
          </cell>
        </row>
        <row r="431">
          <cell r="B431" t="str">
            <v>5TPereira - Lider de Proyecto I- Ingeniero Senior II</v>
          </cell>
        </row>
        <row r="432">
          <cell r="B432" t="str">
            <v>6TPereira - Programador Senior IV- Ingeniero Senior I</v>
          </cell>
        </row>
        <row r="433">
          <cell r="B433" t="str">
            <v>7TPereira - Programador Senior III- Ingeniero XI</v>
          </cell>
        </row>
        <row r="434">
          <cell r="B434" t="str">
            <v>8TPereira - Programador Senior II- Ingeniero X</v>
          </cell>
        </row>
        <row r="435">
          <cell r="B435" t="str">
            <v>9TPereira - Programador Senior I- Ingeniero IX</v>
          </cell>
        </row>
        <row r="436">
          <cell r="B436" t="str">
            <v>1RPereira - Programador VI- Ingeniero VIII</v>
          </cell>
        </row>
        <row r="437">
          <cell r="B437" t="str">
            <v>2RPereira - Programador V- Ingeniero VII</v>
          </cell>
        </row>
        <row r="438">
          <cell r="B438" t="str">
            <v>3RPereira - Programador IV- Ingeniero VI</v>
          </cell>
        </row>
        <row r="439">
          <cell r="B439" t="str">
            <v>4RPereira - Programador III- Ingeniero V</v>
          </cell>
        </row>
        <row r="440">
          <cell r="B440" t="str">
            <v>5RPereira - Programador II- Ingeniero IV</v>
          </cell>
        </row>
        <row r="441">
          <cell r="B441" t="str">
            <v>6RPereira - Programador I- Ingeniero III</v>
          </cell>
        </row>
        <row r="442">
          <cell r="B442" t="str">
            <v>7RPereira - Programador Junior VII- Ingeniero II</v>
          </cell>
        </row>
        <row r="443">
          <cell r="B443" t="str">
            <v>8RPereira - Programador Junior VI- Ingeniero I</v>
          </cell>
        </row>
        <row r="444">
          <cell r="B444" t="str">
            <v>0PPereira - Programador Junior V- Ingeniero Junior III</v>
          </cell>
        </row>
        <row r="445">
          <cell r="B445" t="str">
            <v>1PPereira - Programador Junior IV- Ingeniero Junior II</v>
          </cell>
        </row>
        <row r="446">
          <cell r="B446" t="str">
            <v>2PPereira - Programador Junior III- Ingeniero Junior I</v>
          </cell>
        </row>
        <row r="447">
          <cell r="B447" t="str">
            <v>3PPereira - Programador Junior II- Ingeniero Trainee II</v>
          </cell>
        </row>
        <row r="448">
          <cell r="B448" t="str">
            <v>4PPereira - Programador Junior I- Ingeniero Trainee I</v>
          </cell>
        </row>
        <row r="449">
          <cell r="B449" t="str">
            <v>5PPereira - Programador Trainee II</v>
          </cell>
        </row>
        <row r="450">
          <cell r="B450" t="str">
            <v>6PPereira - Programador Trainee I</v>
          </cell>
        </row>
      </sheetData>
      <sheetData sheetId="7" refreshError="1">
        <row r="1">
          <cell r="E1">
            <v>3300</v>
          </cell>
        </row>
        <row r="10">
          <cell r="D10">
            <v>30</v>
          </cell>
        </row>
        <row r="68">
          <cell r="O68">
            <v>0.35000000000000014</v>
          </cell>
        </row>
      </sheetData>
      <sheetData sheetId="8" refreshError="1">
        <row r="8">
          <cell r="C8">
            <v>18</v>
          </cell>
        </row>
        <row r="20">
          <cell r="D20">
            <v>0.1</v>
          </cell>
        </row>
      </sheetData>
      <sheetData sheetId="9" refreshError="1">
        <row r="20">
          <cell r="D20">
            <v>0.1</v>
          </cell>
        </row>
        <row r="70">
          <cell r="C70">
            <v>0.05</v>
          </cell>
        </row>
        <row r="71">
          <cell r="C71">
            <v>0.05</v>
          </cell>
        </row>
        <row r="72">
          <cell r="C72">
            <v>0.05</v>
          </cell>
        </row>
        <row r="73">
          <cell r="C73">
            <v>0.05</v>
          </cell>
        </row>
        <row r="74">
          <cell r="C74">
            <v>0.05</v>
          </cell>
        </row>
        <row r="75">
          <cell r="C75">
            <v>0.05</v>
          </cell>
        </row>
        <row r="76">
          <cell r="C76">
            <v>0.05</v>
          </cell>
        </row>
        <row r="77">
          <cell r="C77">
            <v>0.05</v>
          </cell>
        </row>
        <row r="78">
          <cell r="C78">
            <v>0.05</v>
          </cell>
        </row>
        <row r="79">
          <cell r="C79">
            <v>0.05</v>
          </cell>
        </row>
        <row r="80">
          <cell r="D80">
            <v>5.0000000000000017E-2</v>
          </cell>
        </row>
      </sheetData>
      <sheetData sheetId="10">
        <row r="8">
          <cell r="C8">
            <v>18</v>
          </cell>
        </row>
      </sheetData>
      <sheetData sheetId="11">
        <row r="1">
          <cell r="E1">
            <v>3300</v>
          </cell>
        </row>
      </sheetData>
      <sheetData sheetId="12">
        <row r="1">
          <cell r="E1">
            <v>3300</v>
          </cell>
        </row>
      </sheetData>
      <sheetData sheetId="13">
        <row r="24">
          <cell r="B24" t="str">
            <v>INVERSIONES</v>
          </cell>
        </row>
      </sheetData>
      <sheetData sheetId="14">
        <row r="314">
          <cell r="C314" t="str">
            <v>Centro de cómputo</v>
          </cell>
        </row>
      </sheetData>
      <sheetData sheetId="15">
        <row r="13">
          <cell r="B13" t="str">
            <v>ESPAÑA</v>
          </cell>
        </row>
      </sheetData>
      <sheetData sheetId="16">
        <row r="7">
          <cell r="D7" t="str">
            <v>DD - Director III (16 - DIII) - 197,99</v>
          </cell>
        </row>
      </sheetData>
      <sheetData sheetId="17">
        <row r="20">
          <cell r="D20">
            <v>0.1</v>
          </cell>
        </row>
      </sheetData>
      <sheetData sheetId="18">
        <row r="1">
          <cell r="E1">
            <v>3300</v>
          </cell>
        </row>
      </sheetData>
      <sheetData sheetId="19">
        <row r="24">
          <cell r="B24" t="str">
            <v>INVERSIONES</v>
          </cell>
        </row>
      </sheetData>
      <sheetData sheetId="20">
        <row r="314">
          <cell r="C314" t="str">
            <v>Centro de cómputo</v>
          </cell>
        </row>
      </sheetData>
      <sheetData sheetId="21">
        <row r="70">
          <cell r="C70">
            <v>0.05</v>
          </cell>
        </row>
      </sheetData>
      <sheetData sheetId="22">
        <row r="8">
          <cell r="C8">
            <v>18</v>
          </cell>
        </row>
      </sheetData>
      <sheetData sheetId="23">
        <row r="7">
          <cell r="D7" t="str">
            <v>DD - Director III (16 - DIII) - 197,99</v>
          </cell>
        </row>
      </sheetData>
      <sheetData sheetId="24">
        <row r="13">
          <cell r="B13" t="str">
            <v>ESPAÑA</v>
          </cell>
        </row>
      </sheetData>
      <sheetData sheetId="25"/>
      <sheetData sheetId="26">
        <row r="8">
          <cell r="C8">
            <v>18</v>
          </cell>
        </row>
      </sheetData>
      <sheetData sheetId="27">
        <row r="7">
          <cell r="D7" t="str">
            <v>DD - Director III (16 - DIII) - 197,99</v>
          </cell>
        </row>
      </sheetData>
      <sheetData sheetId="28">
        <row r="13">
          <cell r="B13" t="str">
            <v>ESPAÑA</v>
          </cell>
        </row>
      </sheetData>
      <sheetData sheetId="29">
        <row r="6">
          <cell r="B6" t="str">
            <v>2013ENERO</v>
          </cell>
        </row>
      </sheetData>
      <sheetData sheetId="30">
        <row r="6">
          <cell r="B6" t="str">
            <v>2013ENERO</v>
          </cell>
        </row>
      </sheetData>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de Cambios"/>
      <sheetName val="VALIDACION"/>
      <sheetName val="HOJA DE CONTROL"/>
      <sheetName val="ANALISIS OFFSHORE"/>
      <sheetName val="-OTROS PRECIO-"/>
      <sheetName val="PRICING"/>
      <sheetName val="COT ESCENARIO 1"/>
      <sheetName val="DATOS ENTRADA"/>
      <sheetName val="PARÁMETROS"/>
      <sheetName val="RESUMEN"/>
      <sheetName val="DASHBOARD"/>
      <sheetName val="Cash Flow (COP)"/>
      <sheetName val="DETALLE INGRESOS"/>
      <sheetName val="DETALLE COSTES"/>
      <sheetName val="COSTES SSPP"/>
      <sheetName val="COSTES NO SSPP"/>
      <sheetName val="HW&amp;SW"/>
      <sheetName val="Costes SIEM - Firewalls"/>
      <sheetName val="TRANSICIÓN"/>
      <sheetName val="SERVICIOS - AT"/>
      <sheetName val="SERVICIOS - GU MICRO"/>
      <sheetName val="SERVICIOS - GU CAU"/>
      <sheetName val="SERVICIOS - GT"/>
      <sheetName val="SERVICIOS - FLEX-iT"/>
      <sheetName val="PIRÁMIDES"/>
      <sheetName val="LINEA BASE"/>
      <sheetName val="CONFIGURACIÓN"/>
      <sheetName val="TASAS"/>
      <sheetName val="DATOS MAESTROS"/>
      <sheetName val="NOTAS"/>
      <sheetName val="CALENDARIO"/>
      <sheetName val="mex95ib"/>
      <sheetName val="hoja índice"/>
    </sheetNames>
    <sheetDataSet>
      <sheetData sheetId="0">
        <row r="8">
          <cell r="C8">
            <v>18</v>
          </cell>
        </row>
      </sheetData>
      <sheetData sheetId="1">
        <row r="1">
          <cell r="E1">
            <v>3300</v>
          </cell>
        </row>
      </sheetData>
      <sheetData sheetId="2">
        <row r="1">
          <cell r="E1">
            <v>3300</v>
          </cell>
        </row>
      </sheetData>
      <sheetData sheetId="3">
        <row r="24">
          <cell r="B24" t="str">
            <v>INVERSIONES</v>
          </cell>
        </row>
      </sheetData>
      <sheetData sheetId="4">
        <row r="314">
          <cell r="C314" t="str">
            <v>Centro de cómputo</v>
          </cell>
        </row>
      </sheetData>
      <sheetData sheetId="5">
        <row r="13">
          <cell r="B13" t="str">
            <v>ESPAÑA</v>
          </cell>
        </row>
      </sheetData>
      <sheetData sheetId="6">
        <row r="7">
          <cell r="D7" t="str">
            <v>DD - Director III (16 - DIII) - 197,99</v>
          </cell>
        </row>
      </sheetData>
      <sheetData sheetId="7">
        <row r="1">
          <cell r="E1">
            <v>3300</v>
          </cell>
        </row>
        <row r="2">
          <cell r="E2">
            <v>3450</v>
          </cell>
        </row>
      </sheetData>
      <sheetData sheetId="8">
        <row r="20">
          <cell r="D20">
            <v>0.1</v>
          </cell>
        </row>
        <row r="70">
          <cell r="C70">
            <v>0.05</v>
          </cell>
        </row>
        <row r="71">
          <cell r="C71">
            <v>0.05</v>
          </cell>
        </row>
        <row r="72">
          <cell r="C72">
            <v>0.05</v>
          </cell>
        </row>
        <row r="73">
          <cell r="C73">
            <v>0.05</v>
          </cell>
        </row>
        <row r="74">
          <cell r="C74">
            <v>0.05</v>
          </cell>
        </row>
        <row r="75">
          <cell r="C75">
            <v>0.05</v>
          </cell>
        </row>
        <row r="76">
          <cell r="C76">
            <v>0.05</v>
          </cell>
        </row>
        <row r="77">
          <cell r="C77">
            <v>0.05</v>
          </cell>
        </row>
        <row r="78">
          <cell r="C78">
            <v>0.05</v>
          </cell>
        </row>
        <row r="79">
          <cell r="C79">
            <v>0.05</v>
          </cell>
        </row>
        <row r="80">
          <cell r="D80">
            <v>5.0000000000000017E-2</v>
          </cell>
        </row>
      </sheetData>
      <sheetData sheetId="9">
        <row r="20">
          <cell r="D20">
            <v>0.1</v>
          </cell>
        </row>
      </sheetData>
      <sheetData sheetId="10">
        <row r="8">
          <cell r="C8">
            <v>18</v>
          </cell>
        </row>
        <row r="20">
          <cell r="D20">
            <v>0.1</v>
          </cell>
        </row>
      </sheetData>
      <sheetData sheetId="11">
        <row r="1">
          <cell r="E1">
            <v>3300</v>
          </cell>
        </row>
        <row r="10">
          <cell r="D10">
            <v>30</v>
          </cell>
        </row>
        <row r="68">
          <cell r="O68">
            <v>0.35000000000000014</v>
          </cell>
        </row>
      </sheetData>
      <sheetData sheetId="12">
        <row r="1">
          <cell r="E1">
            <v>3300</v>
          </cell>
        </row>
      </sheetData>
      <sheetData sheetId="13">
        <row r="24">
          <cell r="B24" t="str">
            <v>INVERSIONES</v>
          </cell>
        </row>
      </sheetData>
      <sheetData sheetId="14">
        <row r="314">
          <cell r="C314" t="str">
            <v>Centro de cómputo</v>
          </cell>
        </row>
      </sheetData>
      <sheetData sheetId="15">
        <row r="13">
          <cell r="B13" t="str">
            <v>ESPAÑA</v>
          </cell>
        </row>
        <row r="24">
          <cell r="B24" t="str">
            <v>INVERSIONES</v>
          </cell>
        </row>
        <row r="25">
          <cell r="B25" t="str">
            <v>MTO. HW &amp; SW</v>
          </cell>
        </row>
        <row r="26">
          <cell r="B26" t="str">
            <v>GESTIÓN</v>
          </cell>
        </row>
        <row r="27">
          <cell r="B27" t="str">
            <v>GENERALES</v>
          </cell>
        </row>
        <row r="28">
          <cell r="B28" t="str">
            <v>COMUNICACIONES</v>
          </cell>
        </row>
        <row r="29">
          <cell r="B29" t="str">
            <v>ALCANCE SERVICIO</v>
          </cell>
        </row>
        <row r="30">
          <cell r="B30" t="str">
            <v>PUESTO TRABAJO</v>
          </cell>
        </row>
        <row r="31">
          <cell r="B31" t="str">
            <v>COMERCIALES</v>
          </cell>
        </row>
        <row r="32">
          <cell r="B32" t="str">
            <v>FLEX-IT</v>
          </cell>
        </row>
        <row r="33">
          <cell r="B33" t="str">
            <v>SERVICIOS 3os</v>
          </cell>
        </row>
      </sheetData>
      <sheetData sheetId="16">
        <row r="7">
          <cell r="D7" t="str">
            <v>DD - Director III (16 - DIII) - 197,99</v>
          </cell>
        </row>
        <row r="314">
          <cell r="C314" t="str">
            <v>Centro de cómputo</v>
          </cell>
        </row>
        <row r="315">
          <cell r="C315" t="str">
            <v>Servidores</v>
          </cell>
        </row>
        <row r="316">
          <cell r="C316" t="str">
            <v>Seguridad</v>
          </cell>
        </row>
        <row r="317">
          <cell r="C317" t="str">
            <v>SOC</v>
          </cell>
        </row>
        <row r="318">
          <cell r="C318" t="str">
            <v>Almacenamiento y Backup</v>
          </cell>
        </row>
        <row r="319">
          <cell r="C319" t="str">
            <v>Correo electrónico y Lync</v>
          </cell>
        </row>
        <row r="320">
          <cell r="C320" t="str">
            <v>Aplicaciones y BBDD</v>
          </cell>
        </row>
        <row r="321">
          <cell r="C321" t="str">
            <v>Gestión y monitoreo</v>
          </cell>
        </row>
        <row r="322">
          <cell r="C322" t="str">
            <v>Redes de área local LAN y WAN</v>
          </cell>
        </row>
        <row r="323">
          <cell r="C323" t="str">
            <v>Internet móvil</v>
          </cell>
        </row>
        <row r="324">
          <cell r="C324" t="str">
            <v>REPARTO</v>
          </cell>
        </row>
      </sheetData>
      <sheetData sheetId="17">
        <row r="70">
          <cell r="C70">
            <v>0.05</v>
          </cell>
        </row>
      </sheetData>
      <sheetData sheetId="18">
        <row r="8">
          <cell r="C8">
            <v>18</v>
          </cell>
        </row>
      </sheetData>
      <sheetData sheetId="19">
        <row r="7">
          <cell r="D7" t="str">
            <v>DD - Director III (16 - DIII) - 197,99</v>
          </cell>
        </row>
      </sheetData>
      <sheetData sheetId="20">
        <row r="13">
          <cell r="B13" t="str">
            <v>ESPAÑA</v>
          </cell>
        </row>
      </sheetData>
      <sheetData sheetId="21"/>
      <sheetData sheetId="22">
        <row r="8">
          <cell r="C8">
            <v>18</v>
          </cell>
        </row>
      </sheetData>
      <sheetData sheetId="23">
        <row r="7">
          <cell r="D7" t="str">
            <v>DD - Director III (16 - DIII) - 197,99</v>
          </cell>
        </row>
      </sheetData>
      <sheetData sheetId="24">
        <row r="13">
          <cell r="B13" t="str">
            <v>ESPAÑA</v>
          </cell>
        </row>
      </sheetData>
      <sheetData sheetId="25">
        <row r="6">
          <cell r="B6" t="str">
            <v>2013ENERO</v>
          </cell>
        </row>
      </sheetData>
      <sheetData sheetId="26">
        <row r="8">
          <cell r="C8">
            <v>18</v>
          </cell>
        </row>
        <row r="9">
          <cell r="C9">
            <v>42370</v>
          </cell>
          <cell r="F9">
            <v>2016</v>
          </cell>
        </row>
        <row r="10">
          <cell r="C10">
            <v>42916</v>
          </cell>
        </row>
        <row r="12">
          <cell r="C12">
            <v>9</v>
          </cell>
        </row>
        <row r="17">
          <cell r="D17">
            <v>12</v>
          </cell>
          <cell r="E17">
            <v>0</v>
          </cell>
        </row>
        <row r="18">
          <cell r="E18">
            <v>6</v>
          </cell>
          <cell r="F18">
            <v>0</v>
          </cell>
        </row>
        <row r="19">
          <cell r="F19">
            <v>0</v>
          </cell>
          <cell r="G19">
            <v>0</v>
          </cell>
        </row>
        <row r="20">
          <cell r="G20">
            <v>0</v>
          </cell>
          <cell r="H20">
            <v>0</v>
          </cell>
        </row>
        <row r="21">
          <cell r="H21">
            <v>0</v>
          </cell>
          <cell r="I21">
            <v>0</v>
          </cell>
        </row>
        <row r="22">
          <cell r="I22">
            <v>0</v>
          </cell>
          <cell r="J22">
            <v>0</v>
          </cell>
        </row>
        <row r="23">
          <cell r="J23">
            <v>0</v>
          </cell>
          <cell r="K23">
            <v>0</v>
          </cell>
        </row>
        <row r="24">
          <cell r="K24">
            <v>0</v>
          </cell>
          <cell r="L24">
            <v>0</v>
          </cell>
        </row>
        <row r="25">
          <cell r="L25">
            <v>0</v>
          </cell>
          <cell r="M25">
            <v>0</v>
          </cell>
        </row>
        <row r="26">
          <cell r="M26">
            <v>0</v>
          </cell>
          <cell r="N26">
            <v>0</v>
          </cell>
        </row>
        <row r="29">
          <cell r="D29">
            <v>12</v>
          </cell>
          <cell r="E29">
            <v>6</v>
          </cell>
          <cell r="F29">
            <v>0</v>
          </cell>
          <cell r="G29">
            <v>0</v>
          </cell>
          <cell r="H29">
            <v>0</v>
          </cell>
          <cell r="I29">
            <v>0</v>
          </cell>
          <cell r="J29">
            <v>0</v>
          </cell>
          <cell r="K29">
            <v>0</v>
          </cell>
          <cell r="L29">
            <v>0</v>
          </cell>
          <cell r="M29">
            <v>0</v>
          </cell>
          <cell r="N29">
            <v>0</v>
          </cell>
        </row>
        <row r="47">
          <cell r="B47" t="str">
            <v>COLOMBIA</v>
          </cell>
          <cell r="C47">
            <v>2200</v>
          </cell>
        </row>
        <row r="48">
          <cell r="C48">
            <v>0</v>
          </cell>
        </row>
        <row r="49">
          <cell r="C49">
            <v>0</v>
          </cell>
        </row>
        <row r="50">
          <cell r="C50">
            <v>0</v>
          </cell>
        </row>
        <row r="51">
          <cell r="C51">
            <v>0</v>
          </cell>
        </row>
        <row r="52">
          <cell r="C52">
            <v>0</v>
          </cell>
        </row>
        <row r="53">
          <cell r="C53">
            <v>0</v>
          </cell>
        </row>
      </sheetData>
      <sheetData sheetId="27">
        <row r="7">
          <cell r="D7" t="str">
            <v>DD - Director III (16 - DIII) - 197,99</v>
          </cell>
        </row>
        <row r="8">
          <cell r="D8" t="str">
            <v>DX - Director II - 7 (15 - DII) - 160,27</v>
          </cell>
        </row>
        <row r="9">
          <cell r="D9" t="str">
            <v>DP - Director II - 6 (15 - DII) - 116,65</v>
          </cell>
        </row>
        <row r="10">
          <cell r="D10" t="str">
            <v>D0 - Director II - 5 (15 - DII) - 106,78</v>
          </cell>
        </row>
        <row r="11">
          <cell r="D11" t="str">
            <v>DC - Director II - 4 (15 - DII) - 97,97</v>
          </cell>
        </row>
        <row r="12">
          <cell r="D12" t="str">
            <v>DB - Director I - 5 (14 - DI) - 94,28</v>
          </cell>
        </row>
        <row r="13">
          <cell r="D13" t="str">
            <v>GX - Gerente III - 8 (13 - GIII) - 94,26</v>
          </cell>
        </row>
        <row r="14">
          <cell r="D14" t="str">
            <v>D7 - Director II - 3 (15 - DII) - 89,11</v>
          </cell>
        </row>
        <row r="15">
          <cell r="D15" t="str">
            <v>GI - Gerente II - 6 (12 - GII) - 87,99</v>
          </cell>
        </row>
        <row r="16">
          <cell r="D16" t="str">
            <v>DJ - DIRECTOR I - 4.5 (14 - DI) - 87,17</v>
          </cell>
        </row>
        <row r="17">
          <cell r="D17" t="str">
            <v>D2 - Director II - 2.5 (15 - DII) - 82,16</v>
          </cell>
        </row>
        <row r="18">
          <cell r="D18" t="str">
            <v>GY - Gerente III - 7 (13 - GIII) - 80,67</v>
          </cell>
        </row>
        <row r="19">
          <cell r="D19" t="str">
            <v>DZ - Director I - 4 (14 - DI) - 80,06</v>
          </cell>
        </row>
        <row r="20">
          <cell r="D20" t="str">
            <v>DE - Director II - 2 (15 - DII) - 78,57</v>
          </cell>
        </row>
        <row r="21">
          <cell r="D21" t="str">
            <v>DK - DIRECTOR I - 3.5 (14 - DI) - 75,89</v>
          </cell>
        </row>
        <row r="22">
          <cell r="D22" t="str">
            <v>G0 - Gerente III - 6 (13 - GIII) - 73,34</v>
          </cell>
        </row>
        <row r="23">
          <cell r="D23" t="str">
            <v>DW - Director II - 1.5 (15 - DII) - 71,89</v>
          </cell>
        </row>
        <row r="24">
          <cell r="D24" t="str">
            <v>DA - Director I - 3 (14 - DI) - 71,71</v>
          </cell>
        </row>
        <row r="25">
          <cell r="D25" t="str">
            <v>TX - Técnico III - 21 (10 - TIII-3) - 69,76</v>
          </cell>
        </row>
        <row r="26">
          <cell r="D26" t="str">
            <v>GZ - Gerente III - 5 (13 - GIII) - 67,91</v>
          </cell>
        </row>
        <row r="27">
          <cell r="D27" t="str">
            <v>DY - Director I - 2.5 (14 - DI) - 66,76</v>
          </cell>
        </row>
        <row r="28">
          <cell r="D28" t="str">
            <v>G5 - Gerente I - 3 (11 - GI) - 64,7</v>
          </cell>
        </row>
        <row r="29">
          <cell r="D29" t="str">
            <v>DG - Director II - 1 (15 - DII) - 63,9</v>
          </cell>
        </row>
        <row r="30">
          <cell r="D30" t="str">
            <v>GG - Gerente II - 5 (12 - GII) - 63,9</v>
          </cell>
        </row>
        <row r="31">
          <cell r="D31" t="str">
            <v>G1 - Gerente III - 4 (13 - GIII) - 63,51</v>
          </cell>
        </row>
        <row r="32">
          <cell r="D32" t="str">
            <v>CG - Consultor II - 5 (7 - TII-3) - 62,85</v>
          </cell>
        </row>
        <row r="33">
          <cell r="D33" t="str">
            <v>DF - Director I - 2 (14 - DI) - 62,85</v>
          </cell>
        </row>
        <row r="34">
          <cell r="D34" t="str">
            <v>T0 - Técnico III - 20 (10 - TIII-3) - 62,46</v>
          </cell>
        </row>
        <row r="35">
          <cell r="D35" t="str">
            <v>GB - Gerente III - 3 (13 - GIII) - 59,08</v>
          </cell>
        </row>
        <row r="36">
          <cell r="D36" t="str">
            <v>DI - Director I - 1.5 (14 - DI) - 58,54</v>
          </cell>
        </row>
        <row r="37">
          <cell r="D37" t="str">
            <v>C0 - Consultor III - 9 (10 - TIII-3) - 57,61</v>
          </cell>
        </row>
        <row r="38">
          <cell r="D38" t="str">
            <v>GL - Gerente II - 4.1 ( 12 - GII ) - 57,61</v>
          </cell>
        </row>
        <row r="39">
          <cell r="D39" t="str">
            <v>T1 - Técnico III - 19 (10 - TIII-3) - 55,28</v>
          </cell>
        </row>
        <row r="40">
          <cell r="D40" t="str">
            <v>GC - Gerente I - 5 (11 - GI) - 54,47</v>
          </cell>
        </row>
        <row r="41">
          <cell r="D41" t="str">
            <v>RF - Técnico II - 10 (7 - TII-3) - 54,47</v>
          </cell>
        </row>
        <row r="42">
          <cell r="D42" t="str">
            <v>GM - Gerente III - 2.5 (13 - GIII) - 54,43</v>
          </cell>
        </row>
        <row r="43">
          <cell r="D43" t="str">
            <v>G2 - Gerente II - 4 (12 - GII) - 54,32</v>
          </cell>
        </row>
        <row r="44">
          <cell r="D44" t="str">
            <v>DH - Director I - 1 (14 - DI) - 53,42</v>
          </cell>
        </row>
        <row r="45">
          <cell r="D45" t="str">
            <v>T2 - Técnico III - 18 (10 - TIII-3) - 52,84</v>
          </cell>
        </row>
        <row r="46">
          <cell r="D46" t="str">
            <v>SM - Soporte II - 8 (5 - TII-1) - 51,33</v>
          </cell>
        </row>
        <row r="47">
          <cell r="D47" t="str">
            <v>G9 - Gerente II - 3.5 (12 - GII) - 50,84</v>
          </cell>
        </row>
        <row r="48">
          <cell r="D48" t="str">
            <v>T3 - Técnico III - 17 (10 - TIII-3) - 50,49</v>
          </cell>
        </row>
        <row r="49">
          <cell r="D49" t="str">
            <v>GH - Gerente III - 2 (13 - GIII) - 50,28</v>
          </cell>
        </row>
        <row r="50">
          <cell r="D50" t="str">
            <v>GO - Gerente I - 4.5 (11 -GI) - 49,3</v>
          </cell>
        </row>
        <row r="51">
          <cell r="D51" t="str">
            <v>T4 - Técnico III - 16 (10 - TIII-3) - 48,43</v>
          </cell>
        </row>
        <row r="52">
          <cell r="D52" t="str">
            <v>GE - Gerente II - 3 (12 - GII) - 48,19</v>
          </cell>
        </row>
        <row r="53">
          <cell r="D53" t="str">
            <v>G6 - Gerente III - 1.5 (13 - GIII) - 47,24</v>
          </cell>
        </row>
        <row r="54">
          <cell r="D54" t="str">
            <v>T5 - Técnico III - 15 (10 - TIII-3) - 46,47</v>
          </cell>
        </row>
        <row r="55">
          <cell r="D55" t="str">
            <v>C1 - Consultor III - 8 (10 - TIII-3) - 46,26</v>
          </cell>
        </row>
        <row r="56">
          <cell r="D56" t="str">
            <v>G3 - Gerente I - 4 (11 - GI) - 45,26</v>
          </cell>
        </row>
        <row r="57">
          <cell r="D57" t="str">
            <v>T6 - Técnico III - 14 (10 - TIII-3) - 44,65</v>
          </cell>
        </row>
        <row r="58">
          <cell r="D58" t="str">
            <v>G7 - Gerente II - 2.5 (12 - GII) - 44,16</v>
          </cell>
        </row>
        <row r="59">
          <cell r="D59" t="str">
            <v>RA - Técnico II - 9 (7 - TII-3) - 44</v>
          </cell>
        </row>
        <row r="60">
          <cell r="D60" t="str">
            <v>T7 - Técnico III - 13 (10 - TIII-3) - 43,02</v>
          </cell>
        </row>
        <row r="61">
          <cell r="D61" t="str">
            <v>CX - Consultor III - 7 (10 - TIII-3) - 42,64</v>
          </cell>
        </row>
        <row r="62">
          <cell r="D62" t="str">
            <v>GD - Gerente III - 1 (13 - GIII) - 42,43</v>
          </cell>
        </row>
        <row r="63">
          <cell r="D63" t="str">
            <v>G8 - Grente I - 3.5 (11 - GI) - 42,11</v>
          </cell>
        </row>
        <row r="64">
          <cell r="D64" t="str">
            <v>SN - Soporte I - 7 (2 - SOPII) - 42,11</v>
          </cell>
        </row>
        <row r="65">
          <cell r="D65" t="str">
            <v>T8 - Técnico III - 12 (10 - TIII-3) - 41,59</v>
          </cell>
        </row>
        <row r="66">
          <cell r="D66" t="str">
            <v>GF - Gerente II - 2 (12 - GII) - 40,85</v>
          </cell>
        </row>
        <row r="67">
          <cell r="D67" t="str">
            <v>T9 - Técnico III - 11 (10 - TIII-3) - 40,28</v>
          </cell>
        </row>
        <row r="68">
          <cell r="D68" t="str">
            <v>C8 - Consultor II - 4.5 (7 - TII-3) - 40,05</v>
          </cell>
        </row>
        <row r="69">
          <cell r="D69" t="str">
            <v>G4 - Gerente I - 3 (11 - GI) - 39,14</v>
          </cell>
        </row>
        <row r="70">
          <cell r="D70" t="str">
            <v>C2 - Consultor III - 6 (10 - TIII-3) - 39,12</v>
          </cell>
        </row>
        <row r="71">
          <cell r="D71" t="str">
            <v>R1 - Técnico III - 10 (10 - TIII-3) - 38,98</v>
          </cell>
        </row>
        <row r="72">
          <cell r="D72" t="str">
            <v>S0 - Soporte IV - V - 7 (10 - TIII-3) - 38,24</v>
          </cell>
        </row>
        <row r="73">
          <cell r="D73" t="str">
            <v>RI - Tecnico II - 8.5 (7 - TII-3) - 38</v>
          </cell>
        </row>
        <row r="74">
          <cell r="D74" t="str">
            <v>GP - GERENTE II - 1.5 (12 - GIi) - 37,71</v>
          </cell>
        </row>
        <row r="75">
          <cell r="D75" t="str">
            <v>R2 - Técnico III - 9 (10 - TIII-3) - 37,64</v>
          </cell>
        </row>
        <row r="76">
          <cell r="D76" t="str">
            <v>C9 - CONSULTOR III - 5.5 (9 - TIII-2) - 37,12</v>
          </cell>
        </row>
        <row r="77">
          <cell r="D77" t="str">
            <v>CN - CONSULTOR II - 4.45 (7 - TII-3) - 36,97</v>
          </cell>
        </row>
        <row r="78">
          <cell r="D78" t="str">
            <v>SG - Soporte III - 6 (6 - TII-2) - 36,66</v>
          </cell>
        </row>
        <row r="79">
          <cell r="D79" t="str">
            <v>SI - Soporte II - 7 (4 - TI-2) - 36,66</v>
          </cell>
        </row>
        <row r="80">
          <cell r="D80" t="str">
            <v>R3 - Técnico III - 8 (10 - TIII-3) - 36,23</v>
          </cell>
        </row>
        <row r="81">
          <cell r="D81" t="str">
            <v>GN - Gerente I - 2.5 (11 - GI) - 35,95</v>
          </cell>
        </row>
        <row r="82">
          <cell r="D82" t="str">
            <v>CY - Consultor III - 5 (9 - TIII-2) - 35,12</v>
          </cell>
        </row>
        <row r="83">
          <cell r="D83" t="str">
            <v>C7 - Consultor I - 5 (4 - TI-2) - 34,92</v>
          </cell>
        </row>
        <row r="84">
          <cell r="D84" t="str">
            <v>R4 - Técnico III - 7 (9 - TIII-2) - 34,78</v>
          </cell>
        </row>
        <row r="85">
          <cell r="D85" t="str">
            <v>GQ - GERENTE I - 2.5 (11 - GI) - 34,73</v>
          </cell>
        </row>
        <row r="86">
          <cell r="D86" t="str">
            <v>GJ - Gerente II - 1 (12 - GII) - 34,57</v>
          </cell>
        </row>
        <row r="87">
          <cell r="D87" t="str">
            <v>C6 - Consultor II - 4.4 (7 -TII-3) - 33,89</v>
          </cell>
        </row>
        <row r="88">
          <cell r="D88" t="str">
            <v>GA - Gerente I - 2 (11 - GI) - 33,52</v>
          </cell>
        </row>
        <row r="89">
          <cell r="D89" t="str">
            <v>RD - Técnico II - 8 (7 - TII-3) - 33,52</v>
          </cell>
        </row>
        <row r="90">
          <cell r="D90" t="str">
            <v>R5 - Técnico III - 6 (9 - TIII-2) - 33,3</v>
          </cell>
        </row>
        <row r="91">
          <cell r="D91" t="str">
            <v>SA - Soporte IV - V - 6 (10 - TIII-3) - 33,26</v>
          </cell>
        </row>
        <row r="92">
          <cell r="D92" t="str">
            <v>CJ - CONSULTOR III - 4.5 (8 - TIII-1) - 33,19</v>
          </cell>
        </row>
        <row r="93">
          <cell r="D93" t="str">
            <v>R6 - Técnico III - 5 (8 - TIII-1) - 31,61</v>
          </cell>
        </row>
        <row r="94">
          <cell r="D94" t="str">
            <v>RJ - TECNICO II - 7.5 (7 - TII-3) - 31,43</v>
          </cell>
        </row>
        <row r="95">
          <cell r="D95" t="str">
            <v>C3 - Consultor III - 4 (8 - TIII-1) - 31,26</v>
          </cell>
        </row>
        <row r="96">
          <cell r="D96" t="str">
            <v>CO - CONSULTOR II - 4.2 (7 - TII-3) - 31,09</v>
          </cell>
        </row>
        <row r="97">
          <cell r="D97" t="str">
            <v>S1 - Soporte IV - V - 5 (9 - TIII-2) - 29,97</v>
          </cell>
        </row>
        <row r="98">
          <cell r="D98" t="str">
            <v>R7 - Técnico III - 4 (8 - TIII-1) - 29,85</v>
          </cell>
        </row>
        <row r="99">
          <cell r="D99" t="str">
            <v>R8 - Técnico II - 7 (7 - TII-3) - 29,33</v>
          </cell>
        </row>
        <row r="100">
          <cell r="D100" t="str">
            <v>CK - CONSULTOR III - 3.5 (8 - TIII-1) - 29,31</v>
          </cell>
        </row>
        <row r="101">
          <cell r="D101" t="str">
            <v>S8 - Soporte I - 6.5 (2 -SOPII) - 28,76</v>
          </cell>
        </row>
        <row r="102">
          <cell r="D102" t="str">
            <v>GK - Gerente I - 1 (11 - GI) - 28,49</v>
          </cell>
        </row>
        <row r="103">
          <cell r="D103" t="str">
            <v>CR - CONSULTOR I - 4.5 (4 - TII-2) - 28,46</v>
          </cell>
        </row>
        <row r="104">
          <cell r="D104" t="str">
            <v>CD - Consultor II - 4 (7 - TII-3) - 28,28</v>
          </cell>
        </row>
        <row r="105">
          <cell r="D105" t="str">
            <v>R9 - TECNICO III - 3.5 (8 - TIII-1) - 28,28</v>
          </cell>
        </row>
        <row r="106">
          <cell r="D106" t="str">
            <v>SU - Soporte II - 6 (4 - TI-2) - 28,28</v>
          </cell>
        </row>
        <row r="107">
          <cell r="D107" t="str">
            <v>SR - Soporte III - 5 (6 - TII-2) - 27,76</v>
          </cell>
        </row>
        <row r="108">
          <cell r="D108" t="str">
            <v>PP - TECNICO II - 6.5 (6 - TII-2) - 27,74</v>
          </cell>
        </row>
        <row r="109">
          <cell r="D109" t="str">
            <v>CZ - Consultor III - 3 (8 - TIII-1) - 27,35</v>
          </cell>
        </row>
        <row r="110">
          <cell r="D110" t="str">
            <v>SB - Soporte IV - V - 4 (9 - TIII-2) - 27,29</v>
          </cell>
        </row>
        <row r="111">
          <cell r="D111" t="str">
            <v>RC - Técnico III - 3 (8 - TIII-1) - 26,71</v>
          </cell>
        </row>
        <row r="112">
          <cell r="D112" t="str">
            <v>SP - Soporte I - 6 (2 - SOPII) - 26,6</v>
          </cell>
        </row>
        <row r="113">
          <cell r="D113" t="str">
            <v>P0 - Técnico II - 6 (6 - TII-2) - 26,16</v>
          </cell>
        </row>
        <row r="114">
          <cell r="D114" t="str">
            <v>CP - CONSULTOR II - 3.5 (6 - TII-2) - 25,93</v>
          </cell>
        </row>
        <row r="115">
          <cell r="D115" t="str">
            <v>S2 - Soporte IV - V - 3 (8 - TIII-1) - 24,89</v>
          </cell>
        </row>
        <row r="116">
          <cell r="D116" t="str">
            <v>RR - TECNICO III - 2.5 (8 - TIII-1) - 24,88</v>
          </cell>
        </row>
        <row r="117">
          <cell r="D117" t="str">
            <v>CL - CONSULTOR III - 2.5 (8 - TIII-1) - 24,67</v>
          </cell>
        </row>
        <row r="118">
          <cell r="D118" t="str">
            <v>SZ - Soporte III - 4.5 (5 - TII-1) - 24,65</v>
          </cell>
        </row>
        <row r="119">
          <cell r="D119" t="str">
            <v>P1 - Técnico II - 5 (6 - TII-2) - 24,47</v>
          </cell>
        </row>
        <row r="120">
          <cell r="D120" t="str">
            <v>STI13 - Colaborativos Experto - 24,14</v>
          </cell>
        </row>
        <row r="121">
          <cell r="D121" t="str">
            <v>ST - Soporte II - 5 (4 - TI-2) - 24,09</v>
          </cell>
        </row>
        <row r="122">
          <cell r="D122" t="str">
            <v>C4 - Consultor II - 3 (6 - TII-2) - 23,57</v>
          </cell>
        </row>
        <row r="123">
          <cell r="D123" t="str">
            <v>RB - Técnico III - 2 (8 - TIII-1) - 23,05</v>
          </cell>
        </row>
        <row r="124">
          <cell r="D124" t="str">
            <v>S3 - Soporte III - 4 (5 - TII-1) - 23,05</v>
          </cell>
        </row>
        <row r="125">
          <cell r="D125" t="str">
            <v>P2 - Técnico II - 4 (5 - TII-1) - 22,94</v>
          </cell>
        </row>
        <row r="126">
          <cell r="D126" t="str">
            <v>SC - Soporte IV - V - 2 (8 - TIII-1) - 22,77</v>
          </cell>
        </row>
        <row r="127">
          <cell r="D127" t="str">
            <v>CB - Consultor I - 4 (4 - TI-2) - 22</v>
          </cell>
        </row>
        <row r="128">
          <cell r="D128" t="str">
            <v>CE - Consultor III - 2 (8 - TIII-1) - 22</v>
          </cell>
        </row>
        <row r="129">
          <cell r="D129" t="str">
            <v>PA - Técnico I - 5 (4 - TI-2) - 22</v>
          </cell>
        </row>
        <row r="130">
          <cell r="D130" t="str">
            <v>P9 - TECNICO II - 3.5 (5 - TII-1) - 21,69</v>
          </cell>
        </row>
        <row r="131">
          <cell r="D131" t="str">
            <v>CW - CONSULTOR II - 2.5 (5 - TII-1) - 21,21</v>
          </cell>
        </row>
        <row r="132">
          <cell r="D132" t="str">
            <v>SJ - Soporte I - 5 (2 - SOPII) - 21,16</v>
          </cell>
        </row>
        <row r="133">
          <cell r="D133" t="str">
            <v>CS - CONSULTOR I - 3.5 ( (4 - TI-2) - 20,95</v>
          </cell>
        </row>
        <row r="134">
          <cell r="D134" t="str">
            <v>RH - TECNICO III - 1.5 (8 - TIII-1) - 20,69</v>
          </cell>
        </row>
        <row r="135">
          <cell r="D135" t="str">
            <v>SY - Soporte III - 3.5 (5 - TII-1) - 20,54</v>
          </cell>
        </row>
        <row r="136">
          <cell r="D136" t="str">
            <v>P3 - Técnico II - 3 (5 - TII-1) - 20,43</v>
          </cell>
        </row>
        <row r="137">
          <cell r="D137" t="str">
            <v>SX - Soporte II - 4.5 (3 - TI-1) - 20,33</v>
          </cell>
        </row>
        <row r="138">
          <cell r="D138" t="str">
            <v>P4 - Técnico I - 4 (4 - TI-2) - 20,23</v>
          </cell>
        </row>
        <row r="139">
          <cell r="D139" t="str">
            <v>C5 - Consultor I - 3 (4 - TI-2) - 19,9</v>
          </cell>
        </row>
        <row r="140">
          <cell r="D140" t="str">
            <v>CM - CONSULTOR III - 1.5 (8 - TIII-1) - 19,38</v>
          </cell>
        </row>
        <row r="141">
          <cell r="D141" t="str">
            <v>SD - Soporte III - 3 (5 - TII-1) - 19,35</v>
          </cell>
        </row>
        <row r="142">
          <cell r="D142" t="str">
            <v>SE - Soporte II - 4 (3 - TI-1) - 19,17</v>
          </cell>
        </row>
        <row r="143">
          <cell r="D143" t="str">
            <v>STI10 - Operación Senior - 18,96</v>
          </cell>
        </row>
        <row r="144">
          <cell r="D144" t="str">
            <v>P5 - Técnico I - 3 (3 - TI-1) - 18,92</v>
          </cell>
        </row>
        <row r="145">
          <cell r="D145" t="str">
            <v>CC - Consultor II - 2 (5 - TII-1) - 18,86</v>
          </cell>
        </row>
        <row r="146">
          <cell r="D146" t="str">
            <v>STI14 - Colaborativos Senior - 18,52</v>
          </cell>
        </row>
        <row r="147">
          <cell r="D147" t="str">
            <v>PD - TECNICO II - 2.5 (5 - TII-1) - 18,49</v>
          </cell>
        </row>
        <row r="148">
          <cell r="D148" t="str">
            <v>CT - CONSULTOR I - 2.5 (3 - TI-1) - 18,33</v>
          </cell>
        </row>
        <row r="149">
          <cell r="D149" t="str">
            <v>RE - Técnico III - 1 (8 - TIII-1) - 18,33</v>
          </cell>
        </row>
        <row r="150">
          <cell r="D150" t="str">
            <v>SO - Soporte I - 4 (2 - SOPII) - 18,13</v>
          </cell>
        </row>
        <row r="151">
          <cell r="D151" t="str">
            <v>S4 - Soporte III - 2 (5 - TII-1) - 18,02</v>
          </cell>
        </row>
        <row r="152">
          <cell r="D152" t="str">
            <v>SF - Soporte IV - V - 1 (8 - TIII-1) - 17,81</v>
          </cell>
        </row>
        <row r="153">
          <cell r="D153" t="str">
            <v>CQ - CONSULTOR II - 1.5 (5 - TII-1) - 17,73</v>
          </cell>
        </row>
        <row r="154">
          <cell r="D154" t="str">
            <v>P8 - Tencico I - 2.5 (3 - TI-1) - 17,46</v>
          </cell>
        </row>
        <row r="155">
          <cell r="D155" t="str">
            <v>SW - Soporte II - 3.5 (3 - TI-1) - 17,46</v>
          </cell>
        </row>
        <row r="156">
          <cell r="D156" t="str">
            <v>STI7 - Micro Senior - 17,28</v>
          </cell>
        </row>
        <row r="157">
          <cell r="D157" t="str">
            <v>CA - Consultor I - 2 (3 - TI-1) - 16,76</v>
          </cell>
        </row>
        <row r="158">
          <cell r="D158" t="str">
            <v>CF - Consultor III - 1 (8 - TIII-1) - 16,76</v>
          </cell>
        </row>
        <row r="159">
          <cell r="D159" t="str">
            <v>CH - Consultor II - 1 (5 - TII-1) - 16,61</v>
          </cell>
        </row>
        <row r="160">
          <cell r="D160" t="str">
            <v>PB - Técnico II - 2 (5 - TII-1) - 16,56</v>
          </cell>
        </row>
        <row r="161">
          <cell r="D161" t="str">
            <v>SS - Soporte I - 3 (2 - SOPII) - 16,56</v>
          </cell>
        </row>
        <row r="162">
          <cell r="D162" t="str">
            <v>P6 - Técnico I - 2 (3 - TI-1) - 15,95</v>
          </cell>
        </row>
        <row r="163">
          <cell r="D163" t="str">
            <v>S5 - Soporte II - 3 (3 - TI-1) - 15,95</v>
          </cell>
        </row>
        <row r="164">
          <cell r="D164" t="str">
            <v>SH - Soporte III - 1 (5 - TII-1) - 15,71</v>
          </cell>
        </row>
        <row r="165">
          <cell r="D165" t="str">
            <v>STI1 - CAU Senior - 15,38</v>
          </cell>
        </row>
        <row r="166">
          <cell r="D166" t="str">
            <v>STI4 - Implantación Senior - 15</v>
          </cell>
        </row>
        <row r="167">
          <cell r="D167" t="str">
            <v>STI15 - Colaborativos Medio - 15</v>
          </cell>
        </row>
        <row r="168">
          <cell r="D168" t="str">
            <v>PE - TECNICO II - 1.5 (5 - TII-1) - 14,56</v>
          </cell>
        </row>
        <row r="169">
          <cell r="D169" t="str">
            <v>SK - Soporte I - 2 (1 - SOPI) - 14,46</v>
          </cell>
        </row>
        <row r="170">
          <cell r="D170" t="str">
            <v>CV - CONSULTOR I - 1.5 (3 - TI-1) - 14,4</v>
          </cell>
        </row>
        <row r="171">
          <cell r="D171" t="str">
            <v>S6 - Soporte II - 2 (3 - TI-1) - 14,24</v>
          </cell>
        </row>
        <row r="172">
          <cell r="D172" t="str">
            <v>PF - TECNICO I - 1.5 (3 - TI-1) - 14,21</v>
          </cell>
        </row>
        <row r="173">
          <cell r="D173" t="str">
            <v>STI5 - Implantación Medio - 14</v>
          </cell>
        </row>
        <row r="174">
          <cell r="D174" t="str">
            <v>STI11 - Operación Medio - 14</v>
          </cell>
        </row>
        <row r="175">
          <cell r="D175" t="str">
            <v>STI8 - Micro Medio - 13</v>
          </cell>
        </row>
        <row r="176">
          <cell r="D176" t="str">
            <v>PC - Técnico II - 1 (5 - TII-1) - 12,57</v>
          </cell>
        </row>
        <row r="177">
          <cell r="D177" t="str">
            <v>P7 - Técnico I - 1 (3 - TI-1) - 12,47</v>
          </cell>
        </row>
        <row r="178">
          <cell r="D178" t="str">
            <v>SL - Soporte I - 1 (1 - SOPI) - 12,15</v>
          </cell>
        </row>
        <row r="179">
          <cell r="D179" t="str">
            <v>S7 - Soporte II - 1 (3 - TI-1) - 12,06</v>
          </cell>
        </row>
        <row r="180">
          <cell r="D180" t="str">
            <v>CI - Consultor I - 1 (3 - TI-1) - 12,05</v>
          </cell>
        </row>
        <row r="181">
          <cell r="D181" t="str">
            <v>STI2 - CAU Medio - 12</v>
          </cell>
        </row>
        <row r="182">
          <cell r="D182" t="str">
            <v>STI6 - Implantación Junior - 11,3</v>
          </cell>
        </row>
        <row r="183">
          <cell r="D183" t="str">
            <v>STI12 - Operación Junior - 11,3</v>
          </cell>
        </row>
        <row r="184">
          <cell r="D184" t="str">
            <v>STI3 - CAU Junior - 10</v>
          </cell>
        </row>
        <row r="185">
          <cell r="D185" t="str">
            <v>STI9 - Micro Junior - 10</v>
          </cell>
        </row>
        <row r="186">
          <cell r="D186" t="str">
            <v>W0 - Tasa Regularizacion - 0,01</v>
          </cell>
        </row>
        <row r="187">
          <cell r="D187" t="str">
            <v>N1 - 0</v>
          </cell>
        </row>
        <row r="188">
          <cell r="D188" t="str">
            <v>N2 - 0</v>
          </cell>
        </row>
        <row r="189">
          <cell r="D189" t="str">
            <v>N3 - 0</v>
          </cell>
        </row>
        <row r="190">
          <cell r="D190" t="str">
            <v>N4 - 0</v>
          </cell>
        </row>
        <row r="191">
          <cell r="D191" t="str">
            <v>N5 - 0</v>
          </cell>
        </row>
        <row r="192">
          <cell r="D192" t="str">
            <v>N6 - 0</v>
          </cell>
        </row>
        <row r="193">
          <cell r="D193" t="str">
            <v>N7 - 0</v>
          </cell>
        </row>
        <row r="194">
          <cell r="D194" t="str">
            <v>N8 - 0</v>
          </cell>
        </row>
        <row r="195">
          <cell r="D195" t="str">
            <v>N9 - 0</v>
          </cell>
        </row>
        <row r="196">
          <cell r="D196" t="str">
            <v>N10 - 0</v>
          </cell>
        </row>
        <row r="197">
          <cell r="D197" t="str">
            <v>N11 - 0</v>
          </cell>
        </row>
        <row r="198">
          <cell r="D198" t="str">
            <v>N12 - 0</v>
          </cell>
        </row>
        <row r="330">
          <cell r="B330" t="str">
            <v>Director</v>
          </cell>
        </row>
        <row r="331">
          <cell r="B331" t="str">
            <v xml:space="preserve">Gestor /Gerente B </v>
          </cell>
        </row>
        <row r="332">
          <cell r="B332" t="str">
            <v xml:space="preserve">Gestor/Gerente A </v>
          </cell>
        </row>
        <row r="333">
          <cell r="B333" t="str">
            <v xml:space="preserve">Ingeniero Software Senior B </v>
          </cell>
        </row>
        <row r="334">
          <cell r="B334" t="str">
            <v xml:space="preserve">Ingeniero Software Senior A </v>
          </cell>
        </row>
        <row r="335">
          <cell r="B335" t="str">
            <v xml:space="preserve">Ingeniero de Software B </v>
          </cell>
        </row>
        <row r="336">
          <cell r="B336" t="str">
            <v xml:space="preserve">Ingeniero de Software A </v>
          </cell>
        </row>
        <row r="337">
          <cell r="B337" t="str">
            <v xml:space="preserve">Técnico de Software Senior B </v>
          </cell>
        </row>
        <row r="338">
          <cell r="B338" t="str">
            <v xml:space="preserve">Técnico de Software Senior A </v>
          </cell>
        </row>
        <row r="339">
          <cell r="B339" t="str">
            <v xml:space="preserve">Técnico de Software II B </v>
          </cell>
        </row>
        <row r="340">
          <cell r="B340" t="str">
            <v xml:space="preserve">Técnico de Software II A </v>
          </cell>
        </row>
        <row r="341">
          <cell r="B341" t="str">
            <v xml:space="preserve">Técnico de Software I B </v>
          </cell>
        </row>
        <row r="342">
          <cell r="B342" t="str">
            <v xml:space="preserve">Técnico de Software I A </v>
          </cell>
        </row>
        <row r="343">
          <cell r="B343" t="str">
            <v>Soporte CSP - Julian Camarillo</v>
          </cell>
        </row>
        <row r="344">
          <cell r="B344" t="str">
            <v>Administrativo</v>
          </cell>
        </row>
        <row r="345">
          <cell r="B345" t="str">
            <v>DADireccion I</v>
          </cell>
        </row>
        <row r="346">
          <cell r="B346" t="str">
            <v>DBDireccioón</v>
          </cell>
        </row>
        <row r="347">
          <cell r="B347" t="str">
            <v>GWGerente VII</v>
          </cell>
        </row>
        <row r="348">
          <cell r="B348" t="str">
            <v>GMGerente VI</v>
          </cell>
        </row>
        <row r="349">
          <cell r="B349" t="str">
            <v>GXGerente V</v>
          </cell>
        </row>
        <row r="350">
          <cell r="B350" t="str">
            <v>GYGerente IV</v>
          </cell>
        </row>
        <row r="351">
          <cell r="B351" t="str">
            <v>G0Gerente III</v>
          </cell>
        </row>
        <row r="352">
          <cell r="B352" t="str">
            <v>GZGerente II</v>
          </cell>
        </row>
        <row r="353">
          <cell r="B353" t="str">
            <v>G1Gerente I</v>
          </cell>
        </row>
        <row r="354">
          <cell r="B354" t="str">
            <v>GBGestor de Proyecto V</v>
          </cell>
        </row>
        <row r="355">
          <cell r="B355" t="str">
            <v>G2Gestor de Proyecto IV</v>
          </cell>
        </row>
        <row r="356">
          <cell r="B356" t="str">
            <v>GEGestor de Proyecto III</v>
          </cell>
        </row>
        <row r="357">
          <cell r="B357" t="str">
            <v>G3Gestor de Proyecto II</v>
          </cell>
        </row>
        <row r="358">
          <cell r="B358" t="str">
            <v>G4Gestor de Proyecto I</v>
          </cell>
        </row>
        <row r="359">
          <cell r="B359" t="str">
            <v>CVConsultor Principal III</v>
          </cell>
        </row>
        <row r="360">
          <cell r="B360" t="str">
            <v>CWConsultor Principal II</v>
          </cell>
        </row>
        <row r="361">
          <cell r="B361" t="str">
            <v>C0Consultor Principal I</v>
          </cell>
        </row>
        <row r="362">
          <cell r="B362" t="str">
            <v>C1Consultor Senior III</v>
          </cell>
        </row>
        <row r="363">
          <cell r="B363" t="str">
            <v>CXConsultor Senior II</v>
          </cell>
        </row>
        <row r="364">
          <cell r="B364" t="str">
            <v>C2Consultor Senior I</v>
          </cell>
        </row>
        <row r="365">
          <cell r="B365" t="str">
            <v>CYConsultor II</v>
          </cell>
        </row>
        <row r="366">
          <cell r="B366" t="str">
            <v>C3Consultor I</v>
          </cell>
        </row>
        <row r="367">
          <cell r="B367" t="str">
            <v>CZConsultor Junior II</v>
          </cell>
        </row>
        <row r="368">
          <cell r="B368" t="str">
            <v>C4Consultor Junior I</v>
          </cell>
        </row>
        <row r="369">
          <cell r="B369" t="str">
            <v>C5Consultor Trainee</v>
          </cell>
        </row>
        <row r="370">
          <cell r="B370" t="str">
            <v>TXLider de Proyecto VII- Ingeniero IV</v>
          </cell>
        </row>
        <row r="371">
          <cell r="B371" t="str">
            <v>T0Lider de Proyecto VI- Ingeniero Principal III</v>
          </cell>
        </row>
        <row r="372">
          <cell r="B372" t="str">
            <v>T1Lider de Proyecto V- Ingeniero Principal II</v>
          </cell>
        </row>
        <row r="373">
          <cell r="B373" t="str">
            <v>T2Lider de Proyecto IV- Ingeniero Principal I</v>
          </cell>
        </row>
        <row r="374">
          <cell r="B374" t="str">
            <v>T3Lider de Proyecto III- Ingeniero Senior IV</v>
          </cell>
        </row>
        <row r="375">
          <cell r="B375" t="str">
            <v>T4Lider de Proyecto II- Ingeniero Senior III</v>
          </cell>
        </row>
        <row r="376">
          <cell r="B376" t="str">
            <v>T5Lider de Proyecto I- Ingeniero Senior II</v>
          </cell>
        </row>
        <row r="377">
          <cell r="B377" t="str">
            <v>T6Programador Senior IV- Ingeniero Senior I</v>
          </cell>
        </row>
        <row r="378">
          <cell r="B378" t="str">
            <v>T7Programador Senior III- Ingeniero XI</v>
          </cell>
        </row>
        <row r="379">
          <cell r="B379" t="str">
            <v>T8Programador Senior II- Ingeniero X</v>
          </cell>
        </row>
        <row r="380">
          <cell r="B380" t="str">
            <v>T9Programador Senior I- Ingeniero IX</v>
          </cell>
        </row>
        <row r="381">
          <cell r="B381" t="str">
            <v>R1Programador VI- Ingeniero VIII</v>
          </cell>
        </row>
        <row r="382">
          <cell r="B382" t="str">
            <v>R2Programador V- Ingeniero VII</v>
          </cell>
        </row>
        <row r="383">
          <cell r="B383" t="str">
            <v>R3Programador IV- Ingeniero VI</v>
          </cell>
        </row>
        <row r="384">
          <cell r="B384" t="str">
            <v>R4Programador III- Ingeniero V</v>
          </cell>
        </row>
        <row r="385">
          <cell r="B385" t="str">
            <v>R5Programador II- Ingeniero IV</v>
          </cell>
        </row>
        <row r="386">
          <cell r="B386" t="str">
            <v>R6Programador I- Ingeniero III</v>
          </cell>
        </row>
        <row r="387">
          <cell r="B387" t="str">
            <v>R7Programador Junior VII- Ingeniero II</v>
          </cell>
        </row>
        <row r="388">
          <cell r="B388" t="str">
            <v>R8Programador Junior VI- Ingeniero I</v>
          </cell>
        </row>
        <row r="389">
          <cell r="B389" t="str">
            <v>P0Programador Junior V- Ingeniero Junior III</v>
          </cell>
        </row>
        <row r="390">
          <cell r="B390" t="str">
            <v>P1Programador Junior IV- Ingeniero Junior II</v>
          </cell>
        </row>
        <row r="391">
          <cell r="B391" t="str">
            <v>P2Programador Junior III- Ingeniero Junior I</v>
          </cell>
        </row>
        <row r="392">
          <cell r="B392" t="str">
            <v>P3Programador Junior II- Ingeniero Trainee II</v>
          </cell>
        </row>
        <row r="393">
          <cell r="B393" t="str">
            <v>P4Programador Junior I- Ingeniero Trainee I</v>
          </cell>
        </row>
        <row r="394">
          <cell r="B394" t="str">
            <v>P5Programador Trainee II</v>
          </cell>
        </row>
        <row r="395">
          <cell r="B395" t="str">
            <v>P6Programador Trainee I</v>
          </cell>
        </row>
        <row r="396">
          <cell r="B396" t="str">
            <v>S0Técnico Soporte Senior</v>
          </cell>
        </row>
        <row r="397">
          <cell r="B397" t="str">
            <v xml:space="preserve">SATécnico Soporte </v>
          </cell>
        </row>
        <row r="398">
          <cell r="B398" t="str">
            <v>S1Operador de Sistemas VIII</v>
          </cell>
        </row>
        <row r="399">
          <cell r="B399" t="str">
            <v>SBOperador de Sistemas VII</v>
          </cell>
        </row>
        <row r="400">
          <cell r="B400" t="str">
            <v>S2Operador de Sistemas VI</v>
          </cell>
        </row>
        <row r="401">
          <cell r="B401" t="str">
            <v>SCOperador de Sistemas V</v>
          </cell>
        </row>
        <row r="402">
          <cell r="B402" t="str">
            <v>S3Operador de Sistemas IV</v>
          </cell>
        </row>
        <row r="403">
          <cell r="B403" t="str">
            <v>SDOperador de Sistemas III</v>
          </cell>
        </row>
        <row r="404">
          <cell r="B404" t="str">
            <v>S4Operador de Sistemas II</v>
          </cell>
        </row>
        <row r="405">
          <cell r="B405" t="str">
            <v>SEOperador de Sistemas I</v>
          </cell>
        </row>
        <row r="406">
          <cell r="B406" t="str">
            <v>S5Soporte Auxiliar II</v>
          </cell>
        </row>
        <row r="407">
          <cell r="B407" t="str">
            <v>S6Soporte Auxiliar I</v>
          </cell>
        </row>
        <row r="408">
          <cell r="B408" t="str">
            <v>Y1Supervisor IV</v>
          </cell>
        </row>
        <row r="409">
          <cell r="B409" t="str">
            <v>Y2Supervisor III</v>
          </cell>
        </row>
        <row r="410">
          <cell r="B410" t="str">
            <v>Y3Supervisor II</v>
          </cell>
        </row>
        <row r="411">
          <cell r="B411" t="str">
            <v>Y4Supervisor I</v>
          </cell>
        </row>
        <row r="412">
          <cell r="B412" t="str">
            <v>O9Operador VII</v>
          </cell>
        </row>
        <row r="413">
          <cell r="B413" t="str">
            <v>O8Operador VI</v>
          </cell>
        </row>
        <row r="414">
          <cell r="B414" t="str">
            <v>O7Operador V</v>
          </cell>
        </row>
        <row r="415">
          <cell r="B415" t="str">
            <v>O6Operador IV</v>
          </cell>
        </row>
        <row r="416">
          <cell r="B416" t="str">
            <v>O5Operador III</v>
          </cell>
        </row>
        <row r="417">
          <cell r="B417" t="str">
            <v>O4Operador II</v>
          </cell>
        </row>
        <row r="418">
          <cell r="B418" t="str">
            <v>O3Operador I</v>
          </cell>
        </row>
        <row r="419">
          <cell r="B419" t="str">
            <v>O2Documentalista Senior</v>
          </cell>
        </row>
        <row r="420">
          <cell r="B420" t="str">
            <v xml:space="preserve">O1Documentalista </v>
          </cell>
        </row>
        <row r="421">
          <cell r="B421" t="str">
            <v>O0Documentalista Junior</v>
          </cell>
        </row>
        <row r="422">
          <cell r="B422" t="str">
            <v>Q1Auxiliar III - Salario Mínimo</v>
          </cell>
        </row>
        <row r="423">
          <cell r="B423" t="str">
            <v>Q2Auxiliar II - Aprendiz Etapa Productiva</v>
          </cell>
        </row>
        <row r="424">
          <cell r="B424" t="str">
            <v>Q3Auxiliar I - Aprendiz Etapa Lectiva</v>
          </cell>
        </row>
        <row r="425">
          <cell r="B425" t="str">
            <v>XTPereira - Lider de Proyecto VII- Ingeniero IV</v>
          </cell>
        </row>
        <row r="426">
          <cell r="B426" t="str">
            <v>0TPereira - Lider de Proyecto VI- Ingeniero Principal III</v>
          </cell>
        </row>
        <row r="427">
          <cell r="B427" t="str">
            <v>1TPereira - Lider de Proyecto V- Ingeniero Principal II</v>
          </cell>
        </row>
        <row r="428">
          <cell r="B428" t="str">
            <v>2TPereira - Lider de Proyecto IV- Ingeniero Principal I</v>
          </cell>
        </row>
        <row r="429">
          <cell r="B429" t="str">
            <v>3TPereira - Lider de Proyecto III- Ingeniero Senior IV</v>
          </cell>
        </row>
        <row r="430">
          <cell r="B430" t="str">
            <v>4TPereira - Lider de Proyecto II- Ingeniero Senior III</v>
          </cell>
        </row>
        <row r="431">
          <cell r="B431" t="str">
            <v>5TPereira - Lider de Proyecto I- Ingeniero Senior II</v>
          </cell>
        </row>
        <row r="432">
          <cell r="B432" t="str">
            <v>6TPereira - Programador Senior IV- Ingeniero Senior I</v>
          </cell>
        </row>
        <row r="433">
          <cell r="B433" t="str">
            <v>7TPereira - Programador Senior III- Ingeniero XI</v>
          </cell>
        </row>
        <row r="434">
          <cell r="B434" t="str">
            <v>8TPereira - Programador Senior II- Ingeniero X</v>
          </cell>
        </row>
        <row r="435">
          <cell r="B435" t="str">
            <v>9TPereira - Programador Senior I- Ingeniero IX</v>
          </cell>
        </row>
        <row r="436">
          <cell r="B436" t="str">
            <v>1RPereira - Programador VI- Ingeniero VIII</v>
          </cell>
        </row>
        <row r="437">
          <cell r="B437" t="str">
            <v>2RPereira - Programador V- Ingeniero VII</v>
          </cell>
        </row>
        <row r="438">
          <cell r="B438" t="str">
            <v>3RPereira - Programador IV- Ingeniero VI</v>
          </cell>
        </row>
        <row r="439">
          <cell r="B439" t="str">
            <v>4RPereira - Programador III- Ingeniero V</v>
          </cell>
        </row>
        <row r="440">
          <cell r="B440" t="str">
            <v>5RPereira - Programador II- Ingeniero IV</v>
          </cell>
        </row>
        <row r="441">
          <cell r="B441" t="str">
            <v>6RPereira - Programador I- Ingeniero III</v>
          </cell>
        </row>
        <row r="442">
          <cell r="B442" t="str">
            <v>7RPereira - Programador Junior VII- Ingeniero II</v>
          </cell>
        </row>
        <row r="443">
          <cell r="B443" t="str">
            <v>8RPereira - Programador Junior VI- Ingeniero I</v>
          </cell>
        </row>
        <row r="444">
          <cell r="B444" t="str">
            <v>0PPereira - Programador Junior V- Ingeniero Junior III</v>
          </cell>
        </row>
        <row r="445">
          <cell r="B445" t="str">
            <v>1PPereira - Programador Junior IV- Ingeniero Junior II</v>
          </cell>
        </row>
        <row r="446">
          <cell r="B446" t="str">
            <v>2PPereira - Programador Junior III- Ingeniero Junior I</v>
          </cell>
        </row>
        <row r="447">
          <cell r="B447" t="str">
            <v>3PPereira - Programador Junior II- Ingeniero Trainee II</v>
          </cell>
        </row>
        <row r="448">
          <cell r="B448" t="str">
            <v>4PPereira - Programador Junior I- Ingeniero Trainee I</v>
          </cell>
        </row>
        <row r="449">
          <cell r="B449" t="str">
            <v>5PPereira - Programador Trainee II</v>
          </cell>
        </row>
        <row r="450">
          <cell r="B450" t="str">
            <v>6PPereira - Programador Trainee I</v>
          </cell>
        </row>
      </sheetData>
      <sheetData sheetId="28">
        <row r="13">
          <cell r="B13" t="str">
            <v>ESPAÑA</v>
          </cell>
        </row>
        <row r="14">
          <cell r="B14" t="str">
            <v>ESPAÑA -ISL</v>
          </cell>
        </row>
        <row r="15">
          <cell r="B15" t="str">
            <v>ALEMANIA</v>
          </cell>
        </row>
        <row r="16">
          <cell r="B16" t="str">
            <v>ARGENTINA ISL</v>
          </cell>
        </row>
        <row r="17">
          <cell r="B17" t="str">
            <v>BRASIL ISL</v>
          </cell>
        </row>
        <row r="18">
          <cell r="B18" t="str">
            <v>CHILE</v>
          </cell>
        </row>
        <row r="19">
          <cell r="B19" t="str">
            <v>COLOMBIA</v>
          </cell>
        </row>
        <row r="20">
          <cell r="B20" t="str">
            <v>FILIPINAS ISL</v>
          </cell>
        </row>
        <row r="21">
          <cell r="B21" t="str">
            <v>INDIA</v>
          </cell>
        </row>
        <row r="22">
          <cell r="B22" t="str">
            <v>ITALIA</v>
          </cell>
        </row>
        <row r="23">
          <cell r="B23" t="str">
            <v>MÉXICO ISL</v>
          </cell>
        </row>
        <row r="24">
          <cell r="B24" t="str">
            <v>ESLOVAQUIA ISL</v>
          </cell>
        </row>
        <row r="25">
          <cell r="B25" t="str">
            <v>PANAMÁ</v>
          </cell>
        </row>
        <row r="26">
          <cell r="B26" t="str">
            <v>PERÚ</v>
          </cell>
        </row>
        <row r="27">
          <cell r="B27" t="str">
            <v>REP CHEQUIA</v>
          </cell>
        </row>
        <row r="28">
          <cell r="B28" t="str">
            <v>UK</v>
          </cell>
        </row>
        <row r="29">
          <cell r="B29" t="str">
            <v>VENEZUELA</v>
          </cell>
        </row>
        <row r="30">
          <cell r="B30" t="str">
            <v>CSP JULIAN CAMARILLO</v>
          </cell>
        </row>
        <row r="31">
          <cell r="B31" t="str">
            <v>KENIA</v>
          </cell>
        </row>
        <row r="32">
          <cell r="B32" t="str">
            <v>OTROS #3</v>
          </cell>
        </row>
        <row r="33">
          <cell r="B33" t="str">
            <v>OTROS #4</v>
          </cell>
        </row>
        <row r="34">
          <cell r="B34" t="str">
            <v>OTROS #5</v>
          </cell>
        </row>
        <row r="35">
          <cell r="B35" t="str">
            <v>OTROS #6</v>
          </cell>
        </row>
        <row r="36">
          <cell r="B36" t="str">
            <v>OTROS #7</v>
          </cell>
        </row>
        <row r="37">
          <cell r="B37" t="str">
            <v>OTROS #8</v>
          </cell>
        </row>
        <row r="38">
          <cell r="B38" t="str">
            <v>OTROS #9</v>
          </cell>
        </row>
        <row r="39">
          <cell r="B39" t="str">
            <v>OTROS #10</v>
          </cell>
        </row>
      </sheetData>
      <sheetData sheetId="29">
        <row r="6">
          <cell r="B6" t="str">
            <v>2013ENERO</v>
          </cell>
        </row>
      </sheetData>
      <sheetData sheetId="30">
        <row r="6">
          <cell r="B6" t="str">
            <v>2013ENERO</v>
          </cell>
          <cell r="C6">
            <v>31</v>
          </cell>
          <cell r="D6">
            <v>2</v>
          </cell>
          <cell r="E6">
            <v>8</v>
          </cell>
          <cell r="F6">
            <v>21</v>
          </cell>
          <cell r="G6">
            <v>9</v>
          </cell>
          <cell r="H6">
            <v>189</v>
          </cell>
        </row>
        <row r="7">
          <cell r="B7" t="str">
            <v>2013FEBRERO</v>
          </cell>
          <cell r="C7">
            <v>28</v>
          </cell>
          <cell r="D7">
            <v>0</v>
          </cell>
          <cell r="E7">
            <v>8</v>
          </cell>
          <cell r="F7">
            <v>20</v>
          </cell>
          <cell r="G7">
            <v>9</v>
          </cell>
          <cell r="H7">
            <v>180</v>
          </cell>
        </row>
        <row r="8">
          <cell r="B8" t="str">
            <v>2013MARZO</v>
          </cell>
          <cell r="C8">
            <v>31</v>
          </cell>
          <cell r="D8">
            <v>3</v>
          </cell>
          <cell r="E8">
            <v>10</v>
          </cell>
          <cell r="F8">
            <v>18</v>
          </cell>
          <cell r="G8">
            <v>9</v>
          </cell>
          <cell r="H8">
            <v>162</v>
          </cell>
        </row>
        <row r="9">
          <cell r="B9" t="str">
            <v>2013ABRIL</v>
          </cell>
          <cell r="C9">
            <v>30</v>
          </cell>
          <cell r="D9">
            <v>0</v>
          </cell>
          <cell r="E9">
            <v>8</v>
          </cell>
          <cell r="F9">
            <v>22</v>
          </cell>
          <cell r="G9">
            <v>9</v>
          </cell>
          <cell r="H9">
            <v>198</v>
          </cell>
        </row>
        <row r="10">
          <cell r="B10" t="str">
            <v xml:space="preserve">2013MAYO       </v>
          </cell>
          <cell r="C10">
            <v>31</v>
          </cell>
          <cell r="D10">
            <v>2</v>
          </cell>
          <cell r="E10">
            <v>8</v>
          </cell>
          <cell r="F10">
            <v>21</v>
          </cell>
          <cell r="G10">
            <v>9</v>
          </cell>
          <cell r="H10">
            <v>189</v>
          </cell>
        </row>
        <row r="11">
          <cell r="B11" t="str">
            <v>2013JUNIO</v>
          </cell>
          <cell r="C11">
            <v>30</v>
          </cell>
          <cell r="D11">
            <v>2</v>
          </cell>
          <cell r="E11">
            <v>10</v>
          </cell>
          <cell r="F11">
            <v>18</v>
          </cell>
          <cell r="G11">
            <v>9</v>
          </cell>
          <cell r="H11">
            <v>162</v>
          </cell>
        </row>
        <row r="12">
          <cell r="B12" t="str">
            <v>2013JULIO</v>
          </cell>
          <cell r="C12">
            <v>31</v>
          </cell>
          <cell r="D12">
            <v>1</v>
          </cell>
          <cell r="E12">
            <v>8</v>
          </cell>
          <cell r="F12">
            <v>22</v>
          </cell>
          <cell r="G12">
            <v>9</v>
          </cell>
          <cell r="H12">
            <v>198</v>
          </cell>
        </row>
        <row r="13">
          <cell r="B13" t="str">
            <v>2013AGOSTO</v>
          </cell>
          <cell r="C13">
            <v>31</v>
          </cell>
          <cell r="D13">
            <v>2</v>
          </cell>
          <cell r="E13">
            <v>9</v>
          </cell>
          <cell r="F13">
            <v>20</v>
          </cell>
          <cell r="G13">
            <v>9</v>
          </cell>
          <cell r="H13">
            <v>180</v>
          </cell>
        </row>
        <row r="14">
          <cell r="B14" t="str">
            <v>2013SEPTIEMBRE</v>
          </cell>
          <cell r="C14">
            <v>30</v>
          </cell>
          <cell r="D14">
            <v>0</v>
          </cell>
          <cell r="E14">
            <v>9</v>
          </cell>
          <cell r="F14">
            <v>21</v>
          </cell>
          <cell r="G14">
            <v>9</v>
          </cell>
          <cell r="H14">
            <v>189</v>
          </cell>
        </row>
        <row r="15">
          <cell r="B15" t="str">
            <v>2013OCTUBRE</v>
          </cell>
          <cell r="C15">
            <v>31</v>
          </cell>
          <cell r="D15">
            <v>1</v>
          </cell>
          <cell r="E15">
            <v>8</v>
          </cell>
          <cell r="F15">
            <v>22</v>
          </cell>
          <cell r="G15">
            <v>9</v>
          </cell>
          <cell r="H15">
            <v>198</v>
          </cell>
        </row>
        <row r="16">
          <cell r="B16" t="str">
            <v>2013NOVIEMBRE</v>
          </cell>
          <cell r="C16">
            <v>30</v>
          </cell>
          <cell r="D16">
            <v>2</v>
          </cell>
          <cell r="E16">
            <v>9</v>
          </cell>
          <cell r="F16">
            <v>19</v>
          </cell>
          <cell r="G16">
            <v>9</v>
          </cell>
          <cell r="H16">
            <v>171</v>
          </cell>
        </row>
        <row r="17">
          <cell r="B17" t="str">
            <v xml:space="preserve">2013DICIEMBRE   </v>
          </cell>
          <cell r="C17">
            <v>31</v>
          </cell>
          <cell r="D17">
            <v>1</v>
          </cell>
          <cell r="E17">
            <v>9</v>
          </cell>
          <cell r="F17">
            <v>21</v>
          </cell>
          <cell r="G17">
            <v>9</v>
          </cell>
          <cell r="H17">
            <v>189</v>
          </cell>
        </row>
        <row r="18">
          <cell r="B18" t="str">
            <v>2014ENERO</v>
          </cell>
          <cell r="C18">
            <v>31</v>
          </cell>
          <cell r="D18">
            <v>2</v>
          </cell>
          <cell r="E18">
            <v>8</v>
          </cell>
          <cell r="F18">
            <v>21</v>
          </cell>
          <cell r="G18">
            <v>9</v>
          </cell>
          <cell r="H18">
            <v>189</v>
          </cell>
        </row>
        <row r="19">
          <cell r="B19" t="str">
            <v>2014FEBRERO</v>
          </cell>
          <cell r="C19">
            <v>28</v>
          </cell>
          <cell r="D19">
            <v>0</v>
          </cell>
          <cell r="E19">
            <v>8</v>
          </cell>
          <cell r="F19">
            <v>20</v>
          </cell>
          <cell r="G19">
            <v>9</v>
          </cell>
          <cell r="H19">
            <v>180</v>
          </cell>
        </row>
        <row r="20">
          <cell r="B20" t="str">
            <v>2014MARZO</v>
          </cell>
          <cell r="C20">
            <v>31</v>
          </cell>
          <cell r="D20">
            <v>1</v>
          </cell>
          <cell r="E20">
            <v>10</v>
          </cell>
          <cell r="F20">
            <v>20</v>
          </cell>
          <cell r="G20">
            <v>9</v>
          </cell>
          <cell r="H20">
            <v>180</v>
          </cell>
        </row>
        <row r="21">
          <cell r="B21" t="str">
            <v>2014ABRIL</v>
          </cell>
          <cell r="C21">
            <v>30</v>
          </cell>
          <cell r="D21">
            <v>2</v>
          </cell>
          <cell r="E21">
            <v>8</v>
          </cell>
          <cell r="F21">
            <v>20</v>
          </cell>
          <cell r="G21">
            <v>9</v>
          </cell>
          <cell r="H21">
            <v>180</v>
          </cell>
        </row>
        <row r="22">
          <cell r="B22" t="str">
            <v>2014MAYO</v>
          </cell>
          <cell r="C22">
            <v>31</v>
          </cell>
          <cell r="D22">
            <v>1</v>
          </cell>
          <cell r="E22">
            <v>9</v>
          </cell>
          <cell r="F22">
            <v>21</v>
          </cell>
          <cell r="G22">
            <v>9</v>
          </cell>
          <cell r="H22">
            <v>189</v>
          </cell>
        </row>
        <row r="23">
          <cell r="B23" t="str">
            <v>2014JUNIO</v>
          </cell>
          <cell r="C23">
            <v>30</v>
          </cell>
          <cell r="D23">
            <v>3</v>
          </cell>
          <cell r="E23">
            <v>9</v>
          </cell>
          <cell r="F23">
            <v>18</v>
          </cell>
          <cell r="G23">
            <v>9</v>
          </cell>
          <cell r="H23">
            <v>162</v>
          </cell>
        </row>
        <row r="24">
          <cell r="B24" t="str">
            <v>2014JULIO</v>
          </cell>
          <cell r="C24">
            <v>31</v>
          </cell>
          <cell r="D24">
            <v>0</v>
          </cell>
          <cell r="E24">
            <v>8</v>
          </cell>
          <cell r="F24">
            <v>23</v>
          </cell>
          <cell r="G24">
            <v>9</v>
          </cell>
          <cell r="H24">
            <v>207</v>
          </cell>
        </row>
        <row r="25">
          <cell r="B25" t="str">
            <v>2014AGOSTO</v>
          </cell>
          <cell r="C25">
            <v>31</v>
          </cell>
          <cell r="D25">
            <v>2</v>
          </cell>
          <cell r="E25">
            <v>10</v>
          </cell>
          <cell r="F25">
            <v>19</v>
          </cell>
          <cell r="G25">
            <v>9</v>
          </cell>
          <cell r="H25">
            <v>171</v>
          </cell>
        </row>
        <row r="26">
          <cell r="B26" t="str">
            <v>2014SEPTIEMBRE</v>
          </cell>
          <cell r="C26">
            <v>30</v>
          </cell>
          <cell r="D26">
            <v>0</v>
          </cell>
          <cell r="E26">
            <v>8</v>
          </cell>
          <cell r="F26">
            <v>22</v>
          </cell>
          <cell r="G26">
            <v>9</v>
          </cell>
          <cell r="H26">
            <v>198</v>
          </cell>
        </row>
        <row r="27">
          <cell r="B27" t="str">
            <v>2014OCTUBRE</v>
          </cell>
          <cell r="C27">
            <v>31</v>
          </cell>
          <cell r="D27">
            <v>1</v>
          </cell>
          <cell r="E27">
            <v>8</v>
          </cell>
          <cell r="F27">
            <v>22</v>
          </cell>
          <cell r="G27">
            <v>9</v>
          </cell>
          <cell r="H27">
            <v>198</v>
          </cell>
        </row>
        <row r="28">
          <cell r="B28" t="str">
            <v>2014NOVIEMBRE</v>
          </cell>
          <cell r="C28">
            <v>30</v>
          </cell>
          <cell r="D28">
            <v>2</v>
          </cell>
          <cell r="E28">
            <v>10</v>
          </cell>
          <cell r="F28">
            <v>18</v>
          </cell>
          <cell r="G28">
            <v>9</v>
          </cell>
          <cell r="H28">
            <v>162</v>
          </cell>
        </row>
        <row r="29">
          <cell r="B29" t="str">
            <v>2014DICIEMBRE</v>
          </cell>
          <cell r="C29">
            <v>31</v>
          </cell>
          <cell r="D29">
            <v>2</v>
          </cell>
          <cell r="E29">
            <v>8</v>
          </cell>
          <cell r="F29">
            <v>21</v>
          </cell>
          <cell r="G29">
            <v>9</v>
          </cell>
          <cell r="H29">
            <v>189</v>
          </cell>
        </row>
        <row r="30">
          <cell r="B30" t="str">
            <v>2015ENERO</v>
          </cell>
          <cell r="C30">
            <v>31</v>
          </cell>
          <cell r="D30">
            <v>2</v>
          </cell>
          <cell r="E30">
            <v>9</v>
          </cell>
          <cell r="F30">
            <v>20</v>
          </cell>
          <cell r="G30">
            <v>9</v>
          </cell>
          <cell r="H30">
            <v>180</v>
          </cell>
        </row>
        <row r="31">
          <cell r="B31" t="str">
            <v>2015FEBRERO</v>
          </cell>
          <cell r="C31">
            <v>28</v>
          </cell>
          <cell r="D31">
            <v>0</v>
          </cell>
          <cell r="E31">
            <v>8</v>
          </cell>
          <cell r="F31">
            <v>20</v>
          </cell>
          <cell r="G31">
            <v>9</v>
          </cell>
          <cell r="H31">
            <v>180</v>
          </cell>
        </row>
        <row r="32">
          <cell r="B32" t="str">
            <v>2015MARZO</v>
          </cell>
          <cell r="C32">
            <v>31</v>
          </cell>
          <cell r="D32">
            <v>1</v>
          </cell>
          <cell r="E32">
            <v>9</v>
          </cell>
          <cell r="F32">
            <v>21</v>
          </cell>
          <cell r="G32">
            <v>9</v>
          </cell>
          <cell r="H32">
            <v>189</v>
          </cell>
        </row>
        <row r="33">
          <cell r="B33" t="str">
            <v>2015ABRIL</v>
          </cell>
          <cell r="C33">
            <v>30</v>
          </cell>
          <cell r="D33">
            <v>2</v>
          </cell>
          <cell r="E33">
            <v>8</v>
          </cell>
          <cell r="F33">
            <v>20</v>
          </cell>
          <cell r="G33">
            <v>9</v>
          </cell>
          <cell r="H33">
            <v>180</v>
          </cell>
        </row>
        <row r="34">
          <cell r="B34" t="str">
            <v>2015MAYO</v>
          </cell>
          <cell r="C34">
            <v>31</v>
          </cell>
          <cell r="D34">
            <v>2</v>
          </cell>
          <cell r="E34">
            <v>10</v>
          </cell>
          <cell r="F34">
            <v>19</v>
          </cell>
          <cell r="G34">
            <v>9</v>
          </cell>
          <cell r="H34">
            <v>171</v>
          </cell>
        </row>
        <row r="35">
          <cell r="B35" t="str">
            <v>2015JUNIO</v>
          </cell>
          <cell r="C35">
            <v>30</v>
          </cell>
          <cell r="D35">
            <v>3</v>
          </cell>
          <cell r="E35">
            <v>8</v>
          </cell>
          <cell r="F35">
            <v>19</v>
          </cell>
          <cell r="G35">
            <v>9</v>
          </cell>
          <cell r="H35">
            <v>171</v>
          </cell>
        </row>
        <row r="36">
          <cell r="B36" t="str">
            <v>2015JULIO</v>
          </cell>
          <cell r="C36">
            <v>31</v>
          </cell>
          <cell r="D36">
            <v>1</v>
          </cell>
          <cell r="E36">
            <v>8</v>
          </cell>
          <cell r="F36">
            <v>22</v>
          </cell>
          <cell r="G36">
            <v>9</v>
          </cell>
          <cell r="H36">
            <v>198</v>
          </cell>
        </row>
        <row r="37">
          <cell r="B37" t="str">
            <v>2015AGOSTO</v>
          </cell>
          <cell r="C37">
            <v>31</v>
          </cell>
          <cell r="D37">
            <v>2</v>
          </cell>
          <cell r="E37">
            <v>10</v>
          </cell>
          <cell r="F37">
            <v>19</v>
          </cell>
          <cell r="G37">
            <v>9</v>
          </cell>
          <cell r="H37">
            <v>171</v>
          </cell>
        </row>
        <row r="38">
          <cell r="B38" t="str">
            <v>2015SEPTIEMBRE</v>
          </cell>
          <cell r="C38">
            <v>30</v>
          </cell>
          <cell r="D38">
            <v>0</v>
          </cell>
          <cell r="E38">
            <v>8</v>
          </cell>
          <cell r="F38">
            <v>22</v>
          </cell>
          <cell r="G38">
            <v>9</v>
          </cell>
          <cell r="H38">
            <v>198</v>
          </cell>
        </row>
        <row r="39">
          <cell r="B39" t="str">
            <v>2015OCTUBRE</v>
          </cell>
          <cell r="C39">
            <v>31</v>
          </cell>
          <cell r="D39">
            <v>1</v>
          </cell>
          <cell r="E39">
            <v>9</v>
          </cell>
          <cell r="F39">
            <v>21</v>
          </cell>
          <cell r="G39">
            <v>9</v>
          </cell>
          <cell r="H39">
            <v>189</v>
          </cell>
        </row>
        <row r="40">
          <cell r="B40" t="str">
            <v>2015NOVIEMBRE</v>
          </cell>
          <cell r="C40">
            <v>30</v>
          </cell>
          <cell r="D40">
            <v>2</v>
          </cell>
          <cell r="E40">
            <v>9</v>
          </cell>
          <cell r="F40">
            <v>19</v>
          </cell>
          <cell r="G40">
            <v>9</v>
          </cell>
          <cell r="H40">
            <v>171</v>
          </cell>
        </row>
        <row r="41">
          <cell r="B41" t="str">
            <v>2015DICIEMBRE</v>
          </cell>
          <cell r="C41">
            <v>31</v>
          </cell>
          <cell r="D41">
            <v>2</v>
          </cell>
          <cell r="E41">
            <v>8</v>
          </cell>
          <cell r="F41">
            <v>21</v>
          </cell>
          <cell r="G41">
            <v>9</v>
          </cell>
          <cell r="H41">
            <v>189</v>
          </cell>
        </row>
        <row r="42">
          <cell r="B42" t="str">
            <v>2016ENERO</v>
          </cell>
          <cell r="C42">
            <v>31</v>
          </cell>
          <cell r="D42">
            <v>2</v>
          </cell>
          <cell r="E42">
            <v>10</v>
          </cell>
          <cell r="F42">
            <v>19</v>
          </cell>
          <cell r="G42">
            <v>9</v>
          </cell>
          <cell r="H42">
            <v>171</v>
          </cell>
        </row>
        <row r="43">
          <cell r="B43" t="str">
            <v>2016FEBRERO</v>
          </cell>
          <cell r="C43">
            <v>29</v>
          </cell>
          <cell r="D43">
            <v>0</v>
          </cell>
          <cell r="E43">
            <v>8</v>
          </cell>
          <cell r="F43">
            <v>21</v>
          </cell>
          <cell r="G43">
            <v>9</v>
          </cell>
          <cell r="H43">
            <v>189</v>
          </cell>
        </row>
        <row r="44">
          <cell r="B44" t="str">
            <v>2016MARZO</v>
          </cell>
          <cell r="C44">
            <v>31</v>
          </cell>
          <cell r="D44">
            <v>3</v>
          </cell>
          <cell r="E44">
            <v>8</v>
          </cell>
          <cell r="F44">
            <v>20</v>
          </cell>
          <cell r="G44">
            <v>9</v>
          </cell>
          <cell r="H44">
            <v>180</v>
          </cell>
        </row>
        <row r="45">
          <cell r="B45" t="str">
            <v>2016ABRIL</v>
          </cell>
          <cell r="C45">
            <v>30</v>
          </cell>
          <cell r="D45">
            <v>0</v>
          </cell>
          <cell r="E45">
            <v>8</v>
          </cell>
          <cell r="F45">
            <v>22</v>
          </cell>
          <cell r="G45">
            <v>9</v>
          </cell>
          <cell r="H45">
            <v>198</v>
          </cell>
        </row>
        <row r="46">
          <cell r="B46" t="str">
            <v>2016MAYO</v>
          </cell>
          <cell r="C46">
            <v>31</v>
          </cell>
          <cell r="D46">
            <v>2</v>
          </cell>
          <cell r="E46">
            <v>9</v>
          </cell>
          <cell r="F46">
            <v>20</v>
          </cell>
          <cell r="G46">
            <v>9</v>
          </cell>
          <cell r="H46">
            <v>180</v>
          </cell>
        </row>
        <row r="47">
          <cell r="B47" t="str">
            <v>2016JUNIO</v>
          </cell>
          <cell r="C47">
            <v>30</v>
          </cell>
          <cell r="D47">
            <v>1</v>
          </cell>
          <cell r="E47">
            <v>8</v>
          </cell>
          <cell r="F47">
            <v>21</v>
          </cell>
          <cell r="G47">
            <v>9</v>
          </cell>
          <cell r="H47">
            <v>189</v>
          </cell>
        </row>
        <row r="48">
          <cell r="B48" t="str">
            <v>2016JULIO</v>
          </cell>
          <cell r="C48">
            <v>31</v>
          </cell>
          <cell r="D48">
            <v>2</v>
          </cell>
          <cell r="E48">
            <v>10</v>
          </cell>
          <cell r="F48">
            <v>19</v>
          </cell>
          <cell r="G48">
            <v>9</v>
          </cell>
          <cell r="H48">
            <v>171</v>
          </cell>
        </row>
        <row r="49">
          <cell r="B49" t="str">
            <v>2016AGOSTO</v>
          </cell>
          <cell r="C49">
            <v>31</v>
          </cell>
          <cell r="D49">
            <v>1</v>
          </cell>
          <cell r="E49">
            <v>8</v>
          </cell>
          <cell r="F49">
            <v>22</v>
          </cell>
          <cell r="G49">
            <v>9</v>
          </cell>
          <cell r="H49">
            <v>198</v>
          </cell>
        </row>
        <row r="50">
          <cell r="B50" t="str">
            <v>2016SEPTIEMBRE</v>
          </cell>
          <cell r="C50">
            <v>30</v>
          </cell>
          <cell r="D50">
            <v>0</v>
          </cell>
          <cell r="E50">
            <v>8</v>
          </cell>
          <cell r="F50">
            <v>22</v>
          </cell>
          <cell r="G50">
            <v>9</v>
          </cell>
          <cell r="H50">
            <v>198</v>
          </cell>
        </row>
        <row r="51">
          <cell r="B51" t="str">
            <v>2016OCTUBRE</v>
          </cell>
          <cell r="C51">
            <v>31</v>
          </cell>
          <cell r="D51">
            <v>1</v>
          </cell>
          <cell r="E51">
            <v>10</v>
          </cell>
          <cell r="F51">
            <v>20</v>
          </cell>
          <cell r="G51">
            <v>9</v>
          </cell>
          <cell r="H51">
            <v>180</v>
          </cell>
        </row>
        <row r="52">
          <cell r="B52" t="str">
            <v>2016NOVIEMBRE</v>
          </cell>
          <cell r="C52">
            <v>30</v>
          </cell>
          <cell r="D52">
            <v>2</v>
          </cell>
          <cell r="E52">
            <v>8</v>
          </cell>
          <cell r="F52">
            <v>20</v>
          </cell>
          <cell r="G52">
            <v>9</v>
          </cell>
          <cell r="H52">
            <v>180</v>
          </cell>
        </row>
        <row r="53">
          <cell r="B53" t="str">
            <v>2016DICIEMBRE</v>
          </cell>
          <cell r="C53">
            <v>31</v>
          </cell>
          <cell r="D53">
            <v>1</v>
          </cell>
          <cell r="E53">
            <v>9</v>
          </cell>
          <cell r="F53">
            <v>21</v>
          </cell>
          <cell r="G53">
            <v>9</v>
          </cell>
          <cell r="H53">
            <v>189</v>
          </cell>
        </row>
        <row r="54">
          <cell r="B54" t="str">
            <v>2017ENERO</v>
          </cell>
          <cell r="C54">
            <v>31</v>
          </cell>
          <cell r="D54">
            <v>1</v>
          </cell>
          <cell r="E54">
            <v>9</v>
          </cell>
          <cell r="F54">
            <v>21</v>
          </cell>
          <cell r="G54">
            <v>9</v>
          </cell>
          <cell r="H54">
            <v>189</v>
          </cell>
        </row>
        <row r="55">
          <cell r="B55" t="str">
            <v>2017FEBRERO</v>
          </cell>
          <cell r="C55">
            <v>28</v>
          </cell>
          <cell r="D55">
            <v>0</v>
          </cell>
          <cell r="E55">
            <v>8</v>
          </cell>
          <cell r="F55">
            <v>20</v>
          </cell>
          <cell r="G55">
            <v>9</v>
          </cell>
          <cell r="H55">
            <v>180</v>
          </cell>
        </row>
        <row r="56">
          <cell r="B56" t="str">
            <v>2017MARZO</v>
          </cell>
          <cell r="C56">
            <v>31</v>
          </cell>
          <cell r="D56">
            <v>1</v>
          </cell>
          <cell r="E56">
            <v>8</v>
          </cell>
          <cell r="F56">
            <v>22</v>
          </cell>
          <cell r="G56">
            <v>9</v>
          </cell>
          <cell r="H56">
            <v>198</v>
          </cell>
        </row>
        <row r="57">
          <cell r="B57" t="str">
            <v>2017ABRIL</v>
          </cell>
          <cell r="C57">
            <v>30</v>
          </cell>
          <cell r="D57">
            <v>2</v>
          </cell>
          <cell r="E57">
            <v>10</v>
          </cell>
          <cell r="F57">
            <v>18</v>
          </cell>
          <cell r="G57">
            <v>9</v>
          </cell>
          <cell r="H57">
            <v>162</v>
          </cell>
        </row>
        <row r="58">
          <cell r="B58" t="str">
            <v>2017MAYO</v>
          </cell>
          <cell r="C58">
            <v>31</v>
          </cell>
          <cell r="D58">
            <v>2</v>
          </cell>
          <cell r="E58">
            <v>8</v>
          </cell>
          <cell r="F58">
            <v>21</v>
          </cell>
          <cell r="G58">
            <v>9</v>
          </cell>
          <cell r="H58">
            <v>189</v>
          </cell>
        </row>
        <row r="59">
          <cell r="B59" t="str">
            <v>2017JUNIO</v>
          </cell>
          <cell r="C59">
            <v>30</v>
          </cell>
          <cell r="D59">
            <v>2</v>
          </cell>
          <cell r="E59">
            <v>8</v>
          </cell>
          <cell r="F59">
            <v>20</v>
          </cell>
          <cell r="G59">
            <v>9</v>
          </cell>
          <cell r="H59">
            <v>180</v>
          </cell>
        </row>
        <row r="60">
          <cell r="B60" t="str">
            <v>2017JULIO</v>
          </cell>
          <cell r="C60">
            <v>31</v>
          </cell>
          <cell r="D60">
            <v>2</v>
          </cell>
          <cell r="E60">
            <v>10</v>
          </cell>
          <cell r="F60">
            <v>19</v>
          </cell>
          <cell r="G60">
            <v>9</v>
          </cell>
          <cell r="H60">
            <v>171</v>
          </cell>
        </row>
        <row r="61">
          <cell r="B61" t="str">
            <v>2017AGOSTO</v>
          </cell>
          <cell r="C61">
            <v>31</v>
          </cell>
          <cell r="D61">
            <v>2</v>
          </cell>
          <cell r="E61">
            <v>8</v>
          </cell>
          <cell r="F61">
            <v>21</v>
          </cell>
          <cell r="G61">
            <v>9</v>
          </cell>
          <cell r="H61">
            <v>189</v>
          </cell>
        </row>
        <row r="62">
          <cell r="B62" t="str">
            <v>2017SEPTIEMBRE</v>
          </cell>
          <cell r="C62">
            <v>30</v>
          </cell>
          <cell r="D62">
            <v>0</v>
          </cell>
          <cell r="E62">
            <v>9</v>
          </cell>
          <cell r="F62">
            <v>21</v>
          </cell>
          <cell r="G62">
            <v>9</v>
          </cell>
          <cell r="H62">
            <v>189</v>
          </cell>
        </row>
        <row r="63">
          <cell r="B63" t="str">
            <v>2017OCTUBRE</v>
          </cell>
          <cell r="C63">
            <v>31</v>
          </cell>
          <cell r="D63">
            <v>1</v>
          </cell>
          <cell r="E63">
            <v>9</v>
          </cell>
          <cell r="F63">
            <v>21</v>
          </cell>
          <cell r="G63">
            <v>9</v>
          </cell>
          <cell r="H63">
            <v>189</v>
          </cell>
        </row>
        <row r="64">
          <cell r="B64" t="str">
            <v>2017NOVIEMBRE</v>
          </cell>
          <cell r="C64">
            <v>30</v>
          </cell>
          <cell r="D64">
            <v>2</v>
          </cell>
          <cell r="E64">
            <v>8</v>
          </cell>
          <cell r="F64">
            <v>20</v>
          </cell>
          <cell r="G64">
            <v>9</v>
          </cell>
          <cell r="H64">
            <v>180</v>
          </cell>
        </row>
        <row r="65">
          <cell r="B65" t="str">
            <v>2017DICIEMBRE</v>
          </cell>
          <cell r="C65">
            <v>31</v>
          </cell>
          <cell r="D65">
            <v>2</v>
          </cell>
          <cell r="E65">
            <v>10</v>
          </cell>
          <cell r="F65">
            <v>19</v>
          </cell>
          <cell r="G65">
            <v>9</v>
          </cell>
          <cell r="H65">
            <v>171</v>
          </cell>
        </row>
        <row r="66">
          <cell r="B66" t="str">
            <v>2018ENERO</v>
          </cell>
          <cell r="C66">
            <v>31</v>
          </cell>
          <cell r="D66">
            <v>2</v>
          </cell>
          <cell r="E66">
            <v>8</v>
          </cell>
          <cell r="F66">
            <v>21</v>
          </cell>
          <cell r="G66">
            <v>9</v>
          </cell>
          <cell r="H66">
            <v>189</v>
          </cell>
        </row>
        <row r="67">
          <cell r="B67" t="str">
            <v>2018FEBRERO</v>
          </cell>
          <cell r="C67">
            <v>28</v>
          </cell>
          <cell r="D67">
            <v>0</v>
          </cell>
          <cell r="E67">
            <v>8</v>
          </cell>
          <cell r="F67">
            <v>20</v>
          </cell>
          <cell r="G67">
            <v>9</v>
          </cell>
          <cell r="H67">
            <v>180</v>
          </cell>
        </row>
        <row r="68">
          <cell r="B68" t="str">
            <v>2018MARZO</v>
          </cell>
          <cell r="C68">
            <v>31</v>
          </cell>
          <cell r="D68">
            <v>3</v>
          </cell>
          <cell r="E68">
            <v>9</v>
          </cell>
          <cell r="F68">
            <v>19</v>
          </cell>
          <cell r="G68">
            <v>9</v>
          </cell>
          <cell r="H68">
            <v>171</v>
          </cell>
        </row>
        <row r="69">
          <cell r="B69" t="str">
            <v>2018ABRIL</v>
          </cell>
          <cell r="C69">
            <v>30</v>
          </cell>
          <cell r="D69">
            <v>0</v>
          </cell>
          <cell r="E69">
            <v>9</v>
          </cell>
          <cell r="F69">
            <v>21</v>
          </cell>
          <cell r="G69">
            <v>9</v>
          </cell>
          <cell r="H69">
            <v>189</v>
          </cell>
        </row>
        <row r="70">
          <cell r="B70" t="str">
            <v>2018MAYO</v>
          </cell>
          <cell r="C70">
            <v>31</v>
          </cell>
          <cell r="D70">
            <v>1</v>
          </cell>
          <cell r="E70">
            <v>8</v>
          </cell>
          <cell r="F70">
            <v>22</v>
          </cell>
          <cell r="G70">
            <v>9</v>
          </cell>
          <cell r="H70">
            <v>198</v>
          </cell>
        </row>
        <row r="71">
          <cell r="B71" t="str">
            <v>2018JUNIO</v>
          </cell>
          <cell r="C71">
            <v>30</v>
          </cell>
          <cell r="D71">
            <v>2</v>
          </cell>
          <cell r="E71">
            <v>9</v>
          </cell>
          <cell r="F71">
            <v>19</v>
          </cell>
          <cell r="G71">
            <v>9</v>
          </cell>
          <cell r="H71">
            <v>171</v>
          </cell>
        </row>
        <row r="72">
          <cell r="B72" t="str">
            <v>2018JULIO</v>
          </cell>
          <cell r="C72">
            <v>31</v>
          </cell>
          <cell r="D72">
            <v>2</v>
          </cell>
          <cell r="E72">
            <v>9</v>
          </cell>
          <cell r="F72">
            <v>20</v>
          </cell>
          <cell r="G72">
            <v>9</v>
          </cell>
          <cell r="H72">
            <v>180</v>
          </cell>
        </row>
        <row r="73">
          <cell r="B73" t="str">
            <v>2018AGOSTO</v>
          </cell>
          <cell r="C73">
            <v>31</v>
          </cell>
          <cell r="D73">
            <v>2</v>
          </cell>
          <cell r="E73">
            <v>8</v>
          </cell>
          <cell r="F73">
            <v>21</v>
          </cell>
          <cell r="G73">
            <v>9</v>
          </cell>
          <cell r="H73">
            <v>189</v>
          </cell>
        </row>
        <row r="74">
          <cell r="B74" t="str">
            <v>2018SEPTIEMBRE</v>
          </cell>
          <cell r="C74">
            <v>30</v>
          </cell>
          <cell r="D74">
            <v>0</v>
          </cell>
          <cell r="E74">
            <v>10</v>
          </cell>
          <cell r="F74">
            <v>20</v>
          </cell>
          <cell r="G74">
            <v>9</v>
          </cell>
          <cell r="H74">
            <v>180</v>
          </cell>
        </row>
        <row r="75">
          <cell r="B75" t="str">
            <v>2018OCTUBRE</v>
          </cell>
          <cell r="C75">
            <v>31</v>
          </cell>
          <cell r="D75">
            <v>1</v>
          </cell>
          <cell r="E75">
            <v>8</v>
          </cell>
          <cell r="F75">
            <v>22</v>
          </cell>
          <cell r="G75">
            <v>9</v>
          </cell>
          <cell r="H75">
            <v>198</v>
          </cell>
        </row>
        <row r="76">
          <cell r="B76" t="str">
            <v>2018NOVIEMBRE</v>
          </cell>
          <cell r="C76">
            <v>30</v>
          </cell>
          <cell r="D76">
            <v>2</v>
          </cell>
          <cell r="E76">
            <v>8</v>
          </cell>
          <cell r="F76">
            <v>20</v>
          </cell>
          <cell r="G76">
            <v>9</v>
          </cell>
          <cell r="H76">
            <v>180</v>
          </cell>
        </row>
        <row r="77">
          <cell r="B77" t="str">
            <v>2018DICIEMBRE</v>
          </cell>
          <cell r="C77">
            <v>31</v>
          </cell>
          <cell r="D77">
            <v>2</v>
          </cell>
          <cell r="E77">
            <v>10</v>
          </cell>
          <cell r="F77">
            <v>19</v>
          </cell>
          <cell r="G77">
            <v>9</v>
          </cell>
          <cell r="H77">
            <v>171</v>
          </cell>
        </row>
        <row r="78">
          <cell r="B78" t="str">
            <v>2019ENERO</v>
          </cell>
          <cell r="C78">
            <v>31</v>
          </cell>
          <cell r="D78">
            <v>2</v>
          </cell>
          <cell r="E78">
            <v>8</v>
          </cell>
          <cell r="F78">
            <v>21</v>
          </cell>
          <cell r="G78">
            <v>9</v>
          </cell>
          <cell r="H78">
            <v>189</v>
          </cell>
        </row>
        <row r="79">
          <cell r="B79" t="str">
            <v>2019FEBRERO</v>
          </cell>
          <cell r="C79">
            <v>28</v>
          </cell>
          <cell r="D79">
            <v>0</v>
          </cell>
          <cell r="E79">
            <v>8</v>
          </cell>
          <cell r="F79">
            <v>20</v>
          </cell>
          <cell r="G79">
            <v>9</v>
          </cell>
          <cell r="H79">
            <v>180</v>
          </cell>
        </row>
        <row r="80">
          <cell r="B80" t="str">
            <v>2019MARZO</v>
          </cell>
          <cell r="C80">
            <v>31</v>
          </cell>
          <cell r="D80">
            <v>3</v>
          </cell>
          <cell r="E80">
            <v>9</v>
          </cell>
          <cell r="F80">
            <v>19</v>
          </cell>
          <cell r="G80">
            <v>9</v>
          </cell>
          <cell r="H80">
            <v>171</v>
          </cell>
        </row>
        <row r="81">
          <cell r="B81" t="str">
            <v>2019ABRIL</v>
          </cell>
          <cell r="C81">
            <v>30</v>
          </cell>
          <cell r="D81">
            <v>0</v>
          </cell>
          <cell r="E81">
            <v>9</v>
          </cell>
          <cell r="F81">
            <v>21</v>
          </cell>
          <cell r="G81">
            <v>9</v>
          </cell>
          <cell r="H81">
            <v>189</v>
          </cell>
        </row>
        <row r="82">
          <cell r="B82" t="str">
            <v>2019MAYO</v>
          </cell>
          <cell r="C82">
            <v>31</v>
          </cell>
          <cell r="D82">
            <v>1</v>
          </cell>
          <cell r="E82">
            <v>8</v>
          </cell>
          <cell r="F82">
            <v>22</v>
          </cell>
          <cell r="G82">
            <v>9</v>
          </cell>
          <cell r="H82">
            <v>198</v>
          </cell>
        </row>
        <row r="83">
          <cell r="B83" t="str">
            <v>2019JUNIO</v>
          </cell>
          <cell r="C83">
            <v>30</v>
          </cell>
          <cell r="D83">
            <v>2</v>
          </cell>
          <cell r="E83">
            <v>9</v>
          </cell>
          <cell r="F83">
            <v>19</v>
          </cell>
          <cell r="G83">
            <v>9</v>
          </cell>
          <cell r="H83">
            <v>171</v>
          </cell>
        </row>
        <row r="84">
          <cell r="B84" t="str">
            <v>2019JULIO</v>
          </cell>
          <cell r="C84">
            <v>31</v>
          </cell>
          <cell r="D84">
            <v>2</v>
          </cell>
          <cell r="E84">
            <v>9</v>
          </cell>
          <cell r="F84">
            <v>20</v>
          </cell>
          <cell r="G84">
            <v>9</v>
          </cell>
          <cell r="H84">
            <v>180</v>
          </cell>
        </row>
        <row r="85">
          <cell r="B85" t="str">
            <v>2019AGOSTO</v>
          </cell>
          <cell r="C85">
            <v>31</v>
          </cell>
          <cell r="D85">
            <v>2</v>
          </cell>
          <cell r="E85">
            <v>8</v>
          </cell>
          <cell r="F85">
            <v>21</v>
          </cell>
          <cell r="G85">
            <v>9</v>
          </cell>
          <cell r="H85">
            <v>189</v>
          </cell>
        </row>
        <row r="86">
          <cell r="B86" t="str">
            <v>2019SEPTIEMBRE</v>
          </cell>
          <cell r="C86">
            <v>30</v>
          </cell>
          <cell r="D86">
            <v>0</v>
          </cell>
          <cell r="E86">
            <v>10</v>
          </cell>
          <cell r="F86">
            <v>20</v>
          </cell>
          <cell r="G86">
            <v>9</v>
          </cell>
          <cell r="H86">
            <v>180</v>
          </cell>
        </row>
        <row r="87">
          <cell r="B87" t="str">
            <v>2019OCTUBRE</v>
          </cell>
          <cell r="C87">
            <v>31</v>
          </cell>
          <cell r="D87">
            <v>1</v>
          </cell>
          <cell r="E87">
            <v>8</v>
          </cell>
          <cell r="F87">
            <v>22</v>
          </cell>
          <cell r="G87">
            <v>9</v>
          </cell>
          <cell r="H87">
            <v>198</v>
          </cell>
        </row>
        <row r="88">
          <cell r="B88" t="str">
            <v>2019NOVIEMBRE</v>
          </cell>
          <cell r="C88">
            <v>30</v>
          </cell>
          <cell r="D88">
            <v>2</v>
          </cell>
          <cell r="E88">
            <v>8</v>
          </cell>
          <cell r="F88">
            <v>20</v>
          </cell>
          <cell r="G88">
            <v>9</v>
          </cell>
          <cell r="H88">
            <v>180</v>
          </cell>
        </row>
        <row r="89">
          <cell r="B89" t="str">
            <v>2019DICIEMBRE</v>
          </cell>
          <cell r="C89">
            <v>31</v>
          </cell>
          <cell r="D89">
            <v>2</v>
          </cell>
          <cell r="E89">
            <v>10</v>
          </cell>
          <cell r="F89">
            <v>19</v>
          </cell>
          <cell r="G89">
            <v>9</v>
          </cell>
          <cell r="H89">
            <v>171</v>
          </cell>
        </row>
        <row r="90">
          <cell r="B90" t="str">
            <v>2020ENERO</v>
          </cell>
          <cell r="C90">
            <v>31</v>
          </cell>
          <cell r="D90">
            <v>2</v>
          </cell>
          <cell r="E90">
            <v>8</v>
          </cell>
          <cell r="F90">
            <v>21</v>
          </cell>
          <cell r="G90">
            <v>9</v>
          </cell>
          <cell r="H90">
            <v>189</v>
          </cell>
        </row>
        <row r="91">
          <cell r="B91" t="str">
            <v>2020FEBRERO</v>
          </cell>
          <cell r="C91">
            <v>28</v>
          </cell>
          <cell r="D91">
            <v>0</v>
          </cell>
          <cell r="E91">
            <v>8</v>
          </cell>
          <cell r="F91">
            <v>20</v>
          </cell>
          <cell r="G91">
            <v>9</v>
          </cell>
          <cell r="H91">
            <v>180</v>
          </cell>
        </row>
        <row r="92">
          <cell r="B92" t="str">
            <v>2020MARZO</v>
          </cell>
          <cell r="C92">
            <v>31</v>
          </cell>
          <cell r="D92">
            <v>3</v>
          </cell>
          <cell r="E92">
            <v>9</v>
          </cell>
          <cell r="F92">
            <v>19</v>
          </cell>
          <cell r="G92">
            <v>9</v>
          </cell>
          <cell r="H92">
            <v>171</v>
          </cell>
        </row>
        <row r="93">
          <cell r="B93" t="str">
            <v>2020ABRIL</v>
          </cell>
          <cell r="C93">
            <v>30</v>
          </cell>
          <cell r="D93">
            <v>0</v>
          </cell>
          <cell r="E93">
            <v>9</v>
          </cell>
          <cell r="F93">
            <v>21</v>
          </cell>
          <cell r="G93">
            <v>9</v>
          </cell>
          <cell r="H93">
            <v>189</v>
          </cell>
        </row>
        <row r="94">
          <cell r="B94" t="str">
            <v>2020MAYO</v>
          </cell>
          <cell r="C94">
            <v>31</v>
          </cell>
          <cell r="D94">
            <v>1</v>
          </cell>
          <cell r="E94">
            <v>8</v>
          </cell>
          <cell r="F94">
            <v>22</v>
          </cell>
          <cell r="G94">
            <v>9</v>
          </cell>
          <cell r="H94">
            <v>198</v>
          </cell>
        </row>
        <row r="95">
          <cell r="B95" t="str">
            <v>2020JUNIO</v>
          </cell>
          <cell r="C95">
            <v>30</v>
          </cell>
          <cell r="D95">
            <v>2</v>
          </cell>
          <cell r="E95">
            <v>9</v>
          </cell>
          <cell r="F95">
            <v>19</v>
          </cell>
          <cell r="G95">
            <v>9</v>
          </cell>
          <cell r="H95">
            <v>171</v>
          </cell>
        </row>
        <row r="96">
          <cell r="B96" t="str">
            <v>2020JULIO</v>
          </cell>
          <cell r="C96">
            <v>31</v>
          </cell>
          <cell r="D96">
            <v>2</v>
          </cell>
          <cell r="E96">
            <v>9</v>
          </cell>
          <cell r="F96">
            <v>20</v>
          </cell>
          <cell r="G96">
            <v>9</v>
          </cell>
          <cell r="H96">
            <v>180</v>
          </cell>
        </row>
        <row r="97">
          <cell r="B97" t="str">
            <v>2020AGOSTO</v>
          </cell>
          <cell r="C97">
            <v>31</v>
          </cell>
          <cell r="D97">
            <v>2</v>
          </cell>
          <cell r="E97">
            <v>8</v>
          </cell>
          <cell r="F97">
            <v>21</v>
          </cell>
          <cell r="G97">
            <v>9</v>
          </cell>
          <cell r="H97">
            <v>189</v>
          </cell>
        </row>
        <row r="98">
          <cell r="B98" t="str">
            <v>2020SEPTIEMBRE</v>
          </cell>
          <cell r="C98">
            <v>30</v>
          </cell>
          <cell r="D98">
            <v>0</v>
          </cell>
          <cell r="E98">
            <v>10</v>
          </cell>
          <cell r="F98">
            <v>20</v>
          </cell>
          <cell r="G98">
            <v>9</v>
          </cell>
          <cell r="H98">
            <v>180</v>
          </cell>
        </row>
        <row r="99">
          <cell r="B99" t="str">
            <v>2020OCTUBRE</v>
          </cell>
          <cell r="C99">
            <v>31</v>
          </cell>
          <cell r="D99">
            <v>1</v>
          </cell>
          <cell r="E99">
            <v>8</v>
          </cell>
          <cell r="F99">
            <v>22</v>
          </cell>
          <cell r="G99">
            <v>9</v>
          </cell>
          <cell r="H99">
            <v>198</v>
          </cell>
        </row>
        <row r="100">
          <cell r="B100" t="str">
            <v>2020NOVIEMBRE</v>
          </cell>
          <cell r="C100">
            <v>30</v>
          </cell>
          <cell r="D100">
            <v>2</v>
          </cell>
          <cell r="E100">
            <v>8</v>
          </cell>
          <cell r="F100">
            <v>20</v>
          </cell>
          <cell r="G100">
            <v>9</v>
          </cell>
          <cell r="H100">
            <v>180</v>
          </cell>
        </row>
        <row r="101">
          <cell r="B101" t="str">
            <v>2020DICIEMBRE</v>
          </cell>
          <cell r="C101">
            <v>31</v>
          </cell>
          <cell r="D101">
            <v>2</v>
          </cell>
          <cell r="E101">
            <v>10</v>
          </cell>
          <cell r="F101">
            <v>19</v>
          </cell>
          <cell r="G101">
            <v>9</v>
          </cell>
          <cell r="H101">
            <v>171</v>
          </cell>
        </row>
        <row r="102">
          <cell r="B102" t="str">
            <v>2021ENERO</v>
          </cell>
          <cell r="C102">
            <v>31</v>
          </cell>
          <cell r="D102">
            <v>2</v>
          </cell>
          <cell r="E102">
            <v>8</v>
          </cell>
          <cell r="F102">
            <v>21</v>
          </cell>
          <cell r="G102">
            <v>9</v>
          </cell>
          <cell r="H102">
            <v>189</v>
          </cell>
        </row>
        <row r="103">
          <cell r="B103" t="str">
            <v>2021FEBRERO</v>
          </cell>
          <cell r="C103">
            <v>28</v>
          </cell>
          <cell r="D103">
            <v>0</v>
          </cell>
          <cell r="E103">
            <v>8</v>
          </cell>
          <cell r="F103">
            <v>20</v>
          </cell>
          <cell r="G103">
            <v>9</v>
          </cell>
          <cell r="H103">
            <v>180</v>
          </cell>
        </row>
        <row r="104">
          <cell r="B104" t="str">
            <v>2021MARZO</v>
          </cell>
          <cell r="C104">
            <v>31</v>
          </cell>
          <cell r="D104">
            <v>3</v>
          </cell>
          <cell r="E104">
            <v>9</v>
          </cell>
          <cell r="F104">
            <v>19</v>
          </cell>
          <cell r="G104">
            <v>9</v>
          </cell>
          <cell r="H104">
            <v>171</v>
          </cell>
        </row>
        <row r="105">
          <cell r="B105" t="str">
            <v>2021ABRIL</v>
          </cell>
          <cell r="C105">
            <v>30</v>
          </cell>
          <cell r="D105">
            <v>0</v>
          </cell>
          <cell r="E105">
            <v>9</v>
          </cell>
          <cell r="F105">
            <v>21</v>
          </cell>
          <cell r="G105">
            <v>9</v>
          </cell>
          <cell r="H105">
            <v>189</v>
          </cell>
        </row>
        <row r="106">
          <cell r="B106" t="str">
            <v>2021MAYO</v>
          </cell>
          <cell r="C106">
            <v>31</v>
          </cell>
          <cell r="D106">
            <v>1</v>
          </cell>
          <cell r="E106">
            <v>8</v>
          </cell>
          <cell r="F106">
            <v>22</v>
          </cell>
          <cell r="G106">
            <v>9</v>
          </cell>
          <cell r="H106">
            <v>198</v>
          </cell>
        </row>
        <row r="107">
          <cell r="B107" t="str">
            <v>2021JUNIO</v>
          </cell>
          <cell r="C107">
            <v>30</v>
          </cell>
          <cell r="D107">
            <v>2</v>
          </cell>
          <cell r="E107">
            <v>9</v>
          </cell>
          <cell r="F107">
            <v>19</v>
          </cell>
          <cell r="G107">
            <v>9</v>
          </cell>
          <cell r="H107">
            <v>171</v>
          </cell>
        </row>
        <row r="108">
          <cell r="B108" t="str">
            <v>2021JULIO</v>
          </cell>
          <cell r="C108">
            <v>31</v>
          </cell>
          <cell r="D108">
            <v>2</v>
          </cell>
          <cell r="E108">
            <v>9</v>
          </cell>
          <cell r="F108">
            <v>20</v>
          </cell>
          <cell r="G108">
            <v>9</v>
          </cell>
          <cell r="H108">
            <v>180</v>
          </cell>
        </row>
        <row r="109">
          <cell r="B109" t="str">
            <v>2021AGOSTO</v>
          </cell>
          <cell r="C109">
            <v>31</v>
          </cell>
          <cell r="D109">
            <v>2</v>
          </cell>
          <cell r="E109">
            <v>8</v>
          </cell>
          <cell r="F109">
            <v>21</v>
          </cell>
          <cell r="G109">
            <v>9</v>
          </cell>
          <cell r="H109">
            <v>189</v>
          </cell>
        </row>
        <row r="110">
          <cell r="B110" t="str">
            <v>2021SEPTIEMBRE</v>
          </cell>
          <cell r="C110">
            <v>30</v>
          </cell>
          <cell r="D110">
            <v>0</v>
          </cell>
          <cell r="E110">
            <v>10</v>
          </cell>
          <cell r="F110">
            <v>20</v>
          </cell>
          <cell r="G110">
            <v>9</v>
          </cell>
          <cell r="H110">
            <v>180</v>
          </cell>
        </row>
        <row r="111">
          <cell r="B111" t="str">
            <v>2021OCTUBRE</v>
          </cell>
          <cell r="C111">
            <v>31</v>
          </cell>
          <cell r="D111">
            <v>1</v>
          </cell>
          <cell r="E111">
            <v>8</v>
          </cell>
          <cell r="F111">
            <v>22</v>
          </cell>
          <cell r="G111">
            <v>9</v>
          </cell>
          <cell r="H111">
            <v>198</v>
          </cell>
        </row>
        <row r="112">
          <cell r="B112" t="str">
            <v>2021NOVIEMBRE</v>
          </cell>
          <cell r="C112">
            <v>30</v>
          </cell>
          <cell r="D112">
            <v>2</v>
          </cell>
          <cell r="E112">
            <v>8</v>
          </cell>
          <cell r="F112">
            <v>20</v>
          </cell>
          <cell r="G112">
            <v>9</v>
          </cell>
          <cell r="H112">
            <v>180</v>
          </cell>
        </row>
        <row r="113">
          <cell r="B113" t="str">
            <v>2021DICIEMBRE</v>
          </cell>
          <cell r="C113">
            <v>31</v>
          </cell>
          <cell r="D113">
            <v>2</v>
          </cell>
          <cell r="E113">
            <v>10</v>
          </cell>
          <cell r="F113">
            <v>19</v>
          </cell>
          <cell r="G113">
            <v>9</v>
          </cell>
          <cell r="H113">
            <v>171</v>
          </cell>
        </row>
        <row r="114">
          <cell r="B114" t="str">
            <v>2022ENERO</v>
          </cell>
          <cell r="C114">
            <v>31</v>
          </cell>
          <cell r="D114">
            <v>2</v>
          </cell>
          <cell r="E114">
            <v>8</v>
          </cell>
          <cell r="F114">
            <v>21</v>
          </cell>
          <cell r="G114">
            <v>9</v>
          </cell>
          <cell r="H114">
            <v>189</v>
          </cell>
        </row>
        <row r="115">
          <cell r="B115" t="str">
            <v>2022FEBRERO</v>
          </cell>
          <cell r="C115">
            <v>28</v>
          </cell>
          <cell r="D115">
            <v>0</v>
          </cell>
          <cell r="E115">
            <v>8</v>
          </cell>
          <cell r="F115">
            <v>20</v>
          </cell>
          <cell r="G115">
            <v>9</v>
          </cell>
          <cell r="H115">
            <v>180</v>
          </cell>
        </row>
        <row r="116">
          <cell r="B116" t="str">
            <v>2022MARZO</v>
          </cell>
          <cell r="C116">
            <v>31</v>
          </cell>
          <cell r="D116">
            <v>3</v>
          </cell>
          <cell r="E116">
            <v>9</v>
          </cell>
          <cell r="F116">
            <v>19</v>
          </cell>
          <cell r="G116">
            <v>9</v>
          </cell>
          <cell r="H116">
            <v>171</v>
          </cell>
        </row>
        <row r="117">
          <cell r="B117" t="str">
            <v>2022ABRIL</v>
          </cell>
          <cell r="C117">
            <v>30</v>
          </cell>
          <cell r="D117">
            <v>0</v>
          </cell>
          <cell r="E117">
            <v>9</v>
          </cell>
          <cell r="F117">
            <v>21</v>
          </cell>
          <cell r="G117">
            <v>9</v>
          </cell>
          <cell r="H117">
            <v>189</v>
          </cell>
        </row>
        <row r="118">
          <cell r="B118" t="str">
            <v>2022MAYO</v>
          </cell>
          <cell r="C118">
            <v>31</v>
          </cell>
          <cell r="D118">
            <v>1</v>
          </cell>
          <cell r="E118">
            <v>8</v>
          </cell>
          <cell r="F118">
            <v>22</v>
          </cell>
          <cell r="G118">
            <v>9</v>
          </cell>
          <cell r="H118">
            <v>198</v>
          </cell>
        </row>
        <row r="119">
          <cell r="B119" t="str">
            <v>2022JUNIO</v>
          </cell>
          <cell r="C119">
            <v>30</v>
          </cell>
          <cell r="D119">
            <v>2</v>
          </cell>
          <cell r="E119">
            <v>9</v>
          </cell>
          <cell r="F119">
            <v>19</v>
          </cell>
          <cell r="G119">
            <v>9</v>
          </cell>
          <cell r="H119">
            <v>171</v>
          </cell>
        </row>
        <row r="120">
          <cell r="B120" t="str">
            <v>2022JULIO</v>
          </cell>
          <cell r="C120">
            <v>31</v>
          </cell>
          <cell r="D120">
            <v>2</v>
          </cell>
          <cell r="E120">
            <v>9</v>
          </cell>
          <cell r="F120">
            <v>20</v>
          </cell>
          <cell r="G120">
            <v>9</v>
          </cell>
          <cell r="H120">
            <v>180</v>
          </cell>
        </row>
        <row r="121">
          <cell r="B121" t="str">
            <v>2022AGOSTO</v>
          </cell>
          <cell r="C121">
            <v>31</v>
          </cell>
          <cell r="D121">
            <v>2</v>
          </cell>
          <cell r="E121">
            <v>8</v>
          </cell>
          <cell r="F121">
            <v>21</v>
          </cell>
          <cell r="G121">
            <v>9</v>
          </cell>
          <cell r="H121">
            <v>189</v>
          </cell>
        </row>
        <row r="122">
          <cell r="B122" t="str">
            <v>2022SEPTIEMBRE</v>
          </cell>
          <cell r="C122">
            <v>30</v>
          </cell>
          <cell r="D122">
            <v>0</v>
          </cell>
          <cell r="E122">
            <v>10</v>
          </cell>
          <cell r="F122">
            <v>20</v>
          </cell>
          <cell r="G122">
            <v>9</v>
          </cell>
          <cell r="H122">
            <v>180</v>
          </cell>
        </row>
        <row r="123">
          <cell r="B123" t="str">
            <v>2022OCTUBRE</v>
          </cell>
          <cell r="C123">
            <v>31</v>
          </cell>
          <cell r="D123">
            <v>1</v>
          </cell>
          <cell r="E123">
            <v>8</v>
          </cell>
          <cell r="F123">
            <v>22</v>
          </cell>
          <cell r="G123">
            <v>9</v>
          </cell>
          <cell r="H123">
            <v>198</v>
          </cell>
        </row>
        <row r="124">
          <cell r="B124" t="str">
            <v>2022NOVIEMBRE</v>
          </cell>
          <cell r="C124">
            <v>30</v>
          </cell>
          <cell r="D124">
            <v>2</v>
          </cell>
          <cell r="E124">
            <v>8</v>
          </cell>
          <cell r="F124">
            <v>20</v>
          </cell>
          <cell r="G124">
            <v>9</v>
          </cell>
          <cell r="H124">
            <v>180</v>
          </cell>
        </row>
        <row r="125">
          <cell r="B125" t="str">
            <v>2022DICIEMBRE</v>
          </cell>
          <cell r="C125">
            <v>31</v>
          </cell>
          <cell r="D125">
            <v>2</v>
          </cell>
          <cell r="E125">
            <v>10</v>
          </cell>
          <cell r="F125">
            <v>19</v>
          </cell>
          <cell r="G125">
            <v>9</v>
          </cell>
          <cell r="H125">
            <v>171</v>
          </cell>
        </row>
        <row r="126">
          <cell r="B126" t="str">
            <v>2023ENERO</v>
          </cell>
          <cell r="C126">
            <v>31</v>
          </cell>
          <cell r="D126">
            <v>2</v>
          </cell>
          <cell r="E126">
            <v>8</v>
          </cell>
          <cell r="F126">
            <v>21</v>
          </cell>
          <cell r="G126">
            <v>9</v>
          </cell>
          <cell r="H126">
            <v>189</v>
          </cell>
        </row>
        <row r="127">
          <cell r="B127" t="str">
            <v>2023FEBRERO</v>
          </cell>
          <cell r="C127">
            <v>28</v>
          </cell>
          <cell r="D127">
            <v>0</v>
          </cell>
          <cell r="E127">
            <v>8</v>
          </cell>
          <cell r="F127">
            <v>20</v>
          </cell>
          <cell r="G127">
            <v>9</v>
          </cell>
          <cell r="H127">
            <v>180</v>
          </cell>
        </row>
        <row r="128">
          <cell r="B128" t="str">
            <v>2023MARZO</v>
          </cell>
          <cell r="C128">
            <v>31</v>
          </cell>
          <cell r="D128">
            <v>3</v>
          </cell>
          <cell r="E128">
            <v>9</v>
          </cell>
          <cell r="F128">
            <v>19</v>
          </cell>
          <cell r="G128">
            <v>9</v>
          </cell>
          <cell r="H128">
            <v>171</v>
          </cell>
        </row>
        <row r="129">
          <cell r="B129" t="str">
            <v>2023ABRIL</v>
          </cell>
          <cell r="C129">
            <v>30</v>
          </cell>
          <cell r="D129">
            <v>0</v>
          </cell>
          <cell r="E129">
            <v>9</v>
          </cell>
          <cell r="F129">
            <v>21</v>
          </cell>
          <cell r="G129">
            <v>9</v>
          </cell>
          <cell r="H129">
            <v>189</v>
          </cell>
        </row>
        <row r="130">
          <cell r="B130" t="str">
            <v>2023MAYO</v>
          </cell>
          <cell r="C130">
            <v>31</v>
          </cell>
          <cell r="D130">
            <v>1</v>
          </cell>
          <cell r="E130">
            <v>8</v>
          </cell>
          <cell r="F130">
            <v>22</v>
          </cell>
          <cell r="G130">
            <v>9</v>
          </cell>
          <cell r="H130">
            <v>198</v>
          </cell>
        </row>
        <row r="131">
          <cell r="B131" t="str">
            <v>2023JUNIO</v>
          </cell>
          <cell r="C131">
            <v>30</v>
          </cell>
          <cell r="D131">
            <v>2</v>
          </cell>
          <cell r="E131">
            <v>9</v>
          </cell>
          <cell r="F131">
            <v>19</v>
          </cell>
          <cell r="G131">
            <v>9</v>
          </cell>
          <cell r="H131">
            <v>171</v>
          </cell>
        </row>
        <row r="132">
          <cell r="B132" t="str">
            <v>2023JULIO</v>
          </cell>
          <cell r="C132">
            <v>31</v>
          </cell>
          <cell r="D132">
            <v>2</v>
          </cell>
          <cell r="E132">
            <v>9</v>
          </cell>
          <cell r="F132">
            <v>20</v>
          </cell>
          <cell r="G132">
            <v>9</v>
          </cell>
          <cell r="H132">
            <v>180</v>
          </cell>
        </row>
        <row r="133">
          <cell r="B133" t="str">
            <v>2023AGOSTO</v>
          </cell>
          <cell r="C133">
            <v>31</v>
          </cell>
          <cell r="D133">
            <v>2</v>
          </cell>
          <cell r="E133">
            <v>8</v>
          </cell>
          <cell r="F133">
            <v>21</v>
          </cell>
          <cell r="G133">
            <v>9</v>
          </cell>
          <cell r="H133">
            <v>189</v>
          </cell>
        </row>
        <row r="134">
          <cell r="B134" t="str">
            <v>2023SEPTIEMBRE</v>
          </cell>
          <cell r="C134">
            <v>30</v>
          </cell>
          <cell r="D134">
            <v>0</v>
          </cell>
          <cell r="E134">
            <v>10</v>
          </cell>
          <cell r="F134">
            <v>20</v>
          </cell>
          <cell r="G134">
            <v>9</v>
          </cell>
          <cell r="H134">
            <v>180</v>
          </cell>
        </row>
        <row r="135">
          <cell r="B135" t="str">
            <v>2023OCTUBRE</v>
          </cell>
          <cell r="C135">
            <v>31</v>
          </cell>
          <cell r="D135">
            <v>1</v>
          </cell>
          <cell r="E135">
            <v>8</v>
          </cell>
          <cell r="F135">
            <v>22</v>
          </cell>
          <cell r="G135">
            <v>9</v>
          </cell>
          <cell r="H135">
            <v>198</v>
          </cell>
        </row>
        <row r="136">
          <cell r="B136" t="str">
            <v>2023NOVIEMBRE</v>
          </cell>
          <cell r="C136">
            <v>30</v>
          </cell>
          <cell r="D136">
            <v>2</v>
          </cell>
          <cell r="E136">
            <v>8</v>
          </cell>
          <cell r="F136">
            <v>20</v>
          </cell>
          <cell r="G136">
            <v>9</v>
          </cell>
          <cell r="H136">
            <v>180</v>
          </cell>
        </row>
        <row r="137">
          <cell r="B137" t="str">
            <v>2023DICIEMBRE</v>
          </cell>
          <cell r="C137">
            <v>31</v>
          </cell>
          <cell r="D137">
            <v>2</v>
          </cell>
          <cell r="E137">
            <v>10</v>
          </cell>
          <cell r="F137">
            <v>19</v>
          </cell>
          <cell r="G137">
            <v>9</v>
          </cell>
          <cell r="H137">
            <v>171</v>
          </cell>
        </row>
        <row r="138">
          <cell r="B138" t="str">
            <v>2024ENERO</v>
          </cell>
          <cell r="C138">
            <v>31</v>
          </cell>
          <cell r="D138">
            <v>2</v>
          </cell>
          <cell r="E138">
            <v>8</v>
          </cell>
          <cell r="F138">
            <v>21</v>
          </cell>
          <cell r="G138">
            <v>9</v>
          </cell>
          <cell r="H138">
            <v>189</v>
          </cell>
        </row>
        <row r="139">
          <cell r="B139" t="str">
            <v>2024FEBRERO</v>
          </cell>
          <cell r="C139">
            <v>28</v>
          </cell>
          <cell r="D139">
            <v>0</v>
          </cell>
          <cell r="E139">
            <v>8</v>
          </cell>
          <cell r="F139">
            <v>20</v>
          </cell>
          <cell r="G139">
            <v>9</v>
          </cell>
          <cell r="H139">
            <v>180</v>
          </cell>
        </row>
        <row r="140">
          <cell r="B140" t="str">
            <v>2024MARZO</v>
          </cell>
          <cell r="C140">
            <v>31</v>
          </cell>
          <cell r="D140">
            <v>3</v>
          </cell>
          <cell r="E140">
            <v>9</v>
          </cell>
          <cell r="F140">
            <v>19</v>
          </cell>
          <cell r="G140">
            <v>9</v>
          </cell>
          <cell r="H140">
            <v>171</v>
          </cell>
        </row>
        <row r="141">
          <cell r="B141" t="str">
            <v>2024ABRIL</v>
          </cell>
          <cell r="C141">
            <v>30</v>
          </cell>
          <cell r="D141">
            <v>0</v>
          </cell>
          <cell r="E141">
            <v>9</v>
          </cell>
          <cell r="F141">
            <v>21</v>
          </cell>
          <cell r="G141">
            <v>9</v>
          </cell>
          <cell r="H141">
            <v>189</v>
          </cell>
        </row>
        <row r="142">
          <cell r="B142" t="str">
            <v>2024MAYO</v>
          </cell>
          <cell r="C142">
            <v>31</v>
          </cell>
          <cell r="D142">
            <v>1</v>
          </cell>
          <cell r="E142">
            <v>8</v>
          </cell>
          <cell r="F142">
            <v>22</v>
          </cell>
          <cell r="G142">
            <v>9</v>
          </cell>
          <cell r="H142">
            <v>198</v>
          </cell>
        </row>
        <row r="143">
          <cell r="B143" t="str">
            <v>2024JUNIO</v>
          </cell>
          <cell r="C143">
            <v>30</v>
          </cell>
          <cell r="D143">
            <v>2</v>
          </cell>
          <cell r="E143">
            <v>9</v>
          </cell>
          <cell r="F143">
            <v>19</v>
          </cell>
          <cell r="G143">
            <v>9</v>
          </cell>
          <cell r="H143">
            <v>171</v>
          </cell>
        </row>
        <row r="144">
          <cell r="B144" t="str">
            <v>2024JULIO</v>
          </cell>
          <cell r="C144">
            <v>31</v>
          </cell>
          <cell r="D144">
            <v>2</v>
          </cell>
          <cell r="E144">
            <v>9</v>
          </cell>
          <cell r="F144">
            <v>20</v>
          </cell>
          <cell r="G144">
            <v>9</v>
          </cell>
          <cell r="H144">
            <v>180</v>
          </cell>
        </row>
        <row r="145">
          <cell r="B145" t="str">
            <v>2024AGOSTO</v>
          </cell>
          <cell r="C145">
            <v>31</v>
          </cell>
          <cell r="D145">
            <v>2</v>
          </cell>
          <cell r="E145">
            <v>8</v>
          </cell>
          <cell r="F145">
            <v>21</v>
          </cell>
          <cell r="G145">
            <v>9</v>
          </cell>
          <cell r="H145">
            <v>189</v>
          </cell>
        </row>
        <row r="146">
          <cell r="B146" t="str">
            <v>2024SEPTIEMBRE</v>
          </cell>
          <cell r="C146">
            <v>30</v>
          </cell>
          <cell r="D146">
            <v>0</v>
          </cell>
          <cell r="E146">
            <v>10</v>
          </cell>
          <cell r="F146">
            <v>20</v>
          </cell>
          <cell r="G146">
            <v>9</v>
          </cell>
          <cell r="H146">
            <v>180</v>
          </cell>
        </row>
        <row r="147">
          <cell r="B147" t="str">
            <v>2024OCTUBRE</v>
          </cell>
          <cell r="C147">
            <v>31</v>
          </cell>
          <cell r="D147">
            <v>1</v>
          </cell>
          <cell r="E147">
            <v>8</v>
          </cell>
          <cell r="F147">
            <v>22</v>
          </cell>
          <cell r="G147">
            <v>9</v>
          </cell>
          <cell r="H147">
            <v>198</v>
          </cell>
        </row>
        <row r="148">
          <cell r="B148" t="str">
            <v>2024NOVIEMBRE</v>
          </cell>
          <cell r="C148">
            <v>30</v>
          </cell>
          <cell r="D148">
            <v>2</v>
          </cell>
          <cell r="E148">
            <v>8</v>
          </cell>
          <cell r="F148">
            <v>20</v>
          </cell>
          <cell r="G148">
            <v>9</v>
          </cell>
          <cell r="H148">
            <v>180</v>
          </cell>
        </row>
        <row r="149">
          <cell r="B149" t="str">
            <v>2024DICIEMBRE</v>
          </cell>
          <cell r="C149">
            <v>31</v>
          </cell>
          <cell r="D149">
            <v>2</v>
          </cell>
          <cell r="E149">
            <v>10</v>
          </cell>
          <cell r="F149">
            <v>19</v>
          </cell>
          <cell r="G149">
            <v>9</v>
          </cell>
          <cell r="H149">
            <v>171</v>
          </cell>
        </row>
        <row r="150">
          <cell r="B150" t="str">
            <v>2025ENERO</v>
          </cell>
          <cell r="C150">
            <v>31</v>
          </cell>
          <cell r="D150">
            <v>2</v>
          </cell>
          <cell r="E150">
            <v>8</v>
          </cell>
          <cell r="F150">
            <v>21</v>
          </cell>
          <cell r="G150">
            <v>9</v>
          </cell>
          <cell r="H150">
            <v>189</v>
          </cell>
        </row>
        <row r="151">
          <cell r="B151" t="str">
            <v>2025FEBRERO</v>
          </cell>
          <cell r="C151">
            <v>28</v>
          </cell>
          <cell r="D151">
            <v>0</v>
          </cell>
          <cell r="E151">
            <v>8</v>
          </cell>
          <cell r="F151">
            <v>20</v>
          </cell>
          <cell r="G151">
            <v>9</v>
          </cell>
          <cell r="H151">
            <v>180</v>
          </cell>
        </row>
        <row r="152">
          <cell r="B152" t="str">
            <v>2025MARZO</v>
          </cell>
          <cell r="C152">
            <v>31</v>
          </cell>
          <cell r="D152">
            <v>3</v>
          </cell>
          <cell r="E152">
            <v>9</v>
          </cell>
          <cell r="F152">
            <v>19</v>
          </cell>
          <cell r="G152">
            <v>9</v>
          </cell>
          <cell r="H152">
            <v>171</v>
          </cell>
        </row>
        <row r="153">
          <cell r="B153" t="str">
            <v>2025ABRIL</v>
          </cell>
          <cell r="C153">
            <v>30</v>
          </cell>
          <cell r="D153">
            <v>0</v>
          </cell>
          <cell r="E153">
            <v>9</v>
          </cell>
          <cell r="F153">
            <v>21</v>
          </cell>
          <cell r="G153">
            <v>9</v>
          </cell>
          <cell r="H153">
            <v>189</v>
          </cell>
        </row>
        <row r="154">
          <cell r="B154" t="str">
            <v>2025MAYO</v>
          </cell>
          <cell r="C154">
            <v>31</v>
          </cell>
          <cell r="D154">
            <v>1</v>
          </cell>
          <cell r="E154">
            <v>8</v>
          </cell>
          <cell r="F154">
            <v>22</v>
          </cell>
          <cell r="G154">
            <v>9</v>
          </cell>
          <cell r="H154">
            <v>198</v>
          </cell>
        </row>
        <row r="155">
          <cell r="B155" t="str">
            <v>2025JUNIO</v>
          </cell>
          <cell r="C155">
            <v>30</v>
          </cell>
          <cell r="D155">
            <v>2</v>
          </cell>
          <cell r="E155">
            <v>9</v>
          </cell>
          <cell r="F155">
            <v>19</v>
          </cell>
          <cell r="G155">
            <v>9</v>
          </cell>
          <cell r="H155">
            <v>171</v>
          </cell>
        </row>
        <row r="156">
          <cell r="B156" t="str">
            <v>2025JULIO</v>
          </cell>
          <cell r="C156">
            <v>31</v>
          </cell>
          <cell r="D156">
            <v>2</v>
          </cell>
          <cell r="E156">
            <v>9</v>
          </cell>
          <cell r="F156">
            <v>20</v>
          </cell>
          <cell r="G156">
            <v>9</v>
          </cell>
          <cell r="H156">
            <v>180</v>
          </cell>
        </row>
        <row r="157">
          <cell r="B157" t="str">
            <v>2025AGOSTO</v>
          </cell>
          <cell r="C157">
            <v>31</v>
          </cell>
          <cell r="D157">
            <v>2</v>
          </cell>
          <cell r="E157">
            <v>8</v>
          </cell>
          <cell r="F157">
            <v>21</v>
          </cell>
          <cell r="G157">
            <v>9</v>
          </cell>
          <cell r="H157">
            <v>189</v>
          </cell>
        </row>
        <row r="158">
          <cell r="B158" t="str">
            <v>2025SEPTIEMBRE</v>
          </cell>
          <cell r="C158">
            <v>30</v>
          </cell>
          <cell r="D158">
            <v>0</v>
          </cell>
          <cell r="E158">
            <v>10</v>
          </cell>
          <cell r="F158">
            <v>20</v>
          </cell>
          <cell r="G158">
            <v>9</v>
          </cell>
          <cell r="H158">
            <v>180</v>
          </cell>
        </row>
        <row r="159">
          <cell r="B159" t="str">
            <v>2025OCTUBRE</v>
          </cell>
          <cell r="C159">
            <v>31</v>
          </cell>
          <cell r="D159">
            <v>1</v>
          </cell>
          <cell r="E159">
            <v>8</v>
          </cell>
          <cell r="F159">
            <v>22</v>
          </cell>
          <cell r="G159">
            <v>9</v>
          </cell>
          <cell r="H159">
            <v>198</v>
          </cell>
        </row>
        <row r="160">
          <cell r="B160" t="str">
            <v>2025NOVIEMBRE</v>
          </cell>
          <cell r="C160">
            <v>30</v>
          </cell>
          <cell r="D160">
            <v>2</v>
          </cell>
          <cell r="E160">
            <v>8</v>
          </cell>
          <cell r="F160">
            <v>20</v>
          </cell>
          <cell r="G160">
            <v>9</v>
          </cell>
          <cell r="H160">
            <v>180</v>
          </cell>
        </row>
        <row r="161">
          <cell r="B161" t="str">
            <v>2025DICIEMBRE</v>
          </cell>
          <cell r="C161">
            <v>31</v>
          </cell>
          <cell r="D161">
            <v>2</v>
          </cell>
          <cell r="E161">
            <v>10</v>
          </cell>
          <cell r="F161">
            <v>19</v>
          </cell>
          <cell r="G161">
            <v>9</v>
          </cell>
          <cell r="H161">
            <v>171</v>
          </cell>
        </row>
      </sheetData>
      <sheetData sheetId="31" refreshError="1"/>
      <sheetData sheetId="3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
      <sheetName val="Parametros"/>
      <sheetName val="Precios Alimentos"/>
      <sheetName val="Precios_leche_UHT"/>
      <sheetName val="Costo de Ing de Prep"/>
      <sheetName val="Resumen Preparaciones"/>
      <sheetName val="Factor de Conversión"/>
      <sheetName val="Menú"/>
      <sheetName val="Salarios de Ref"/>
      <sheetName val="Estanda T.H."/>
      <sheetName val="Componentes T.H."/>
      <sheetName val="Centros P y C"/>
      <sheetName val="Hoja1"/>
      <sheetName val="Estandar Menaje"/>
      <sheetName val="Resumen De Menaje"/>
      <sheetName val="Resumen Costos"/>
      <sheetName val="Analisis de Costos"/>
      <sheetName val="Analisis microbiologico"/>
      <sheetName val="configuración"/>
      <sheetName val="Indices empleados y Parametros"/>
      <sheetName val="calendario"/>
      <sheetName val="datos entrada"/>
      <sheetName val="costes no sspp"/>
      <sheetName val="hw&amp;sw"/>
      <sheetName val="datos maestros"/>
      <sheetName val="tasas"/>
      <sheetName val="cash flow (cop)"/>
      <sheetName val="dashboard"/>
      <sheetName val="parámetros"/>
      <sheetName val="mex95ib"/>
    </sheetNames>
    <sheetDataSet>
      <sheetData sheetId="0"/>
      <sheetData sheetId="1"/>
      <sheetData sheetId="2">
        <row r="5031">
          <cell r="A5031" t="str">
            <v>Aceite girasol</v>
          </cell>
        </row>
        <row r="5032">
          <cell r="A5032" t="str">
            <v>Aceite soya</v>
          </cell>
        </row>
        <row r="5033">
          <cell r="A5033" t="str">
            <v>Aceite vegetal mezcla</v>
          </cell>
        </row>
        <row r="5034">
          <cell r="A5034" t="str">
            <v>Acelga</v>
          </cell>
        </row>
        <row r="5035">
          <cell r="A5035" t="str">
            <v>Aguacate común</v>
          </cell>
        </row>
        <row r="5036">
          <cell r="A5036" t="str">
            <v>Aguacate Hass</v>
          </cell>
        </row>
        <row r="5037">
          <cell r="A5037" t="str">
            <v>Aguacate papelillo</v>
          </cell>
        </row>
        <row r="5038">
          <cell r="A5038" t="str">
            <v>Ahuyama</v>
          </cell>
        </row>
        <row r="5039">
          <cell r="A5039" t="str">
            <v>Ají dulce</v>
          </cell>
        </row>
        <row r="5040">
          <cell r="A5040" t="str">
            <v>Ají topito dulce</v>
          </cell>
        </row>
        <row r="5041">
          <cell r="A5041" t="str">
            <v>Ajo</v>
          </cell>
        </row>
        <row r="5042">
          <cell r="A5042" t="str">
            <v>Ajo importado</v>
          </cell>
        </row>
        <row r="5043">
          <cell r="A5043" t="str">
            <v>Alas de pollo con costillar</v>
          </cell>
        </row>
        <row r="5044">
          <cell r="A5044" t="str">
            <v>Alas de pollo sin costillar</v>
          </cell>
        </row>
        <row r="5045">
          <cell r="A5045" t="str">
            <v>Almejas con concha</v>
          </cell>
        </row>
        <row r="5046">
          <cell r="A5046" t="str">
            <v>Almejas sin concha</v>
          </cell>
        </row>
        <row r="5047">
          <cell r="A5047" t="str">
            <v>Apio</v>
          </cell>
        </row>
        <row r="5048">
          <cell r="A5048" t="str">
            <v>Arracacha amarilla</v>
          </cell>
        </row>
        <row r="5049">
          <cell r="A5049" t="str">
            <v>Arracacha blanca</v>
          </cell>
        </row>
        <row r="5050">
          <cell r="A5050" t="str">
            <v>Arroz de primera</v>
          </cell>
        </row>
        <row r="5051">
          <cell r="A5051" t="str">
            <v>Arroz de segunda</v>
          </cell>
        </row>
        <row r="5052">
          <cell r="A5052" t="str">
            <v>Arroz excelso</v>
          </cell>
        </row>
        <row r="5053">
          <cell r="A5053" t="str">
            <v>Arroz sopa cristal</v>
          </cell>
        </row>
        <row r="5054">
          <cell r="A5054" t="str">
            <v>Arveja amarilla seca importada</v>
          </cell>
        </row>
        <row r="5055">
          <cell r="A5055" t="str">
            <v>Arveja enlatada</v>
          </cell>
        </row>
        <row r="5056">
          <cell r="A5056" t="str">
            <v>Arveja verde en vaina</v>
          </cell>
        </row>
        <row r="5057">
          <cell r="A5057" t="str">
            <v>Arveja verde en vaina pastusa</v>
          </cell>
        </row>
        <row r="5058">
          <cell r="A5058" t="str">
            <v>Arveja verde seca importada</v>
          </cell>
        </row>
        <row r="5059">
          <cell r="A5059" t="str">
            <v>Avena en hojuelas</v>
          </cell>
        </row>
        <row r="5060">
          <cell r="A5060" t="str">
            <v>Avena molida</v>
          </cell>
        </row>
        <row r="5061">
          <cell r="A5061" t="str">
            <v>Azúcar morena</v>
          </cell>
        </row>
        <row r="5062">
          <cell r="A5062" t="str">
            <v>Azúcar refinada</v>
          </cell>
        </row>
        <row r="5063">
          <cell r="A5063" t="str">
            <v>Azúcar sulfitada</v>
          </cell>
        </row>
        <row r="5064">
          <cell r="A5064" t="str">
            <v>Badea</v>
          </cell>
        </row>
        <row r="5065">
          <cell r="A5065" t="str">
            <v>Bagre rayado en postas congelado</v>
          </cell>
        </row>
        <row r="5066">
          <cell r="A5066" t="str">
            <v>Bagre rayado entero congelado</v>
          </cell>
        </row>
        <row r="5067">
          <cell r="A5067" t="str">
            <v>Bagre rayado entero fresco</v>
          </cell>
        </row>
        <row r="5068">
          <cell r="A5068" t="str">
            <v>Banano bocadillo</v>
          </cell>
        </row>
        <row r="5069">
          <cell r="A5069" t="str">
            <v>Banano criollo</v>
          </cell>
        </row>
        <row r="5070">
          <cell r="A5070" t="str">
            <v>Banano Urabá</v>
          </cell>
        </row>
        <row r="5071">
          <cell r="A5071" t="str">
            <v>Berenjena</v>
          </cell>
        </row>
        <row r="5072">
          <cell r="A5072" t="str">
            <v>Blanquillo entero fresco</v>
          </cell>
        </row>
        <row r="5073">
          <cell r="A5073" t="str">
            <v>Bocachico criollo fresco</v>
          </cell>
        </row>
        <row r="5074">
          <cell r="A5074" t="str">
            <v>Bocachico importado congelado</v>
          </cell>
        </row>
        <row r="5075">
          <cell r="A5075" t="str">
            <v>Bocadillo veleño</v>
          </cell>
        </row>
        <row r="5076">
          <cell r="A5076" t="str">
            <v>Borojó</v>
          </cell>
        </row>
        <row r="5077">
          <cell r="A5077" t="str">
            <v>Breva</v>
          </cell>
        </row>
        <row r="5078">
          <cell r="A5078" t="str">
            <v>Brócoli</v>
          </cell>
        </row>
        <row r="5079">
          <cell r="A5079" t="str">
            <v>Cachama de cultivo fresca</v>
          </cell>
        </row>
        <row r="5080">
          <cell r="A5080" t="str">
            <v>Café instantáneo</v>
          </cell>
        </row>
        <row r="5081">
          <cell r="A5081" t="str">
            <v>Café molido</v>
          </cell>
        </row>
        <row r="5082">
          <cell r="A5082" t="str">
            <v>Calabacín</v>
          </cell>
        </row>
        <row r="5083">
          <cell r="A5083" t="str">
            <v>Calabaza</v>
          </cell>
        </row>
        <row r="5084">
          <cell r="A5084" t="str">
            <v>Calamar anillos</v>
          </cell>
        </row>
        <row r="5085">
          <cell r="A5085" t="str">
            <v>Calamar blanco entero</v>
          </cell>
        </row>
        <row r="5086">
          <cell r="A5086" t="str">
            <v>Calamar morado entero</v>
          </cell>
        </row>
        <row r="5087">
          <cell r="A5087" t="str">
            <v>Camarón tigre precocido seco</v>
          </cell>
        </row>
        <row r="5088">
          <cell r="A5088" t="str">
            <v>Camarón tití precocido seco</v>
          </cell>
        </row>
        <row r="5089">
          <cell r="A5089" t="str">
            <v>Capaz Magdalena fresco</v>
          </cell>
        </row>
        <row r="5090">
          <cell r="A5090" t="str">
            <v>Carne de cerdo en canal</v>
          </cell>
        </row>
        <row r="5091">
          <cell r="A5091" t="str">
            <v>Carne de cerdo, brazo con hueso</v>
          </cell>
        </row>
        <row r="5092">
          <cell r="A5092" t="str">
            <v>Carne de cerdo, brazo sin hueso</v>
          </cell>
        </row>
        <row r="5093">
          <cell r="A5093" t="str">
            <v>Carne de cerdo, cabeza de lomo</v>
          </cell>
        </row>
        <row r="5094">
          <cell r="A5094" t="str">
            <v>Carne de cerdo, costilla</v>
          </cell>
        </row>
        <row r="5095">
          <cell r="A5095" t="str">
            <v>Carne de cerdo, espinazo</v>
          </cell>
        </row>
        <row r="5096">
          <cell r="A5096" t="str">
            <v>Carne de cerdo, lomo con hueso</v>
          </cell>
        </row>
        <row r="5097">
          <cell r="A5097" t="str">
            <v>Carne de cerdo, lomo sin hueso</v>
          </cell>
        </row>
        <row r="5098">
          <cell r="A5098" t="str">
            <v>Carne de cerdo, pernil con hueso</v>
          </cell>
        </row>
        <row r="5099">
          <cell r="A5099" t="str">
            <v>Carne de cerdo, pernil sin hueso</v>
          </cell>
        </row>
        <row r="5100">
          <cell r="A5100" t="str">
            <v>Carne de cerdo, tocino barriga</v>
          </cell>
        </row>
        <row r="5101">
          <cell r="A5101" t="str">
            <v>Carne de cerdo, tocino papada</v>
          </cell>
        </row>
        <row r="5102">
          <cell r="A5102" t="str">
            <v>Carne de res en canal</v>
          </cell>
        </row>
        <row r="5103">
          <cell r="A5103" t="str">
            <v>Carne de res molida, murillo</v>
          </cell>
        </row>
        <row r="5104">
          <cell r="A5104" t="str">
            <v>Carne de res, bola de brazo</v>
          </cell>
        </row>
        <row r="5105">
          <cell r="A5105" t="str">
            <v>Carne de res, bola de pierna</v>
          </cell>
        </row>
        <row r="5106">
          <cell r="A5106" t="str">
            <v>Carne de res, bota</v>
          </cell>
        </row>
        <row r="5107">
          <cell r="A5107" t="str">
            <v>Carne de res, cadera</v>
          </cell>
        </row>
        <row r="5108">
          <cell r="A5108" t="str">
            <v>Carne de res, centro de pierna</v>
          </cell>
        </row>
        <row r="5109">
          <cell r="A5109" t="str">
            <v>Carne de res, chatas</v>
          </cell>
        </row>
        <row r="5110">
          <cell r="A5110" t="str">
            <v>Carne de res, cogote</v>
          </cell>
        </row>
        <row r="5111">
          <cell r="A5111" t="str">
            <v>Carne de res, costilla</v>
          </cell>
        </row>
        <row r="5112">
          <cell r="A5112" t="str">
            <v>Carne de res, falda</v>
          </cell>
        </row>
        <row r="5113">
          <cell r="A5113" t="str">
            <v>Carne de res, lomo de brazo</v>
          </cell>
        </row>
        <row r="5114">
          <cell r="A5114" t="str">
            <v>Carne de res, lomo fino</v>
          </cell>
        </row>
        <row r="5115">
          <cell r="A5115" t="str">
            <v>Carne de res, morrillo</v>
          </cell>
        </row>
        <row r="5116">
          <cell r="A5116" t="str">
            <v>Carne de res, muchacho</v>
          </cell>
        </row>
        <row r="5117">
          <cell r="A5117" t="str">
            <v>Carne de res, murillo</v>
          </cell>
        </row>
        <row r="5118">
          <cell r="A5118" t="str">
            <v>Carne de res, pecho</v>
          </cell>
        </row>
        <row r="5119">
          <cell r="A5119" t="str">
            <v>Carne de res, punta de anca</v>
          </cell>
        </row>
        <row r="5120">
          <cell r="A5120" t="str">
            <v>Carne de res, sobrebarriga</v>
          </cell>
        </row>
        <row r="5121">
          <cell r="A5121" t="str">
            <v>Cazuela de mariscos (paquete)</v>
          </cell>
        </row>
        <row r="5122">
          <cell r="A5122" t="str">
            <v>Cebolla cabezona blanca</v>
          </cell>
        </row>
        <row r="5123">
          <cell r="A5123" t="str">
            <v>Cebolla cabezona blanca bogotana</v>
          </cell>
        </row>
        <row r="5124">
          <cell r="A5124" t="str">
            <v>Cebolla cabezona blanca ecuatoriana</v>
          </cell>
        </row>
        <row r="5125">
          <cell r="A5125" t="str">
            <v>Cebolla cabezona blanca importada</v>
          </cell>
        </row>
        <row r="5126">
          <cell r="A5126" t="str">
            <v>Cebolla cabezona blanca pastusa</v>
          </cell>
        </row>
        <row r="5127">
          <cell r="A5127" t="str">
            <v>Cebolla cabezona blanca peruana</v>
          </cell>
        </row>
        <row r="5128">
          <cell r="A5128" t="str">
            <v>Cebolla cabezona roja ecuatoriana</v>
          </cell>
        </row>
        <row r="5129">
          <cell r="A5129" t="str">
            <v>Cebolla cabezona roja importada</v>
          </cell>
        </row>
        <row r="5130">
          <cell r="A5130" t="str">
            <v>Cebolla cabezona roja ocañera</v>
          </cell>
        </row>
        <row r="5131">
          <cell r="A5131" t="str">
            <v>Cebolla cabezona roja peruana</v>
          </cell>
        </row>
        <row r="5132">
          <cell r="A5132" t="str">
            <v>Cebolla junca</v>
          </cell>
        </row>
        <row r="5133">
          <cell r="A5133" t="str">
            <v>Cebolla junca Aquitania</v>
          </cell>
        </row>
        <row r="5134">
          <cell r="A5134" t="str">
            <v>Cebolla junca Berlín</v>
          </cell>
        </row>
        <row r="5135">
          <cell r="A5135" t="str">
            <v>Cebolla junca pastusa</v>
          </cell>
        </row>
        <row r="5136">
          <cell r="A5136" t="str">
            <v>Cebolla junca Tenerife</v>
          </cell>
        </row>
        <row r="5137">
          <cell r="A5137" t="str">
            <v>Cebolla puerro</v>
          </cell>
        </row>
        <row r="5138">
          <cell r="A5138" t="str">
            <v>Cebollín chino</v>
          </cell>
        </row>
        <row r="5139">
          <cell r="A5139" t="str">
            <v>Chocolate amargo</v>
          </cell>
        </row>
        <row r="5140">
          <cell r="A5140" t="str">
            <v>Chocolate dulce</v>
          </cell>
        </row>
        <row r="5141">
          <cell r="A5141" t="str">
            <v>Chocolate instantáneo</v>
          </cell>
        </row>
        <row r="5142">
          <cell r="A5142" t="str">
            <v>Chócolo mazorca</v>
          </cell>
        </row>
        <row r="5143">
          <cell r="A5143" t="str">
            <v>Cidra</v>
          </cell>
        </row>
        <row r="5144">
          <cell r="A5144" t="str">
            <v>Cilantro</v>
          </cell>
        </row>
        <row r="5145">
          <cell r="A5145" t="str">
            <v>Ciruela negra chilena</v>
          </cell>
        </row>
        <row r="5146">
          <cell r="A5146" t="str">
            <v>Ciruela roja</v>
          </cell>
        </row>
        <row r="5147">
          <cell r="A5147" t="str">
            <v>Coco</v>
          </cell>
        </row>
        <row r="5148">
          <cell r="A5148" t="str">
            <v>Coles</v>
          </cell>
        </row>
        <row r="5149">
          <cell r="A5149" t="str">
            <v>Coliflor</v>
          </cell>
        </row>
        <row r="5150">
          <cell r="A5150" t="str">
            <v>Color (bolsita)</v>
          </cell>
        </row>
        <row r="5151">
          <cell r="A5151" t="str">
            <v>Corvina, filete congelado nacional</v>
          </cell>
        </row>
        <row r="5152">
          <cell r="A5152" t="str">
            <v>Cuchuco de cebada</v>
          </cell>
        </row>
        <row r="5153">
          <cell r="A5153" t="str">
            <v>Cuchuco de maíz</v>
          </cell>
        </row>
        <row r="5154">
          <cell r="A5154" t="str">
            <v>Curuba larga</v>
          </cell>
        </row>
        <row r="5155">
          <cell r="A5155" t="str">
            <v>Curuba redonda</v>
          </cell>
        </row>
        <row r="5156">
          <cell r="A5156" t="str">
            <v>Durazno importado</v>
          </cell>
        </row>
        <row r="5157">
          <cell r="A5157" t="str">
            <v>Durazno nacional</v>
          </cell>
        </row>
        <row r="5158">
          <cell r="A5158" t="str">
            <v>Espinaca</v>
          </cell>
        </row>
        <row r="5159">
          <cell r="A5159" t="str">
            <v>Fécula de maíz</v>
          </cell>
        </row>
        <row r="5160">
          <cell r="A5160" t="str">
            <v>Feijoa</v>
          </cell>
        </row>
        <row r="5161">
          <cell r="A5161" t="str">
            <v>Fresa</v>
          </cell>
        </row>
        <row r="5162">
          <cell r="A5162" t="str">
            <v>Fríjol bolón</v>
          </cell>
        </row>
        <row r="5163">
          <cell r="A5163" t="str">
            <v>Fríjol cabeza negra importado</v>
          </cell>
        </row>
        <row r="5164">
          <cell r="A5164" t="str">
            <v>Fríjol cabeza negra nacional</v>
          </cell>
        </row>
        <row r="5165">
          <cell r="A5165" t="str">
            <v>Fríjol calima</v>
          </cell>
        </row>
        <row r="5166">
          <cell r="A5166" t="str">
            <v>Fríjol cargamanto blanco</v>
          </cell>
        </row>
        <row r="5167">
          <cell r="A5167" t="str">
            <v>Fríjol cargamanto rojo</v>
          </cell>
        </row>
        <row r="5168">
          <cell r="A5168" t="str">
            <v>Fríjol enlatado</v>
          </cell>
        </row>
        <row r="5169">
          <cell r="A5169" t="str">
            <v>Fríjol nima calima</v>
          </cell>
        </row>
        <row r="5170">
          <cell r="A5170" t="str">
            <v>Fríjol palomito importado</v>
          </cell>
        </row>
        <row r="5171">
          <cell r="A5171" t="str">
            <v>Fríjol radical</v>
          </cell>
        </row>
        <row r="5172">
          <cell r="A5172" t="str">
            <v>Fríjol Uribe rosado</v>
          </cell>
        </row>
        <row r="5173">
          <cell r="A5173" t="str">
            <v>Fríjol verde bolo</v>
          </cell>
        </row>
        <row r="5174">
          <cell r="A5174" t="str">
            <v>Fríjol verde cargamanto</v>
          </cell>
        </row>
        <row r="5175">
          <cell r="A5175" t="str">
            <v>Fríjol verde en vaina</v>
          </cell>
        </row>
        <row r="5176">
          <cell r="A5176" t="str">
            <v>Fríjol Zaragoza</v>
          </cell>
        </row>
        <row r="5177">
          <cell r="A5177" t="str">
            <v>Galletas dulces redondas con crema</v>
          </cell>
        </row>
        <row r="5178">
          <cell r="A5178" t="str">
            <v>Galletas saladas 3 tacos</v>
          </cell>
        </row>
        <row r="5179">
          <cell r="A5179" t="str">
            <v>Garbanzo importado</v>
          </cell>
        </row>
        <row r="5180">
          <cell r="A5180" t="str">
            <v>Gelatina</v>
          </cell>
        </row>
        <row r="5181">
          <cell r="A5181" t="str">
            <v>Granadilla</v>
          </cell>
        </row>
        <row r="5182">
          <cell r="A5182" t="str">
            <v>Guanábana</v>
          </cell>
        </row>
        <row r="5183">
          <cell r="A5183" t="str">
            <v>Guayaba agria</v>
          </cell>
        </row>
        <row r="5184">
          <cell r="A5184" t="str">
            <v>Guayaba común</v>
          </cell>
        </row>
        <row r="5185">
          <cell r="A5185" t="str">
            <v>Guayaba manzana</v>
          </cell>
        </row>
        <row r="5186">
          <cell r="A5186" t="str">
            <v>Guayaba pera</v>
          </cell>
        </row>
        <row r="5187">
          <cell r="A5187" t="str">
            <v>Gulupa</v>
          </cell>
        </row>
        <row r="5188">
          <cell r="A5188" t="str">
            <v>Haba verde</v>
          </cell>
        </row>
        <row r="5189">
          <cell r="A5189" t="str">
            <v>Habichuela</v>
          </cell>
        </row>
        <row r="5190">
          <cell r="A5190" t="str">
            <v>Habichuela larga</v>
          </cell>
        </row>
        <row r="5191">
          <cell r="A5191" t="str">
            <v>Harina de trigo</v>
          </cell>
        </row>
        <row r="5192">
          <cell r="A5192" t="str">
            <v>Harina precocida de maíz</v>
          </cell>
        </row>
        <row r="5193">
          <cell r="A5193" t="str">
            <v>Higo</v>
          </cell>
        </row>
        <row r="5194">
          <cell r="A5194" t="str">
            <v>Huevo blanco A</v>
          </cell>
        </row>
        <row r="5195">
          <cell r="A5195" t="str">
            <v>Huevo blanco AA</v>
          </cell>
        </row>
        <row r="5196">
          <cell r="A5196" t="str">
            <v>Huevo blanco B</v>
          </cell>
        </row>
        <row r="5197">
          <cell r="A5197" t="str">
            <v>Huevo blanco extra</v>
          </cell>
        </row>
        <row r="5198">
          <cell r="A5198" t="str">
            <v>Huevo rojo A</v>
          </cell>
        </row>
        <row r="5199">
          <cell r="A5199" t="str">
            <v>Huevo rojo AA</v>
          </cell>
        </row>
        <row r="5200">
          <cell r="A5200" t="str">
            <v>Huevo rojo B</v>
          </cell>
        </row>
        <row r="5201">
          <cell r="A5201" t="str">
            <v>Huevo rojo extra</v>
          </cell>
        </row>
        <row r="5202">
          <cell r="A5202" t="str">
            <v>Jugo de frutas</v>
          </cell>
        </row>
        <row r="5203">
          <cell r="A5203" t="str">
            <v>Jugo instantáneo (sobre)</v>
          </cell>
        </row>
        <row r="5204">
          <cell r="A5204" t="str">
            <v>Kiwi</v>
          </cell>
        </row>
        <row r="5205">
          <cell r="A5205" t="str">
            <v>Langostino 16-20</v>
          </cell>
        </row>
        <row r="5206">
          <cell r="A5206" t="str">
            <v>Langostino U12</v>
          </cell>
        </row>
        <row r="5207">
          <cell r="A5207" t="str">
            <v>Leche en polvo</v>
          </cell>
        </row>
        <row r="5208">
          <cell r="A5208" t="str">
            <v>Lechuga Batavia</v>
          </cell>
        </row>
        <row r="5209">
          <cell r="A5209" t="str">
            <v>Lechuga crespa morada</v>
          </cell>
        </row>
        <row r="5210">
          <cell r="A5210" t="str">
            <v>Lechuga crespa verde</v>
          </cell>
        </row>
        <row r="5211">
          <cell r="A5211" t="str">
            <v>Lenteja importada</v>
          </cell>
        </row>
        <row r="5212">
          <cell r="A5212" t="str">
            <v>Limón común</v>
          </cell>
        </row>
        <row r="5213">
          <cell r="A5213" t="str">
            <v>Limón común Ciénaga</v>
          </cell>
        </row>
        <row r="5214">
          <cell r="A5214" t="str">
            <v>Limón común valluno</v>
          </cell>
        </row>
        <row r="5215">
          <cell r="A5215" t="str">
            <v>Limón mandarino</v>
          </cell>
        </row>
        <row r="5216">
          <cell r="A5216" t="str">
            <v>Limón Tahití</v>
          </cell>
        </row>
        <row r="5217">
          <cell r="A5217" t="str">
            <v>Lomitos de atún en lata</v>
          </cell>
        </row>
        <row r="5218">
          <cell r="A5218" t="str">
            <v>Lulo</v>
          </cell>
        </row>
        <row r="5219">
          <cell r="A5219" t="str">
            <v>Maíz amarillo cáscara</v>
          </cell>
        </row>
        <row r="5220">
          <cell r="A5220" t="str">
            <v>Maíz amarillo trillado</v>
          </cell>
        </row>
        <row r="5221">
          <cell r="A5221" t="str">
            <v>Maíz blanco cáscara</v>
          </cell>
        </row>
        <row r="5222">
          <cell r="A5222" t="str">
            <v>Maíz blanco retrillado</v>
          </cell>
        </row>
        <row r="5223">
          <cell r="A5223" t="str">
            <v>Maíz blanco trillado</v>
          </cell>
        </row>
        <row r="5224">
          <cell r="A5224" t="str">
            <v>Maíz pira</v>
          </cell>
        </row>
        <row r="5225">
          <cell r="A5225" t="str">
            <v>Mandarina arrayana</v>
          </cell>
        </row>
        <row r="5226">
          <cell r="A5226" t="str">
            <v>Mandarina común</v>
          </cell>
        </row>
        <row r="5227">
          <cell r="A5227" t="str">
            <v>Mandarina Oneco</v>
          </cell>
        </row>
        <row r="5228">
          <cell r="A5228" t="str">
            <v>Mango común</v>
          </cell>
        </row>
        <row r="5229">
          <cell r="A5229" t="str">
            <v>Mango de azúcar</v>
          </cell>
        </row>
        <row r="5230">
          <cell r="A5230" t="str">
            <v>Mango manzano</v>
          </cell>
        </row>
        <row r="5231">
          <cell r="A5231" t="str">
            <v>Mango reina</v>
          </cell>
        </row>
        <row r="5232">
          <cell r="A5232" t="str">
            <v>Mango Tommy</v>
          </cell>
        </row>
        <row r="5233">
          <cell r="A5233" t="str">
            <v>Manteca</v>
          </cell>
        </row>
        <row r="5234">
          <cell r="A5234" t="str">
            <v>Manzana nacional</v>
          </cell>
        </row>
        <row r="5235">
          <cell r="A5235" t="str">
            <v>Manzana roja importada</v>
          </cell>
        </row>
        <row r="5236">
          <cell r="A5236" t="str">
            <v>Manzana royal gala importada</v>
          </cell>
        </row>
        <row r="5237">
          <cell r="A5237" t="str">
            <v>Manzana verde importada</v>
          </cell>
        </row>
        <row r="5238">
          <cell r="A5238" t="str">
            <v>Maracuyá</v>
          </cell>
        </row>
        <row r="5239">
          <cell r="A5239" t="str">
            <v>Maracuyá antioqueño</v>
          </cell>
        </row>
        <row r="5240">
          <cell r="A5240" t="str">
            <v>Maracuyá huilense</v>
          </cell>
        </row>
        <row r="5241">
          <cell r="A5241" t="str">
            <v>Maracuyá santandereano</v>
          </cell>
        </row>
        <row r="5242">
          <cell r="A5242" t="str">
            <v>Maracuyá valluno</v>
          </cell>
        </row>
        <row r="5243">
          <cell r="A5243" t="str">
            <v>Margarina</v>
          </cell>
        </row>
        <row r="5244">
          <cell r="A5244" t="str">
            <v>Mayonesa doy pack</v>
          </cell>
        </row>
        <row r="5245">
          <cell r="A5245" t="str">
            <v>Melón Cantalup</v>
          </cell>
        </row>
        <row r="5246">
          <cell r="A5246" t="str">
            <v>Menudencias de pollo</v>
          </cell>
        </row>
        <row r="5247">
          <cell r="A5247" t="str">
            <v>Merluza, filete importado</v>
          </cell>
        </row>
        <row r="5248">
          <cell r="A5248" t="str">
            <v>Merluza, filete nacional</v>
          </cell>
        </row>
        <row r="5249">
          <cell r="A5249" t="str">
            <v>Mojarra lora entera congelada</v>
          </cell>
        </row>
        <row r="5250">
          <cell r="A5250" t="str">
            <v>Mojarra lora entera fresca</v>
          </cell>
        </row>
        <row r="5251">
          <cell r="A5251" t="str">
            <v>Mora de Castilla</v>
          </cell>
        </row>
        <row r="5252">
          <cell r="A5252" t="str">
            <v>Muslos de pollo con rabadilla</v>
          </cell>
        </row>
        <row r="5253">
          <cell r="A5253" t="str">
            <v>Muslos de pollo sin rabadilla</v>
          </cell>
        </row>
        <row r="5254">
          <cell r="A5254" t="str">
            <v>Naranja común</v>
          </cell>
        </row>
        <row r="5255">
          <cell r="A5255" t="str">
            <v>Naranja Valencia</v>
          </cell>
        </row>
        <row r="5256">
          <cell r="A5256" t="str">
            <v>Nicuro fresco</v>
          </cell>
        </row>
        <row r="5257">
          <cell r="A5257" t="str">
            <v>Ñame criollo</v>
          </cell>
        </row>
        <row r="5258">
          <cell r="A5258" t="str">
            <v>Ñame diamante</v>
          </cell>
        </row>
        <row r="5259">
          <cell r="A5259" t="str">
            <v>Ñame espino</v>
          </cell>
        </row>
        <row r="5260">
          <cell r="A5260" t="str">
            <v>Palmitos de mar</v>
          </cell>
        </row>
        <row r="5261">
          <cell r="A5261" t="str">
            <v>Panela cuadrada blanca</v>
          </cell>
        </row>
        <row r="5262">
          <cell r="A5262" t="str">
            <v>Panela cuadrada morena</v>
          </cell>
        </row>
        <row r="5263">
          <cell r="A5263" t="str">
            <v>Panela redonda morena</v>
          </cell>
        </row>
        <row r="5264">
          <cell r="A5264" t="str">
            <v>Papa capira</v>
          </cell>
        </row>
        <row r="5265">
          <cell r="A5265" t="str">
            <v>Papa capira carmenia</v>
          </cell>
        </row>
        <row r="5266">
          <cell r="A5266" t="str">
            <v>Papa criolla limpia</v>
          </cell>
        </row>
        <row r="5267">
          <cell r="A5267" t="str">
            <v>Papa criolla para lavar</v>
          </cell>
        </row>
        <row r="5268">
          <cell r="A5268" t="str">
            <v>Papa criolla sucia</v>
          </cell>
        </row>
        <row r="5269">
          <cell r="A5269" t="str">
            <v>Papa frita</v>
          </cell>
        </row>
        <row r="5270">
          <cell r="A5270" t="str">
            <v>Papa ICA-Huila</v>
          </cell>
        </row>
        <row r="5271">
          <cell r="A5271" t="str">
            <v>Papa Morasurco</v>
          </cell>
        </row>
        <row r="5272">
          <cell r="A5272" t="str">
            <v>Papa nevada</v>
          </cell>
        </row>
        <row r="5273">
          <cell r="A5273" t="str">
            <v>Papa parda para lavar</v>
          </cell>
        </row>
        <row r="5274">
          <cell r="A5274" t="str">
            <v>Papa parda pastusa</v>
          </cell>
        </row>
        <row r="5275">
          <cell r="A5275" t="str">
            <v>Papa Puracé</v>
          </cell>
        </row>
        <row r="5276">
          <cell r="A5276" t="str">
            <v>Papa R-12 negra</v>
          </cell>
        </row>
        <row r="5277">
          <cell r="A5277" t="str">
            <v>Papa R-12 roja</v>
          </cell>
        </row>
        <row r="5278">
          <cell r="A5278" t="str">
            <v>Papa roja peruana</v>
          </cell>
        </row>
        <row r="5279">
          <cell r="A5279" t="str">
            <v>Papa ruby</v>
          </cell>
        </row>
        <row r="5280">
          <cell r="A5280" t="str">
            <v>Papa sabanera</v>
          </cell>
        </row>
        <row r="5281">
          <cell r="A5281" t="str">
            <v>Papa San Félix</v>
          </cell>
        </row>
        <row r="5282">
          <cell r="A5282" t="str">
            <v>Papa suprema</v>
          </cell>
        </row>
        <row r="5283">
          <cell r="A5283" t="str">
            <v>Papa tocana</v>
          </cell>
        </row>
        <row r="5284">
          <cell r="A5284" t="str">
            <v>Papa tocarreña</v>
          </cell>
        </row>
        <row r="5285">
          <cell r="A5285" t="str">
            <v>Papa única</v>
          </cell>
        </row>
        <row r="5286">
          <cell r="A5286" t="str">
            <v>Papaya hawaiana</v>
          </cell>
        </row>
        <row r="5287">
          <cell r="A5287" t="str">
            <v>Papaya Maradol</v>
          </cell>
        </row>
        <row r="5288">
          <cell r="A5288" t="str">
            <v>Papaya melona</v>
          </cell>
        </row>
        <row r="5289">
          <cell r="A5289" t="str">
            <v>Papaya redonda</v>
          </cell>
        </row>
        <row r="5290">
          <cell r="A5290" t="str">
            <v>Pargo rojo entero congelado</v>
          </cell>
        </row>
        <row r="5291">
          <cell r="A5291" t="str">
            <v>Pargo rojo entero fresco</v>
          </cell>
        </row>
        <row r="5292">
          <cell r="A5292" t="str">
            <v>Pargo rojo platero</v>
          </cell>
        </row>
        <row r="5293">
          <cell r="A5293" t="str">
            <v>Pastas alimenticias</v>
          </cell>
        </row>
        <row r="5294">
          <cell r="A5294" t="str">
            <v>Patilla</v>
          </cell>
        </row>
        <row r="5295">
          <cell r="A5295" t="str">
            <v>Pechuga de pollo</v>
          </cell>
        </row>
        <row r="5296">
          <cell r="A5296" t="str">
            <v>Pepino cohombro</v>
          </cell>
        </row>
        <row r="5297">
          <cell r="A5297" t="str">
            <v>Pepino de rellenar</v>
          </cell>
        </row>
        <row r="5298">
          <cell r="A5298" t="str">
            <v>Pera importada</v>
          </cell>
        </row>
        <row r="5299">
          <cell r="A5299" t="str">
            <v>Perejil</v>
          </cell>
        </row>
        <row r="5300">
          <cell r="A5300" t="str">
            <v>Pescado cabezas</v>
          </cell>
        </row>
        <row r="5301">
          <cell r="A5301" t="str">
            <v>Pierna pernil con rabadilla</v>
          </cell>
        </row>
        <row r="5302">
          <cell r="A5302" t="str">
            <v>Pierna pernil sin rabadilla</v>
          </cell>
        </row>
        <row r="5303">
          <cell r="A5303" t="str">
            <v>Piernas de pollo</v>
          </cell>
        </row>
        <row r="5304">
          <cell r="A5304" t="str">
            <v>Pimentón</v>
          </cell>
        </row>
        <row r="5305">
          <cell r="A5305" t="str">
            <v>Pimentón verde</v>
          </cell>
        </row>
        <row r="5306">
          <cell r="A5306" t="str">
            <v>Piña gold</v>
          </cell>
        </row>
        <row r="5307">
          <cell r="A5307" t="str">
            <v>Piña manzana</v>
          </cell>
        </row>
        <row r="5308">
          <cell r="A5308" t="str">
            <v>Piña perolera</v>
          </cell>
        </row>
        <row r="5309">
          <cell r="A5309" t="str">
            <v>Pitahaya</v>
          </cell>
        </row>
        <row r="5310">
          <cell r="A5310" t="str">
            <v>Plátano comino</v>
          </cell>
        </row>
        <row r="5311">
          <cell r="A5311" t="str">
            <v>Plátano dominico hartón maduro</v>
          </cell>
        </row>
        <row r="5312">
          <cell r="A5312" t="str">
            <v>Plátano dominico hartón verde</v>
          </cell>
        </row>
        <row r="5313">
          <cell r="A5313" t="str">
            <v>Plátano dominico verde</v>
          </cell>
        </row>
        <row r="5314">
          <cell r="A5314" t="str">
            <v>Plátano guineo</v>
          </cell>
        </row>
        <row r="5315">
          <cell r="A5315" t="str">
            <v>Plátano hartón maduro</v>
          </cell>
        </row>
        <row r="5316">
          <cell r="A5316" t="str">
            <v>Plátano hartón verde</v>
          </cell>
        </row>
        <row r="5317">
          <cell r="A5317" t="str">
            <v>Plátano hartón verde llanero</v>
          </cell>
        </row>
        <row r="5318">
          <cell r="A5318" t="str">
            <v>Pollo entero congelado sin vísceras</v>
          </cell>
        </row>
        <row r="5319">
          <cell r="A5319" t="str">
            <v>Pollo entero fresco con vísceras</v>
          </cell>
        </row>
        <row r="5320">
          <cell r="A5320" t="str">
            <v>Pollo entero fresco sin vísceras</v>
          </cell>
        </row>
        <row r="5321">
          <cell r="A5321" t="str">
            <v>Queso campesino</v>
          </cell>
        </row>
        <row r="5322">
          <cell r="A5322" t="str">
            <v>Queso costeño</v>
          </cell>
        </row>
        <row r="5323">
          <cell r="A5323" t="str">
            <v>Queso cuajada</v>
          </cell>
        </row>
        <row r="5324">
          <cell r="A5324" t="str">
            <v>Queso doble crema</v>
          </cell>
        </row>
        <row r="5325">
          <cell r="A5325" t="str">
            <v>Rabadillas de pollo</v>
          </cell>
        </row>
        <row r="5326">
          <cell r="A5326" t="str">
            <v>Rábano rojo</v>
          </cell>
        </row>
        <row r="5327">
          <cell r="A5327" t="str">
            <v>Remolacha</v>
          </cell>
        </row>
        <row r="5328">
          <cell r="A5328" t="str">
            <v>Remolacha bogotana</v>
          </cell>
        </row>
        <row r="5329">
          <cell r="A5329" t="str">
            <v>Remolacha regional</v>
          </cell>
        </row>
        <row r="5330">
          <cell r="A5330" t="str">
            <v>Repollo blanco</v>
          </cell>
        </row>
        <row r="5331">
          <cell r="A5331" t="str">
            <v>Repollo blanco bogotano</v>
          </cell>
        </row>
        <row r="5332">
          <cell r="A5332" t="str">
            <v>Repollo blanco valluno</v>
          </cell>
        </row>
        <row r="5333">
          <cell r="A5333" t="str">
            <v>Repollo morado</v>
          </cell>
        </row>
        <row r="5334">
          <cell r="A5334" t="str">
            <v>Repollo morado antioqueño</v>
          </cell>
        </row>
        <row r="5335">
          <cell r="A5335" t="str">
            <v>Repollo verde regional</v>
          </cell>
        </row>
        <row r="5336">
          <cell r="A5336" t="str">
            <v>Róbalo, filete congelado</v>
          </cell>
        </row>
        <row r="5337">
          <cell r="A5337" t="str">
            <v>Sal yodada</v>
          </cell>
        </row>
        <row r="5338">
          <cell r="A5338" t="str">
            <v>Salmón, filete congelado</v>
          </cell>
        </row>
        <row r="5339">
          <cell r="A5339" t="str">
            <v>Salsa de tomate doy pack</v>
          </cell>
        </row>
        <row r="5340">
          <cell r="A5340" t="str">
            <v>Sardinas en lata</v>
          </cell>
        </row>
        <row r="5341">
          <cell r="A5341" t="str">
            <v>Sierra entera congelada</v>
          </cell>
        </row>
        <row r="5342">
          <cell r="A5342" t="str">
            <v>Sopa de pollo (caja)</v>
          </cell>
        </row>
        <row r="5343">
          <cell r="A5343" t="str">
            <v>Tangelo</v>
          </cell>
        </row>
        <row r="5344">
          <cell r="A5344" t="str">
            <v>Tilapia roja entera congelada</v>
          </cell>
        </row>
        <row r="5345">
          <cell r="A5345" t="str">
            <v>Tilapia roja entera fresca</v>
          </cell>
        </row>
        <row r="5346">
          <cell r="A5346" t="str">
            <v>Tilapia, filete congelado</v>
          </cell>
        </row>
        <row r="5347">
          <cell r="A5347" t="str">
            <v>Tilapia, lomitos</v>
          </cell>
        </row>
        <row r="5348">
          <cell r="A5348" t="str">
            <v>Tomate chonto</v>
          </cell>
        </row>
        <row r="5349">
          <cell r="A5349" t="str">
            <v>Tomate chonto antioqueño</v>
          </cell>
        </row>
        <row r="5350">
          <cell r="A5350" t="str">
            <v>Tomate chonto valluno</v>
          </cell>
        </row>
        <row r="5351">
          <cell r="A5351" t="str">
            <v>Tomate de árbol</v>
          </cell>
        </row>
        <row r="5352">
          <cell r="A5352" t="str">
            <v>Tomate larga vida</v>
          </cell>
        </row>
        <row r="5353">
          <cell r="A5353" t="str">
            <v>Tomate riñón</v>
          </cell>
        </row>
        <row r="5354">
          <cell r="A5354" t="str">
            <v>Tomate riñón valluno</v>
          </cell>
        </row>
        <row r="5355">
          <cell r="A5355" t="str">
            <v>Tomate Riogrande</v>
          </cell>
        </row>
        <row r="5356">
          <cell r="A5356" t="str">
            <v>Tomate Riogrande bumangués</v>
          </cell>
        </row>
        <row r="5357">
          <cell r="A5357" t="str">
            <v>Tomate Riogrande ocañero</v>
          </cell>
        </row>
        <row r="5358">
          <cell r="A5358" t="str">
            <v>Toyo blanco, filete congelado</v>
          </cell>
        </row>
        <row r="5359">
          <cell r="A5359" t="str">
            <v>Trucha en corte mariposa</v>
          </cell>
        </row>
        <row r="5360">
          <cell r="A5360" t="str">
            <v>Trucha entera fresca</v>
          </cell>
        </row>
        <row r="5361">
          <cell r="A5361" t="str">
            <v>Uchuva con cáscara</v>
          </cell>
        </row>
        <row r="5362">
          <cell r="A5362" t="str">
            <v>Ulluco</v>
          </cell>
        </row>
        <row r="5363">
          <cell r="A5363" t="str">
            <v>Uva importada</v>
          </cell>
        </row>
        <row r="5364">
          <cell r="A5364" t="str">
            <v>Uva Isabela</v>
          </cell>
        </row>
        <row r="5365">
          <cell r="A5365" t="str">
            <v>Uva negra</v>
          </cell>
        </row>
        <row r="5366">
          <cell r="A5366" t="str">
            <v>Uva red globe nacional</v>
          </cell>
        </row>
        <row r="5367">
          <cell r="A5367" t="str">
            <v>Uva roja</v>
          </cell>
        </row>
        <row r="5368">
          <cell r="A5368" t="str">
            <v>Uva verde</v>
          </cell>
        </row>
        <row r="5369">
          <cell r="A5369" t="str">
            <v>Vinagre</v>
          </cell>
        </row>
        <row r="5370">
          <cell r="A5370" t="str">
            <v>Yuca chirosa</v>
          </cell>
        </row>
        <row r="5371">
          <cell r="A5371" t="str">
            <v>Yuca criolla</v>
          </cell>
        </row>
        <row r="5372">
          <cell r="A5372" t="str">
            <v>Yuca ICA</v>
          </cell>
        </row>
        <row r="5373">
          <cell r="A5373" t="str">
            <v>Yuca llanera</v>
          </cell>
        </row>
        <row r="5374">
          <cell r="A5374" t="str">
            <v>Zanahoria</v>
          </cell>
        </row>
        <row r="5375">
          <cell r="A5375" t="str">
            <v>Zanahoria bogotana</v>
          </cell>
        </row>
        <row r="5376">
          <cell r="A5376" t="str">
            <v>Zanahoria</v>
          </cell>
        </row>
        <row r="5377">
          <cell r="A5377" t="str">
            <v>Zanahoria bogotana</v>
          </cell>
        </row>
        <row r="5378">
          <cell r="A5378" t="str">
            <v>Leche entera UHT</v>
          </cell>
        </row>
        <row r="5379">
          <cell r="A5379" t="str">
            <v>Mortadela</v>
          </cell>
        </row>
        <row r="5380">
          <cell r="A5380" t="str">
            <v>Salchicha</v>
          </cell>
        </row>
        <row r="5381">
          <cell r="A5381" t="str">
            <v>Arepa</v>
          </cell>
        </row>
        <row r="5382">
          <cell r="A5382" t="str">
            <v>Calado Mantequilla</v>
          </cell>
        </row>
        <row r="5383">
          <cell r="A5383" t="str">
            <v>Pan Blanco</v>
          </cell>
        </row>
        <row r="5384">
          <cell r="A5384" t="str">
            <v>Pan Integral</v>
          </cell>
        </row>
        <row r="5385">
          <cell r="A5385" t="str">
            <v>Pan queso</v>
          </cell>
        </row>
        <row r="5386">
          <cell r="A5386" t="str">
            <v xml:space="preserve">Mogolla </v>
          </cell>
        </row>
        <row r="5387">
          <cell r="A5387" t="str">
            <v>Mojicón Con azúcar</v>
          </cell>
        </row>
        <row r="5388">
          <cell r="A5388" t="str">
            <v>Pan Tostadas</v>
          </cell>
        </row>
        <row r="5389">
          <cell r="A5389" t="str">
            <v>Mermeladas</v>
          </cell>
        </row>
        <row r="5390">
          <cell r="A5390" t="str">
            <v>Te</v>
          </cell>
        </row>
        <row r="5391">
          <cell r="A5391" t="str">
            <v>Pan coco</v>
          </cell>
        </row>
        <row r="5392">
          <cell r="A5392" t="str">
            <v>Queso campesino</v>
          </cell>
        </row>
        <row r="5393">
          <cell r="A5393" t="str">
            <v>Pan blandito</v>
          </cell>
        </row>
        <row r="5394">
          <cell r="A5394" t="str">
            <v>Calado</v>
          </cell>
        </row>
        <row r="5395">
          <cell r="A5395" t="str">
            <v>Pan mantequilla</v>
          </cell>
        </row>
        <row r="5396">
          <cell r="A5396" t="str">
            <v>Galleta de sal</v>
          </cell>
        </row>
        <row r="5397">
          <cell r="A5397" t="str">
            <v>Arepa de choclo</v>
          </cell>
        </row>
        <row r="5398">
          <cell r="A5398" t="str">
            <v>Salchichon</v>
          </cell>
        </row>
        <row r="5399">
          <cell r="A5399" t="str">
            <v>Jamón</v>
          </cell>
        </row>
        <row r="5400">
          <cell r="A5400" t="str">
            <v>Crema de leche</v>
          </cell>
        </row>
        <row r="5401">
          <cell r="A5401" t="str">
            <v>Guascas</v>
          </cell>
        </row>
        <row r="5402">
          <cell r="A5402" t="str">
            <v>-</v>
          </cell>
        </row>
        <row r="5403">
          <cell r="A5403" t="str">
            <v>-</v>
          </cell>
        </row>
        <row r="5404">
          <cell r="A5404" t="str">
            <v>-</v>
          </cell>
        </row>
        <row r="5405">
          <cell r="A5405" t="str">
            <v>-</v>
          </cell>
        </row>
        <row r="5406">
          <cell r="A5406" t="str">
            <v>-</v>
          </cell>
        </row>
        <row r="5407">
          <cell r="A5407" t="str">
            <v>-</v>
          </cell>
        </row>
        <row r="5408">
          <cell r="A5408" t="str">
            <v>-</v>
          </cell>
        </row>
        <row r="5409">
          <cell r="A5409" t="str">
            <v>-</v>
          </cell>
        </row>
        <row r="5410">
          <cell r="A5410" t="str">
            <v>-</v>
          </cell>
        </row>
        <row r="5411">
          <cell r="A5411" t="str">
            <v>-</v>
          </cell>
        </row>
        <row r="5412">
          <cell r="A5412" t="str">
            <v>-</v>
          </cell>
        </row>
        <row r="5413">
          <cell r="A5413" t="str">
            <v>-</v>
          </cell>
        </row>
        <row r="5414">
          <cell r="A5414" t="str">
            <v>-</v>
          </cell>
        </row>
        <row r="5415">
          <cell r="A5415" t="str">
            <v>-</v>
          </cell>
        </row>
        <row r="5416">
          <cell r="A5416" t="str">
            <v>-</v>
          </cell>
        </row>
        <row r="5417">
          <cell r="A5417" t="str">
            <v>-</v>
          </cell>
        </row>
        <row r="5418">
          <cell r="A5418" t="str">
            <v>-</v>
          </cell>
        </row>
        <row r="5419">
          <cell r="A5419" t="str">
            <v>-</v>
          </cell>
        </row>
        <row r="5420">
          <cell r="A5420" t="str">
            <v>-</v>
          </cell>
        </row>
        <row r="5421">
          <cell r="A5421" t="str">
            <v>-</v>
          </cell>
        </row>
        <row r="5422">
          <cell r="A5422" t="str">
            <v>-</v>
          </cell>
        </row>
        <row r="5423">
          <cell r="A5423" t="str">
            <v>-</v>
          </cell>
        </row>
        <row r="5424">
          <cell r="A5424" t="str">
            <v>-</v>
          </cell>
        </row>
        <row r="5425">
          <cell r="A5425" t="str">
            <v>-</v>
          </cell>
        </row>
        <row r="5426">
          <cell r="A5426" t="str">
            <v>-</v>
          </cell>
        </row>
        <row r="5427">
          <cell r="A5427" t="str">
            <v>-</v>
          </cell>
        </row>
        <row r="5428">
          <cell r="A5428" t="str">
            <v>-</v>
          </cell>
        </row>
        <row r="5429">
          <cell r="A5429" t="str">
            <v>-</v>
          </cell>
        </row>
        <row r="5430">
          <cell r="A5430" t="str">
            <v>-</v>
          </cell>
        </row>
        <row r="5431">
          <cell r="A5431" t="str">
            <v>-</v>
          </cell>
        </row>
        <row r="5432">
          <cell r="A5432" t="str">
            <v>-</v>
          </cell>
        </row>
        <row r="5433">
          <cell r="A5433" t="str">
            <v>-</v>
          </cell>
        </row>
        <row r="5434">
          <cell r="A5434" t="str">
            <v>-</v>
          </cell>
        </row>
        <row r="5435">
          <cell r="A5435" t="str">
            <v>-</v>
          </cell>
        </row>
        <row r="5436">
          <cell r="A5436" t="str">
            <v>-</v>
          </cell>
        </row>
        <row r="5437">
          <cell r="A5437" t="str">
            <v>-</v>
          </cell>
        </row>
        <row r="5438">
          <cell r="A5438" t="str">
            <v>-</v>
          </cell>
        </row>
        <row r="5439">
          <cell r="A5439" t="str">
            <v>-</v>
          </cell>
        </row>
        <row r="5440">
          <cell r="A5440" t="str">
            <v>-</v>
          </cell>
        </row>
        <row r="5441">
          <cell r="A5441" t="str">
            <v>-</v>
          </cell>
        </row>
        <row r="5442">
          <cell r="A5442" t="str">
            <v>-</v>
          </cell>
        </row>
        <row r="5443">
          <cell r="A5443" t="str">
            <v>-</v>
          </cell>
        </row>
        <row r="5444">
          <cell r="A5444" t="str">
            <v>-</v>
          </cell>
        </row>
        <row r="5445">
          <cell r="A5445" t="str">
            <v>-</v>
          </cell>
        </row>
        <row r="5446">
          <cell r="A5446" t="str">
            <v>-</v>
          </cell>
        </row>
        <row r="5447">
          <cell r="A5447" t="str">
            <v>-</v>
          </cell>
        </row>
        <row r="5448">
          <cell r="A5448" t="str">
            <v>-</v>
          </cell>
        </row>
        <row r="5449">
          <cell r="A5449" t="str">
            <v>-</v>
          </cell>
        </row>
        <row r="5450">
          <cell r="A5450" t="str">
            <v>-</v>
          </cell>
        </row>
        <row r="5451">
          <cell r="A5451" t="str">
            <v>-</v>
          </cell>
        </row>
        <row r="5452">
          <cell r="A5452" t="str">
            <v>-</v>
          </cell>
        </row>
        <row r="5453">
          <cell r="A5453" t="str">
            <v>-</v>
          </cell>
        </row>
        <row r="5454">
          <cell r="A5454" t="str">
            <v>-</v>
          </cell>
        </row>
        <row r="5455">
          <cell r="A5455" t="str">
            <v>-</v>
          </cell>
        </row>
        <row r="5456">
          <cell r="A5456" t="str">
            <v>-</v>
          </cell>
        </row>
        <row r="5457">
          <cell r="A5457" t="str">
            <v>-</v>
          </cell>
        </row>
        <row r="5458">
          <cell r="A5458" t="str">
            <v>-</v>
          </cell>
        </row>
        <row r="5459">
          <cell r="A5459" t="str">
            <v>-</v>
          </cell>
        </row>
        <row r="5460">
          <cell r="A5460" t="str">
            <v>-</v>
          </cell>
        </row>
        <row r="5461">
          <cell r="A5461" t="str">
            <v>-</v>
          </cell>
        </row>
        <row r="5462">
          <cell r="A5462" t="str">
            <v>-</v>
          </cell>
        </row>
        <row r="5463">
          <cell r="A5463" t="str">
            <v>-</v>
          </cell>
        </row>
        <row r="5464">
          <cell r="A5464" t="str">
            <v>-</v>
          </cell>
        </row>
        <row r="5465">
          <cell r="A5465" t="str">
            <v>-</v>
          </cell>
        </row>
        <row r="5466">
          <cell r="A5466" t="str">
            <v>-</v>
          </cell>
        </row>
        <row r="5467">
          <cell r="A5467" t="str">
            <v>-</v>
          </cell>
        </row>
        <row r="5468">
          <cell r="A5468" t="str">
            <v>-</v>
          </cell>
        </row>
        <row r="5469">
          <cell r="A5469" t="str">
            <v>-</v>
          </cell>
        </row>
        <row r="5470">
          <cell r="A5470" t="str">
            <v>-</v>
          </cell>
        </row>
        <row r="5471">
          <cell r="A5471" t="str">
            <v>-</v>
          </cell>
        </row>
        <row r="5472">
          <cell r="A5472" t="str">
            <v>-</v>
          </cell>
        </row>
        <row r="5473">
          <cell r="A5473" t="str">
            <v>-</v>
          </cell>
        </row>
        <row r="5474">
          <cell r="A5474" t="str">
            <v>-</v>
          </cell>
        </row>
        <row r="5475">
          <cell r="A5475" t="str">
            <v>-</v>
          </cell>
        </row>
        <row r="5476">
          <cell r="A5476" t="str">
            <v>-</v>
          </cell>
        </row>
        <row r="5477">
          <cell r="A5477" t="str">
            <v>-</v>
          </cell>
        </row>
        <row r="5478">
          <cell r="A5478" t="str">
            <v>-</v>
          </cell>
        </row>
        <row r="5479">
          <cell r="A5479" t="str">
            <v>-</v>
          </cell>
        </row>
        <row r="5480">
          <cell r="A5480" t="str">
            <v>-</v>
          </cell>
        </row>
        <row r="5481">
          <cell r="A5481" t="str">
            <v>-</v>
          </cell>
        </row>
        <row r="5482">
          <cell r="A5482" t="str">
            <v>-</v>
          </cell>
        </row>
        <row r="5483">
          <cell r="A5483" t="str">
            <v>-</v>
          </cell>
        </row>
        <row r="5484">
          <cell r="A5484" t="str">
            <v>-</v>
          </cell>
        </row>
        <row r="5485">
          <cell r="A5485" t="str">
            <v>-</v>
          </cell>
        </row>
        <row r="5486">
          <cell r="A5486" t="str">
            <v>-</v>
          </cell>
        </row>
        <row r="5487">
          <cell r="A5487" t="str">
            <v>-</v>
          </cell>
        </row>
        <row r="5488">
          <cell r="A5488" t="str">
            <v>-</v>
          </cell>
        </row>
        <row r="5489">
          <cell r="A5489" t="str">
            <v>-</v>
          </cell>
        </row>
        <row r="5490">
          <cell r="A5490" t="str">
            <v>-</v>
          </cell>
        </row>
        <row r="5491">
          <cell r="A5491" t="str">
            <v>-</v>
          </cell>
        </row>
        <row r="5492">
          <cell r="A5492" t="str">
            <v>-</v>
          </cell>
        </row>
        <row r="5493">
          <cell r="A5493" t="str">
            <v>-</v>
          </cell>
        </row>
        <row r="5494">
          <cell r="A5494" t="str">
            <v>-</v>
          </cell>
        </row>
        <row r="5495">
          <cell r="A5495" t="str">
            <v>-</v>
          </cell>
        </row>
        <row r="5496">
          <cell r="A5496" t="str">
            <v>-</v>
          </cell>
        </row>
        <row r="5497">
          <cell r="A5497" t="str">
            <v>-</v>
          </cell>
        </row>
        <row r="5498">
          <cell r="A5498" t="str">
            <v>-</v>
          </cell>
        </row>
        <row r="5499">
          <cell r="A5499" t="str">
            <v>-</v>
          </cell>
        </row>
        <row r="5500">
          <cell r="A5500" t="str">
            <v>-</v>
          </cell>
        </row>
        <row r="5501">
          <cell r="A5501" t="str">
            <v>-</v>
          </cell>
        </row>
        <row r="5502">
          <cell r="A5502" t="str">
            <v>-</v>
          </cell>
        </row>
        <row r="5503">
          <cell r="A5503" t="str">
            <v>-</v>
          </cell>
        </row>
        <row r="5504">
          <cell r="A5504" t="str">
            <v>-</v>
          </cell>
        </row>
        <row r="5505">
          <cell r="A5505" t="str">
            <v>-</v>
          </cell>
        </row>
        <row r="5506">
          <cell r="A5506" t="str">
            <v>-</v>
          </cell>
        </row>
        <row r="5507">
          <cell r="A5507" t="str">
            <v>-</v>
          </cell>
        </row>
        <row r="5508">
          <cell r="A5508" t="str">
            <v>-</v>
          </cell>
        </row>
        <row r="5509">
          <cell r="A5509" t="str">
            <v>-</v>
          </cell>
        </row>
        <row r="5510">
          <cell r="A5510" t="str">
            <v>-</v>
          </cell>
        </row>
        <row r="5511">
          <cell r="A5511" t="str">
            <v>-</v>
          </cell>
        </row>
        <row r="5512">
          <cell r="A5512" t="str">
            <v>-</v>
          </cell>
        </row>
        <row r="5513">
          <cell r="A5513" t="str">
            <v>-</v>
          </cell>
        </row>
        <row r="5514">
          <cell r="A5514" t="str">
            <v>-</v>
          </cell>
        </row>
        <row r="5515">
          <cell r="A5515" t="str">
            <v>-</v>
          </cell>
        </row>
        <row r="5516">
          <cell r="A5516" t="str">
            <v>-</v>
          </cell>
        </row>
        <row r="5517">
          <cell r="A5517" t="str">
            <v>-</v>
          </cell>
        </row>
        <row r="5518">
          <cell r="A5518" t="str">
            <v>-</v>
          </cell>
        </row>
        <row r="5519">
          <cell r="A5519" t="str">
            <v>-</v>
          </cell>
        </row>
        <row r="5520">
          <cell r="A5520" t="str">
            <v>-</v>
          </cell>
        </row>
        <row r="5521">
          <cell r="A5521" t="str">
            <v>-</v>
          </cell>
        </row>
        <row r="5522">
          <cell r="A5522" t="str">
            <v>-</v>
          </cell>
        </row>
        <row r="5523">
          <cell r="A5523" t="str">
            <v>-</v>
          </cell>
        </row>
        <row r="5524">
          <cell r="A5524" t="str">
            <v>-</v>
          </cell>
        </row>
        <row r="5525">
          <cell r="A5525" t="str">
            <v>-</v>
          </cell>
        </row>
        <row r="5526">
          <cell r="A5526" t="str">
            <v>-</v>
          </cell>
        </row>
        <row r="5527">
          <cell r="A5527" t="str">
            <v>-</v>
          </cell>
        </row>
        <row r="5528">
          <cell r="A5528" t="str">
            <v>-</v>
          </cell>
        </row>
        <row r="5529">
          <cell r="A5529" t="str">
            <v>-</v>
          </cell>
        </row>
        <row r="5530">
          <cell r="A5530" t="str">
            <v>-</v>
          </cell>
        </row>
        <row r="5531">
          <cell r="A5531" t="str">
            <v>-</v>
          </cell>
        </row>
        <row r="5532">
          <cell r="A5532" t="str">
            <v>-</v>
          </cell>
        </row>
        <row r="5533">
          <cell r="A5533" t="str">
            <v>-</v>
          </cell>
        </row>
        <row r="5534">
          <cell r="A5534" t="str">
            <v>-</v>
          </cell>
        </row>
        <row r="5535">
          <cell r="A5535" t="str">
            <v>-</v>
          </cell>
        </row>
        <row r="5536">
          <cell r="A5536" t="str">
            <v>-</v>
          </cell>
        </row>
        <row r="5537">
          <cell r="A5537" t="str">
            <v>-</v>
          </cell>
        </row>
        <row r="5538">
          <cell r="A5538" t="str">
            <v>-</v>
          </cell>
        </row>
        <row r="5539">
          <cell r="A5539" t="str">
            <v>-</v>
          </cell>
        </row>
        <row r="5540">
          <cell r="A5540" t="str">
            <v>-</v>
          </cell>
        </row>
        <row r="5541">
          <cell r="A5541" t="str">
            <v>-</v>
          </cell>
        </row>
        <row r="5542">
          <cell r="A5542" t="str">
            <v>-</v>
          </cell>
        </row>
        <row r="5543">
          <cell r="A5543" t="str">
            <v>-</v>
          </cell>
        </row>
        <row r="5544">
          <cell r="A5544" t="str">
            <v>-</v>
          </cell>
        </row>
        <row r="5545">
          <cell r="A5545" t="str">
            <v>-</v>
          </cell>
        </row>
        <row r="5546">
          <cell r="A5546" t="str">
            <v>-</v>
          </cell>
        </row>
        <row r="5547">
          <cell r="A5547" t="str">
            <v>-</v>
          </cell>
        </row>
        <row r="5548">
          <cell r="A5548" t="str">
            <v>-</v>
          </cell>
        </row>
        <row r="5549">
          <cell r="A5549" t="str">
            <v>-</v>
          </cell>
        </row>
        <row r="5550">
          <cell r="A5550" t="str">
            <v>-</v>
          </cell>
        </row>
        <row r="5551">
          <cell r="A5551" t="str">
            <v>-</v>
          </cell>
        </row>
        <row r="5552">
          <cell r="A5552" t="str">
            <v>-</v>
          </cell>
        </row>
        <row r="5553">
          <cell r="A5553" t="str">
            <v>-</v>
          </cell>
        </row>
        <row r="5554">
          <cell r="A5554" t="str">
            <v>-</v>
          </cell>
        </row>
        <row r="5555">
          <cell r="A5555" t="str">
            <v>-</v>
          </cell>
        </row>
        <row r="5556">
          <cell r="A5556" t="str">
            <v>-</v>
          </cell>
        </row>
        <row r="5557">
          <cell r="A5557" t="str">
            <v>-</v>
          </cell>
        </row>
        <row r="5558">
          <cell r="A5558" t="str">
            <v>-</v>
          </cell>
        </row>
        <row r="5559">
          <cell r="A5559" t="str">
            <v>-</v>
          </cell>
        </row>
        <row r="5560">
          <cell r="A5560" t="str">
            <v>-</v>
          </cell>
        </row>
        <row r="5561">
          <cell r="A5561" t="str">
            <v>-</v>
          </cell>
        </row>
        <row r="5562">
          <cell r="A5562" t="str">
            <v>-</v>
          </cell>
        </row>
        <row r="5563">
          <cell r="A5563" t="str">
            <v>-</v>
          </cell>
        </row>
        <row r="5564">
          <cell r="A5564" t="str">
            <v>-</v>
          </cell>
        </row>
        <row r="5565">
          <cell r="A5565" t="str">
            <v>-</v>
          </cell>
        </row>
        <row r="5566">
          <cell r="A5566" t="str">
            <v>-</v>
          </cell>
        </row>
        <row r="5567">
          <cell r="A5567" t="str">
            <v>-</v>
          </cell>
        </row>
        <row r="5568">
          <cell r="A5568" t="str">
            <v>-</v>
          </cell>
        </row>
        <row r="5569">
          <cell r="A5569" t="str">
            <v>-</v>
          </cell>
        </row>
        <row r="5570">
          <cell r="A5570" t="str">
            <v>-</v>
          </cell>
        </row>
        <row r="5571">
          <cell r="A5571" t="str">
            <v>-</v>
          </cell>
        </row>
        <row r="5572">
          <cell r="A5572" t="str">
            <v>-</v>
          </cell>
        </row>
        <row r="5573">
          <cell r="A5573" t="str">
            <v>-</v>
          </cell>
        </row>
        <row r="5574">
          <cell r="A5574" t="str">
            <v>-</v>
          </cell>
        </row>
        <row r="5575">
          <cell r="A5575" t="str">
            <v>-</v>
          </cell>
        </row>
        <row r="5576">
          <cell r="A5576" t="str">
            <v>-</v>
          </cell>
        </row>
        <row r="5577">
          <cell r="A5577" t="str">
            <v>-</v>
          </cell>
        </row>
        <row r="5578">
          <cell r="A5578" t="str">
            <v>-</v>
          </cell>
        </row>
        <row r="5579">
          <cell r="A5579" t="str">
            <v>-</v>
          </cell>
        </row>
        <row r="5580">
          <cell r="A5580" t="str">
            <v>-</v>
          </cell>
        </row>
        <row r="5581">
          <cell r="A5581" t="str">
            <v>-</v>
          </cell>
        </row>
        <row r="5582">
          <cell r="A5582" t="str">
            <v>-</v>
          </cell>
        </row>
        <row r="5583">
          <cell r="A5583" t="str">
            <v>-</v>
          </cell>
        </row>
        <row r="5584">
          <cell r="A5584" t="str">
            <v>-</v>
          </cell>
        </row>
        <row r="5585">
          <cell r="A5585" t="str">
            <v>-</v>
          </cell>
        </row>
        <row r="5586">
          <cell r="A5586" t="str">
            <v>-</v>
          </cell>
        </row>
        <row r="5587">
          <cell r="A5587" t="str">
            <v>-</v>
          </cell>
        </row>
        <row r="5588">
          <cell r="A5588" t="str">
            <v>-</v>
          </cell>
        </row>
        <row r="5589">
          <cell r="A5589" t="str">
            <v>-</v>
          </cell>
        </row>
        <row r="5590">
          <cell r="A5590" t="str">
            <v>-</v>
          </cell>
        </row>
        <row r="5591">
          <cell r="A5591" t="str">
            <v>-</v>
          </cell>
        </row>
        <row r="5592">
          <cell r="A5592" t="str">
            <v>-</v>
          </cell>
        </row>
        <row r="5593">
          <cell r="A5593" t="str">
            <v>-</v>
          </cell>
        </row>
        <row r="5594">
          <cell r="A5594" t="str">
            <v>-</v>
          </cell>
        </row>
        <row r="5595">
          <cell r="A5595" t="str">
            <v>-</v>
          </cell>
        </row>
        <row r="5596">
          <cell r="A5596" t="str">
            <v>-</v>
          </cell>
        </row>
        <row r="5597">
          <cell r="A5597" t="str">
            <v>-</v>
          </cell>
        </row>
        <row r="5598">
          <cell r="A5598" t="str">
            <v>-</v>
          </cell>
        </row>
        <row r="5599">
          <cell r="A5599" t="str">
            <v>-</v>
          </cell>
        </row>
        <row r="5600">
          <cell r="A5600" t="str">
            <v>-</v>
          </cell>
        </row>
        <row r="5601">
          <cell r="A5601" t="str">
            <v>-</v>
          </cell>
        </row>
        <row r="5602">
          <cell r="A5602" t="str">
            <v>-</v>
          </cell>
        </row>
        <row r="5603">
          <cell r="A5603" t="str">
            <v>-</v>
          </cell>
        </row>
        <row r="5604">
          <cell r="A5604" t="str">
            <v>-</v>
          </cell>
        </row>
        <row r="5605">
          <cell r="A5605" t="str">
            <v>-</v>
          </cell>
        </row>
        <row r="5606">
          <cell r="A5606" t="str">
            <v>-</v>
          </cell>
        </row>
        <row r="5607">
          <cell r="A5607" t="str">
            <v>-</v>
          </cell>
        </row>
        <row r="5608">
          <cell r="A5608" t="str">
            <v>-</v>
          </cell>
        </row>
        <row r="5609">
          <cell r="A5609" t="str">
            <v>-</v>
          </cell>
        </row>
        <row r="5610">
          <cell r="A5610" t="str">
            <v>-</v>
          </cell>
        </row>
        <row r="5611">
          <cell r="A5611" t="str">
            <v>-</v>
          </cell>
        </row>
        <row r="5612">
          <cell r="A5612" t="str">
            <v>-</v>
          </cell>
        </row>
        <row r="5613">
          <cell r="A5613" t="str">
            <v>-</v>
          </cell>
        </row>
        <row r="5614">
          <cell r="A5614" t="str">
            <v>-</v>
          </cell>
        </row>
        <row r="5615">
          <cell r="A5615" t="str">
            <v>-</v>
          </cell>
        </row>
        <row r="5616">
          <cell r="A5616" t="str">
            <v>-</v>
          </cell>
        </row>
        <row r="5617">
          <cell r="A5617" t="str">
            <v>-</v>
          </cell>
        </row>
        <row r="5618">
          <cell r="A5618" t="str">
            <v>-</v>
          </cell>
        </row>
        <row r="5619">
          <cell r="A5619" t="str">
            <v>-</v>
          </cell>
        </row>
        <row r="5620">
          <cell r="A5620" t="str">
            <v>-</v>
          </cell>
        </row>
        <row r="5621">
          <cell r="A5621" t="str">
            <v>-</v>
          </cell>
        </row>
        <row r="5622">
          <cell r="A5622" t="str">
            <v>-</v>
          </cell>
        </row>
        <row r="5623">
          <cell r="A5623" t="str">
            <v>-</v>
          </cell>
        </row>
        <row r="5624">
          <cell r="A5624" t="str">
            <v>-</v>
          </cell>
        </row>
        <row r="5625">
          <cell r="A5625" t="str">
            <v>-</v>
          </cell>
        </row>
        <row r="5626">
          <cell r="A5626" t="str">
            <v>-</v>
          </cell>
        </row>
        <row r="5627">
          <cell r="A5627" t="str">
            <v>-</v>
          </cell>
        </row>
        <row r="5628">
          <cell r="A5628" t="str">
            <v>-</v>
          </cell>
        </row>
        <row r="5629">
          <cell r="A5629" t="str">
            <v>-</v>
          </cell>
        </row>
        <row r="5630">
          <cell r="A5630" t="str">
            <v>-</v>
          </cell>
        </row>
        <row r="5631">
          <cell r="A5631" t="str">
            <v>-</v>
          </cell>
        </row>
        <row r="5632">
          <cell r="A5632" t="str">
            <v>-</v>
          </cell>
        </row>
        <row r="5633">
          <cell r="A5633" t="str">
            <v>-</v>
          </cell>
        </row>
        <row r="5634">
          <cell r="A5634" t="str">
            <v>-</v>
          </cell>
        </row>
        <row r="5635">
          <cell r="A5635" t="str">
            <v>-</v>
          </cell>
        </row>
        <row r="5636">
          <cell r="A5636" t="str">
            <v>-</v>
          </cell>
        </row>
        <row r="5637">
          <cell r="A5637" t="str">
            <v>-</v>
          </cell>
        </row>
        <row r="5638">
          <cell r="A5638" t="str">
            <v>-</v>
          </cell>
        </row>
        <row r="5639">
          <cell r="A5639" t="str">
            <v>-</v>
          </cell>
        </row>
        <row r="5640">
          <cell r="A5640" t="str">
            <v>-</v>
          </cell>
        </row>
        <row r="5641">
          <cell r="A5641" t="str">
            <v>-</v>
          </cell>
        </row>
        <row r="5642">
          <cell r="A5642" t="str">
            <v>-</v>
          </cell>
        </row>
        <row r="5643">
          <cell r="A5643" t="str">
            <v>-</v>
          </cell>
        </row>
        <row r="5644">
          <cell r="A5644" t="str">
            <v>-</v>
          </cell>
        </row>
        <row r="5645">
          <cell r="A5645" t="str">
            <v>-</v>
          </cell>
        </row>
        <row r="5646">
          <cell r="A5646" t="str">
            <v>-</v>
          </cell>
        </row>
        <row r="5647">
          <cell r="A5647" t="str">
            <v>-</v>
          </cell>
        </row>
        <row r="5648">
          <cell r="A5648" t="str">
            <v>-</v>
          </cell>
        </row>
        <row r="5649">
          <cell r="A5649" t="str">
            <v>-</v>
          </cell>
        </row>
        <row r="5650">
          <cell r="A5650" t="str">
            <v>-</v>
          </cell>
        </row>
        <row r="5651">
          <cell r="A5651" t="str">
            <v>-</v>
          </cell>
        </row>
        <row r="5652">
          <cell r="A5652" t="str">
            <v>-</v>
          </cell>
        </row>
        <row r="5653">
          <cell r="A5653" t="str">
            <v>-</v>
          </cell>
        </row>
        <row r="5654">
          <cell r="A5654" t="str">
            <v>-</v>
          </cell>
        </row>
        <row r="5655">
          <cell r="A5655" t="str">
            <v>-</v>
          </cell>
        </row>
        <row r="5656">
          <cell r="A5656" t="str">
            <v>-</v>
          </cell>
        </row>
        <row r="5657">
          <cell r="A5657" t="str">
            <v>-</v>
          </cell>
        </row>
        <row r="5658">
          <cell r="A5658" t="str">
            <v>-</v>
          </cell>
        </row>
        <row r="5659">
          <cell r="A5659" t="str">
            <v>-</v>
          </cell>
        </row>
        <row r="5660">
          <cell r="A5660" t="str">
            <v>-</v>
          </cell>
        </row>
        <row r="5661">
          <cell r="A5661" t="str">
            <v>-</v>
          </cell>
        </row>
        <row r="5662">
          <cell r="A5662" t="str">
            <v>-</v>
          </cell>
        </row>
        <row r="5663">
          <cell r="A5663" t="str">
            <v>-</v>
          </cell>
        </row>
        <row r="5664">
          <cell r="A5664" t="str">
            <v>-</v>
          </cell>
        </row>
        <row r="5665">
          <cell r="A5665" t="str">
            <v>-</v>
          </cell>
        </row>
        <row r="5666">
          <cell r="A5666" t="str">
            <v>-</v>
          </cell>
        </row>
        <row r="5667">
          <cell r="A5667" t="str">
            <v>-</v>
          </cell>
        </row>
        <row r="5668">
          <cell r="A5668" t="str">
            <v>-</v>
          </cell>
        </row>
        <row r="5669">
          <cell r="A5669" t="str">
            <v>-</v>
          </cell>
        </row>
        <row r="5670">
          <cell r="A5670" t="str">
            <v>-</v>
          </cell>
        </row>
        <row r="5671">
          <cell r="A5671" t="str">
            <v>-</v>
          </cell>
        </row>
        <row r="5672">
          <cell r="A5672" t="str">
            <v>-</v>
          </cell>
        </row>
        <row r="5673">
          <cell r="A5673" t="str">
            <v>-</v>
          </cell>
        </row>
        <row r="5674">
          <cell r="A5674" t="str">
            <v>-</v>
          </cell>
        </row>
        <row r="5675">
          <cell r="A5675" t="str">
            <v>-</v>
          </cell>
        </row>
        <row r="5676">
          <cell r="A5676" t="str">
            <v>-</v>
          </cell>
        </row>
        <row r="5677">
          <cell r="A5677" t="str">
            <v>-</v>
          </cell>
        </row>
        <row r="5678">
          <cell r="A5678" t="str">
            <v>-</v>
          </cell>
        </row>
        <row r="5679">
          <cell r="A5679" t="str">
            <v>-</v>
          </cell>
        </row>
        <row r="5680">
          <cell r="A5680" t="str">
            <v>-</v>
          </cell>
        </row>
        <row r="5681">
          <cell r="A5681" t="str">
            <v>-</v>
          </cell>
        </row>
        <row r="5682">
          <cell r="A5682" t="str">
            <v>-</v>
          </cell>
        </row>
        <row r="5683">
          <cell r="A5683" t="str">
            <v>-</v>
          </cell>
        </row>
        <row r="5684">
          <cell r="A5684" t="str">
            <v>-</v>
          </cell>
        </row>
        <row r="5685">
          <cell r="A5685" t="str">
            <v>-</v>
          </cell>
        </row>
        <row r="5686">
          <cell r="A5686" t="str">
            <v>-</v>
          </cell>
        </row>
        <row r="5687">
          <cell r="A5687" t="str">
            <v>-</v>
          </cell>
        </row>
        <row r="5688">
          <cell r="A5688" t="str">
            <v>-</v>
          </cell>
        </row>
        <row r="5689">
          <cell r="A5689" t="str">
            <v>-</v>
          </cell>
        </row>
        <row r="5690">
          <cell r="A5690" t="str">
            <v>-</v>
          </cell>
        </row>
        <row r="5691">
          <cell r="A5691" t="str">
            <v>-</v>
          </cell>
        </row>
        <row r="5692">
          <cell r="A5692" t="str">
            <v>-</v>
          </cell>
        </row>
        <row r="5693">
          <cell r="A5693" t="str">
            <v>-</v>
          </cell>
        </row>
        <row r="5694">
          <cell r="A5694" t="str">
            <v>-</v>
          </cell>
        </row>
        <row r="5695">
          <cell r="A5695" t="str">
            <v>-</v>
          </cell>
        </row>
        <row r="5696">
          <cell r="A5696" t="str">
            <v>-</v>
          </cell>
        </row>
        <row r="5697">
          <cell r="A5697" t="str">
            <v>-</v>
          </cell>
        </row>
        <row r="5698">
          <cell r="A5698" t="str">
            <v>-</v>
          </cell>
        </row>
        <row r="5699">
          <cell r="A5699" t="str">
            <v>-</v>
          </cell>
        </row>
        <row r="5700">
          <cell r="A5700" t="str">
            <v>-</v>
          </cell>
        </row>
        <row r="5701">
          <cell r="A5701" t="str">
            <v>-</v>
          </cell>
        </row>
        <row r="5702">
          <cell r="A5702" t="str">
            <v>-</v>
          </cell>
        </row>
        <row r="5703">
          <cell r="A5703" t="str">
            <v>-</v>
          </cell>
        </row>
        <row r="5704">
          <cell r="A5704" t="str">
            <v>-</v>
          </cell>
        </row>
        <row r="5705">
          <cell r="A5705" t="str">
            <v>-</v>
          </cell>
        </row>
        <row r="5706">
          <cell r="A5706" t="str">
            <v>-</v>
          </cell>
        </row>
        <row r="5707">
          <cell r="A5707" t="str">
            <v>-</v>
          </cell>
        </row>
        <row r="5708">
          <cell r="A5708" t="str">
            <v>-</v>
          </cell>
        </row>
        <row r="5709">
          <cell r="A5709" t="str">
            <v>-</v>
          </cell>
        </row>
        <row r="5710">
          <cell r="A5710" t="str">
            <v>-</v>
          </cell>
        </row>
        <row r="5711">
          <cell r="A5711" t="str">
            <v>-</v>
          </cell>
        </row>
        <row r="5712">
          <cell r="A5712" t="str">
            <v>-</v>
          </cell>
        </row>
        <row r="5713">
          <cell r="A5713" t="str">
            <v>-</v>
          </cell>
        </row>
        <row r="5714">
          <cell r="A5714" t="str">
            <v>-</v>
          </cell>
        </row>
        <row r="5715">
          <cell r="A5715" t="str">
            <v>-</v>
          </cell>
        </row>
        <row r="5716">
          <cell r="A5716" t="str">
            <v>-</v>
          </cell>
        </row>
        <row r="5717">
          <cell r="A5717" t="str">
            <v>-</v>
          </cell>
        </row>
        <row r="5718">
          <cell r="A5718" t="str">
            <v>-</v>
          </cell>
        </row>
        <row r="5719">
          <cell r="A5719" t="str">
            <v>-</v>
          </cell>
        </row>
        <row r="5720">
          <cell r="A5720" t="str">
            <v>-</v>
          </cell>
        </row>
        <row r="5721">
          <cell r="A5721" t="str">
            <v>-</v>
          </cell>
        </row>
        <row r="5722">
          <cell r="A5722" t="str">
            <v>-</v>
          </cell>
        </row>
        <row r="5723">
          <cell r="A5723" t="str">
            <v>-</v>
          </cell>
        </row>
        <row r="5724">
          <cell r="A5724" t="str">
            <v>-</v>
          </cell>
        </row>
        <row r="5725">
          <cell r="A5725" t="str">
            <v>-</v>
          </cell>
        </row>
        <row r="5726">
          <cell r="A5726" t="str">
            <v>-</v>
          </cell>
        </row>
        <row r="5727">
          <cell r="A5727" t="str">
            <v>-</v>
          </cell>
        </row>
        <row r="5728">
          <cell r="A5728" t="str">
            <v>-</v>
          </cell>
        </row>
        <row r="5729">
          <cell r="A5729" t="str">
            <v>-</v>
          </cell>
        </row>
        <row r="5730">
          <cell r="A5730" t="str">
            <v>-</v>
          </cell>
        </row>
      </sheetData>
      <sheetData sheetId="3"/>
      <sheetData sheetId="4"/>
      <sheetData sheetId="5">
        <row r="5">
          <cell r="C5" t="str">
            <v>Café con leche</v>
          </cell>
        </row>
        <row r="6">
          <cell r="C6" t="str">
            <v>Té con leche</v>
          </cell>
        </row>
        <row r="7">
          <cell r="C7" t="str">
            <v>Chocolate en leche</v>
          </cell>
        </row>
        <row r="8">
          <cell r="C8" t="str">
            <v>Aguadepanela con leche</v>
          </cell>
        </row>
        <row r="9">
          <cell r="C9" t="str">
            <v xml:space="preserve">Avena   </v>
          </cell>
        </row>
        <row r="10">
          <cell r="C10" t="str">
            <v>Fecula de maiz</v>
          </cell>
        </row>
        <row r="11">
          <cell r="C11" t="str">
            <v xml:space="preserve">Colada en leche </v>
          </cell>
        </row>
        <row r="12">
          <cell r="C12" t="str">
            <v>Carne Pechuga De pollo</v>
          </cell>
        </row>
        <row r="13">
          <cell r="C13" t="str">
            <v>Carne MenuDencias De pollo</v>
          </cell>
        </row>
        <row r="14">
          <cell r="C14" t="str">
            <v xml:space="preserve">Huevo </v>
          </cell>
        </row>
        <row r="15">
          <cell r="C15" t="str">
            <v>Embutido MortaDela</v>
          </cell>
        </row>
        <row r="16">
          <cell r="C16" t="str">
            <v>Carne Semigorda De res</v>
          </cell>
        </row>
        <row r="17">
          <cell r="C17" t="str">
            <v>Queso Semiblando con crema</v>
          </cell>
        </row>
        <row r="18">
          <cell r="C18" t="str">
            <v>Embutido Salchicha</v>
          </cell>
        </row>
        <row r="19">
          <cell r="C19" t="str">
            <v xml:space="preserve">Salchichón </v>
          </cell>
        </row>
        <row r="20">
          <cell r="C20" t="str">
            <v>Arepa Maíz</v>
          </cell>
        </row>
        <row r="21">
          <cell r="C21" t="str">
            <v>Calado Mantequilla</v>
          </cell>
        </row>
        <row r="22">
          <cell r="C22" t="str">
            <v>Pan Blanco</v>
          </cell>
        </row>
        <row r="23">
          <cell r="C23" t="str">
            <v>Pan Integral</v>
          </cell>
        </row>
        <row r="24">
          <cell r="C24" t="str">
            <v>Pan queso</v>
          </cell>
        </row>
        <row r="25">
          <cell r="C25" t="str">
            <v xml:space="preserve">Mogolla </v>
          </cell>
        </row>
        <row r="26">
          <cell r="C26" t="str">
            <v>Mojicón Con azúcar</v>
          </cell>
        </row>
        <row r="27">
          <cell r="C27" t="str">
            <v>Pan Tostadas</v>
          </cell>
        </row>
        <row r="28">
          <cell r="C28" t="str">
            <v>Frutas</v>
          </cell>
        </row>
        <row r="29">
          <cell r="C29" t="str">
            <v>Azúcar</v>
          </cell>
        </row>
        <row r="30">
          <cell r="C30" t="str">
            <v>Chocolate</v>
          </cell>
        </row>
        <row r="31">
          <cell r="C31" t="str">
            <v>Mermeladas</v>
          </cell>
        </row>
        <row r="32">
          <cell r="C32" t="str">
            <v>Panela</v>
          </cell>
        </row>
        <row r="33">
          <cell r="C33" t="str">
            <v>Aceite Soya</v>
          </cell>
        </row>
        <row r="34">
          <cell r="C34" t="str">
            <v>Caldo de carne</v>
          </cell>
        </row>
        <row r="35">
          <cell r="C35" t="str">
            <v>Caldo de menudencias</v>
          </cell>
        </row>
        <row r="36">
          <cell r="C36" t="str">
            <v>Pan coco</v>
          </cell>
        </row>
        <row r="37">
          <cell r="C37" t="str">
            <v>Queso campesino</v>
          </cell>
        </row>
        <row r="38">
          <cell r="C38" t="str">
            <v>Calado</v>
          </cell>
        </row>
        <row r="39">
          <cell r="C39" t="str">
            <v>Caldo de pollo</v>
          </cell>
        </row>
        <row r="40">
          <cell r="C40" t="str">
            <v>Queso doble crema</v>
          </cell>
        </row>
        <row r="41">
          <cell r="C41" t="str">
            <v>Pan mantequilla</v>
          </cell>
        </row>
        <row r="42">
          <cell r="C42" t="str">
            <v>Galleta de sal</v>
          </cell>
        </row>
        <row r="43">
          <cell r="C43" t="str">
            <v>Arepa de choclo</v>
          </cell>
        </row>
        <row r="44">
          <cell r="C44" t="str">
            <v>Changua con huevo</v>
          </cell>
        </row>
        <row r="45">
          <cell r="C45" t="str">
            <v>Jamón</v>
          </cell>
        </row>
        <row r="46">
          <cell r="C46" t="str">
            <v>Otros</v>
          </cell>
        </row>
        <row r="47">
          <cell r="C47" t="str">
            <v>Otros</v>
          </cell>
        </row>
        <row r="48">
          <cell r="C48" t="str">
            <v>Otros</v>
          </cell>
        </row>
        <row r="49">
          <cell r="C49" t="str">
            <v>Otros</v>
          </cell>
        </row>
        <row r="50">
          <cell r="C50" t="str">
            <v>Otros</v>
          </cell>
        </row>
        <row r="52">
          <cell r="C52" t="str">
            <v>Sopa de arroz</v>
          </cell>
        </row>
        <row r="53">
          <cell r="C53" t="str">
            <v>Sopa de guandul</v>
          </cell>
        </row>
        <row r="54">
          <cell r="C54" t="str">
            <v>Sopa de avena</v>
          </cell>
        </row>
        <row r="55">
          <cell r="C55" t="str">
            <v>Sopa de pasta</v>
          </cell>
        </row>
        <row r="56">
          <cell r="C56" t="str">
            <v>Sopa de frijoles</v>
          </cell>
        </row>
        <row r="57">
          <cell r="C57" t="str">
            <v>Sopa de cuchuco</v>
          </cell>
        </row>
        <row r="58">
          <cell r="C58" t="str">
            <v>Sopa de lentejas</v>
          </cell>
        </row>
        <row r="59">
          <cell r="C59" t="str">
            <v>Sopa de harina de maíz amarillo</v>
          </cell>
        </row>
        <row r="60">
          <cell r="C60" t="str">
            <v>Sopa de cuchuco de trigo</v>
          </cell>
        </row>
        <row r="61">
          <cell r="C61" t="str">
            <v>Mute santandereano</v>
          </cell>
        </row>
        <row r="62">
          <cell r="C62" t="str">
            <v>Mazamorra chiquita</v>
          </cell>
        </row>
        <row r="63">
          <cell r="C63" t="str">
            <v>Sopa de garbanzo</v>
          </cell>
        </row>
        <row r="64">
          <cell r="C64" t="str">
            <v>Sopa de colí</v>
          </cell>
        </row>
        <row r="65">
          <cell r="C65" t="str">
            <v>Sopa de plátano</v>
          </cell>
        </row>
        <row r="66">
          <cell r="C66" t="str">
            <v>Sopa de mute</v>
          </cell>
        </row>
        <row r="67">
          <cell r="C67" t="str">
            <v>Sopa de arracacha</v>
          </cell>
        </row>
        <row r="68">
          <cell r="C68" t="str">
            <v>Sopa de ñame</v>
          </cell>
        </row>
        <row r="69">
          <cell r="C69" t="str">
            <v>Sopa de verduras</v>
          </cell>
        </row>
        <row r="70">
          <cell r="C70" t="str">
            <v>Pechuga De pollo</v>
          </cell>
        </row>
        <row r="71">
          <cell r="C71" t="str">
            <v>Semigorda De cerdo</v>
          </cell>
        </row>
        <row r="72">
          <cell r="C72" t="str">
            <v>Semigorda De res</v>
          </cell>
        </row>
        <row r="73">
          <cell r="C73" t="str">
            <v>Atún</v>
          </cell>
        </row>
        <row r="74">
          <cell r="C74" t="str">
            <v>Pescado</v>
          </cell>
        </row>
        <row r="75">
          <cell r="C75" t="str">
            <v>Sardina</v>
          </cell>
        </row>
        <row r="76">
          <cell r="C76" t="str">
            <v>Arroz Blanco</v>
          </cell>
        </row>
        <row r="77">
          <cell r="C77" t="str">
            <v>Arracacha Amarilla</v>
          </cell>
        </row>
        <row r="78">
          <cell r="C78" t="str">
            <v>Ñame 0</v>
          </cell>
        </row>
        <row r="79">
          <cell r="C79" t="str">
            <v>Papa Común</v>
          </cell>
        </row>
        <row r="80">
          <cell r="C80" t="str">
            <v>Papa Criolla</v>
          </cell>
        </row>
        <row r="81">
          <cell r="C81" t="str">
            <v>Yuca 0</v>
          </cell>
        </row>
        <row r="82">
          <cell r="C82" t="str">
            <v>Plátano Hartón</v>
          </cell>
        </row>
        <row r="83">
          <cell r="C83" t="str">
            <v>Ensalada 1</v>
          </cell>
        </row>
        <row r="84">
          <cell r="C84" t="str">
            <v>Ensalada 2</v>
          </cell>
        </row>
        <row r="85">
          <cell r="C85" t="str">
            <v>Ensalada 3</v>
          </cell>
        </row>
        <row r="86">
          <cell r="C86" t="str">
            <v>Ensalada 4</v>
          </cell>
        </row>
        <row r="87">
          <cell r="C87" t="str">
            <v>Ensalada 5</v>
          </cell>
        </row>
        <row r="88">
          <cell r="C88" t="str">
            <v>Ensalada 6</v>
          </cell>
        </row>
        <row r="89">
          <cell r="C89" t="str">
            <v>Ensalada 7</v>
          </cell>
        </row>
        <row r="90">
          <cell r="C90" t="str">
            <v>Ensalada 8</v>
          </cell>
        </row>
        <row r="91">
          <cell r="C91" t="str">
            <v>Ensalada 9</v>
          </cell>
        </row>
        <row r="92">
          <cell r="C92" t="str">
            <v>Ensalada 10</v>
          </cell>
        </row>
        <row r="93">
          <cell r="C93" t="str">
            <v>Ensalada 11</v>
          </cell>
        </row>
        <row r="94">
          <cell r="C94" t="str">
            <v>Ensalada 12</v>
          </cell>
        </row>
        <row r="95">
          <cell r="C95" t="str">
            <v>Ensalada 13</v>
          </cell>
        </row>
        <row r="96">
          <cell r="C96" t="str">
            <v>Ensalada 14</v>
          </cell>
        </row>
        <row r="97">
          <cell r="C97" t="str">
            <v>Mayonesa Con sal</v>
          </cell>
        </row>
        <row r="98">
          <cell r="C98" t="str">
            <v>Crema De leche</v>
          </cell>
        </row>
        <row r="99">
          <cell r="C99" t="str">
            <v>Aceite Vegetal</v>
          </cell>
        </row>
        <row r="100">
          <cell r="C100" t="str">
            <v>jugo Fresa</v>
          </cell>
        </row>
        <row r="101">
          <cell r="C101" t="str">
            <v>jugo Guayaba</v>
          </cell>
        </row>
        <row r="102">
          <cell r="C102" t="str">
            <v>jugo Lulo</v>
          </cell>
        </row>
        <row r="103">
          <cell r="C103" t="str">
            <v>jugo Mango</v>
          </cell>
        </row>
        <row r="104">
          <cell r="C104" t="str">
            <v>jugo Maracuyá</v>
          </cell>
        </row>
        <row r="105">
          <cell r="C105" t="str">
            <v>jugo Mora</v>
          </cell>
        </row>
        <row r="106">
          <cell r="C106" t="str">
            <v>jugo Tomate de árbol</v>
          </cell>
        </row>
        <row r="107">
          <cell r="C107" t="str">
            <v>Jugo de fruta</v>
          </cell>
        </row>
        <row r="108">
          <cell r="C108" t="str">
            <v>Azúcar</v>
          </cell>
        </row>
        <row r="109">
          <cell r="C109" t="str">
            <v>Panela</v>
          </cell>
        </row>
        <row r="110">
          <cell r="C110" t="str">
            <v>Aceite Soya</v>
          </cell>
        </row>
        <row r="111">
          <cell r="C111" t="str">
            <v>Tomate Chonto</v>
          </cell>
        </row>
        <row r="112">
          <cell r="C112" t="str">
            <v>Cebolla Cabezona</v>
          </cell>
        </row>
        <row r="113">
          <cell r="C113" t="str">
            <v>Aceite Soya-</v>
          </cell>
        </row>
        <row r="114">
          <cell r="C114" t="str">
            <v>Guisos</v>
          </cell>
        </row>
        <row r="115">
          <cell r="C115" t="str">
            <v>Sopa de ajiaco</v>
          </cell>
        </row>
        <row r="116">
          <cell r="C116" t="str">
            <v>Pernil de pollo</v>
          </cell>
        </row>
        <row r="117">
          <cell r="C117" t="str">
            <v>Sopa de torrejas</v>
          </cell>
        </row>
        <row r="118">
          <cell r="C118" t="str">
            <v xml:space="preserve">Cascabeles </v>
          </cell>
        </row>
        <row r="119">
          <cell r="C119" t="str">
            <v>Carne de cerdo</v>
          </cell>
        </row>
        <row r="120">
          <cell r="C120" t="str">
            <v>Mojarra</v>
          </cell>
        </row>
        <row r="121">
          <cell r="C121" t="str">
            <v>Sancocho (papa, yuca, plátano)</v>
          </cell>
        </row>
        <row r="122">
          <cell r="C122" t="str">
            <v>Sobrebarriga</v>
          </cell>
        </row>
        <row r="123">
          <cell r="C123" t="str">
            <v>Mixto de res y de pollo</v>
          </cell>
        </row>
        <row r="124">
          <cell r="C124" t="str">
            <v>Mazamorra dulce</v>
          </cell>
        </row>
        <row r="125">
          <cell r="C125" t="str">
            <v>Sopa de cebada perlada</v>
          </cell>
        </row>
        <row r="126">
          <cell r="C126" t="str">
            <v>Cazuela de lentejas</v>
          </cell>
        </row>
        <row r="127">
          <cell r="C127" t="str">
            <v>Otros</v>
          </cell>
        </row>
        <row r="128">
          <cell r="C128" t="str">
            <v>Cazuela de frijoles</v>
          </cell>
        </row>
        <row r="129">
          <cell r="C129" t="str">
            <v>Pico de gallo</v>
          </cell>
        </row>
        <row r="130">
          <cell r="C130" t="str">
            <v>Sancocho de gallina tipico</v>
          </cell>
        </row>
        <row r="131">
          <cell r="C131" t="str">
            <v>Sopa de pajarilla</v>
          </cell>
        </row>
        <row r="132">
          <cell r="C132" t="str">
            <v>Filete de merluza</v>
          </cell>
        </row>
        <row r="133">
          <cell r="C133" t="str">
            <v>Sopa de pollo</v>
          </cell>
        </row>
        <row r="134">
          <cell r="C134" t="str">
            <v>Sopa de carne</v>
          </cell>
        </row>
        <row r="135">
          <cell r="C135" t="str">
            <v>Sopa de mondongo con garbanzos</v>
          </cell>
        </row>
        <row r="136">
          <cell r="C136" t="str">
            <v xml:space="preserve">Sopa de la huerta </v>
          </cell>
        </row>
        <row r="137">
          <cell r="C137" t="str">
            <v>Otros</v>
          </cell>
        </row>
        <row r="138">
          <cell r="C138" t="str">
            <v>Otros</v>
          </cell>
        </row>
        <row r="139">
          <cell r="C139" t="str">
            <v>Otros</v>
          </cell>
        </row>
        <row r="140">
          <cell r="C140" t="str">
            <v>Otros</v>
          </cell>
        </row>
        <row r="141">
          <cell r="C141" t="str">
            <v>Otros</v>
          </cell>
        </row>
      </sheetData>
      <sheetData sheetId="6"/>
      <sheetData sheetId="7"/>
      <sheetData sheetId="8">
        <row r="6">
          <cell r="B6" t="str">
            <v>Directivo 1</v>
          </cell>
        </row>
      </sheetData>
      <sheetData sheetId="9"/>
      <sheetData sheetId="10"/>
      <sheetData sheetId="11"/>
      <sheetData sheetId="12"/>
      <sheetData sheetId="13"/>
      <sheetData sheetId="14"/>
      <sheetData sheetId="15"/>
      <sheetData sheetId="16"/>
      <sheetData sheetId="17">
        <row r="110">
          <cell r="A110" t="str">
            <v>Sensorial</v>
          </cell>
        </row>
        <row r="111">
          <cell r="A111" t="str">
            <v>Densidad</v>
          </cell>
        </row>
        <row r="112">
          <cell r="A112" t="str">
            <v>Acidez como ácido láctico</v>
          </cell>
        </row>
        <row r="113">
          <cell r="A113" t="str">
            <v>PH</v>
          </cell>
        </row>
        <row r="114">
          <cell r="A114" t="str">
            <v>Volúmen por ración</v>
          </cell>
        </row>
        <row r="115">
          <cell r="A115" t="str">
            <v>Peso por ración</v>
          </cell>
        </row>
        <row r="116">
          <cell r="A116" t="str">
            <v>Extracto seco no graso</v>
          </cell>
        </row>
        <row r="117">
          <cell r="A117" t="str">
            <v>Indice insolubilidad</v>
          </cell>
        </row>
        <row r="118">
          <cell r="A118" t="str">
            <v>Vitamina A</v>
          </cell>
        </row>
        <row r="119">
          <cell r="A119" t="str">
            <v>Vitamina D</v>
          </cell>
        </row>
        <row r="120">
          <cell r="A120" t="str">
            <v>°Brix</v>
          </cell>
        </row>
        <row r="121">
          <cell r="A121" t="str">
            <v>Zinc</v>
          </cell>
        </row>
        <row r="122">
          <cell r="A122" t="str">
            <v>Hierro</v>
          </cell>
        </row>
        <row r="123">
          <cell r="A123" t="str">
            <v>Sodio (cloruro de)</v>
          </cell>
        </row>
        <row r="124">
          <cell r="A124" t="str">
            <v>Arsénico</v>
          </cell>
        </row>
        <row r="125">
          <cell r="A125" t="str">
            <v>Cloro</v>
          </cell>
        </row>
        <row r="126">
          <cell r="A126" t="str">
            <v>Plomo</v>
          </cell>
        </row>
        <row r="127">
          <cell r="A127" t="str">
            <v>Cobre</v>
          </cell>
        </row>
        <row r="128">
          <cell r="A128" t="str">
            <v>Cadmio</v>
          </cell>
        </row>
        <row r="129">
          <cell r="A129" t="str">
            <v>Mercurio</v>
          </cell>
        </row>
        <row r="130">
          <cell r="A130" t="str">
            <v>Metilmercurio</v>
          </cell>
        </row>
        <row r="131">
          <cell r="A131" t="str">
            <v>Iodo</v>
          </cell>
        </row>
        <row r="132">
          <cell r="A132" t="str">
            <v>Fluor</v>
          </cell>
        </row>
        <row r="133">
          <cell r="A133" t="str">
            <v>Fósforo, cromo</v>
          </cell>
        </row>
        <row r="134">
          <cell r="A134" t="str">
            <v>Ácido Fólico</v>
          </cell>
        </row>
        <row r="135">
          <cell r="A135" t="str">
            <v>Proteínas</v>
          </cell>
        </row>
        <row r="136">
          <cell r="A136" t="str">
            <v>Carbohidratos</v>
          </cell>
        </row>
        <row r="137">
          <cell r="A137" t="str">
            <v>Grasas</v>
          </cell>
        </row>
        <row r="138">
          <cell r="A138" t="str">
            <v>Cenizas</v>
          </cell>
        </row>
        <row r="139">
          <cell r="A139" t="str">
            <v>Mesófilos</v>
          </cell>
        </row>
        <row r="140">
          <cell r="A140" t="str">
            <v>Coliformes Totales</v>
          </cell>
        </row>
        <row r="141">
          <cell r="A141" t="str">
            <v>E. Coli</v>
          </cell>
        </row>
        <row r="142">
          <cell r="A142" t="str">
            <v xml:space="preserve">Salmonella </v>
          </cell>
        </row>
        <row r="143">
          <cell r="A143" t="str">
            <v>Mohos y levaduras</v>
          </cell>
        </row>
        <row r="144">
          <cell r="A144" t="str">
            <v>Esporas Clostridium sulfito reductoras</v>
          </cell>
        </row>
        <row r="145">
          <cell r="A145" t="str">
            <v>Staphylococcus aureus coagulasa positivos</v>
          </cell>
        </row>
        <row r="146">
          <cell r="A146" t="str">
            <v>Bacillus Cereus</v>
          </cell>
        </row>
        <row r="147">
          <cell r="A147" t="str">
            <v>Listeria monocytogenes</v>
          </cell>
        </row>
        <row r="148">
          <cell r="A148" t="str">
            <v>Esterilidad Comercial</v>
          </cell>
        </row>
        <row r="149">
          <cell r="A149" t="str">
            <v>Humedad</v>
          </cell>
        </row>
        <row r="150">
          <cell r="A150" t="str">
            <v>%granos partidos</v>
          </cell>
        </row>
        <row r="151">
          <cell r="A151" t="str">
            <v>%granos yesados</v>
          </cell>
        </row>
        <row r="152">
          <cell r="A152" t="str">
            <v>%granos rojos</v>
          </cell>
        </row>
        <row r="153">
          <cell r="A153" t="str">
            <v>%impurezas</v>
          </cell>
        </row>
        <row r="154">
          <cell r="A154" t="str">
            <v>Índice de refracción</v>
          </cell>
        </row>
        <row r="155">
          <cell r="A155" t="str">
            <v>Índice de peróxidos</v>
          </cell>
        </row>
        <row r="156">
          <cell r="A156" t="str">
            <v>Perfil lipídico</v>
          </cell>
        </row>
        <row r="157">
          <cell r="A157" t="str">
            <v xml:space="preserve"> Aflatoxinas B1</v>
          </cell>
        </row>
        <row r="158">
          <cell r="A158" t="str">
            <v xml:space="preserve"> Aflatoxinas B2</v>
          </cell>
        </row>
        <row r="159">
          <cell r="A159" t="str">
            <v>Aflatoxinas M1</v>
          </cell>
        </row>
        <row r="160">
          <cell r="A160" t="str">
            <v>Aflatoxinas M2</v>
          </cell>
        </row>
        <row r="161">
          <cell r="A161" t="str">
            <v>Aflatoxinas G1</v>
          </cell>
        </row>
        <row r="162">
          <cell r="A162" t="str">
            <v xml:space="preserve"> Aflatoxinas  G2</v>
          </cell>
        </row>
        <row r="163">
          <cell r="A163" t="str">
            <v>Residuos de plaguicidas</v>
          </cell>
        </row>
        <row r="164">
          <cell r="A164" t="str">
            <v>Propionato</v>
          </cell>
        </row>
        <row r="165">
          <cell r="A165" t="str">
            <v xml:space="preserve"> Acido Sorbico y sus sales</v>
          </cell>
        </row>
        <row r="166">
          <cell r="A166" t="str">
            <v>Acido benzoico y sus sales</v>
          </cell>
        </row>
        <row r="167">
          <cell r="A167" t="str">
            <v>Calcio</v>
          </cell>
        </row>
        <row r="168">
          <cell r="A168" t="str">
            <v>Vitamina C</v>
          </cell>
        </row>
        <row r="169">
          <cell r="A169" t="str">
            <v>Tiamina (vitamina B1)</v>
          </cell>
        </row>
        <row r="170">
          <cell r="A170" t="str">
            <v>Niacina</v>
          </cell>
        </row>
        <row r="171">
          <cell r="A171" t="str">
            <v xml:space="preserve">Rivoflavina (vitamina B2) </v>
          </cell>
        </row>
        <row r="172">
          <cell r="A172" t="str">
            <v>Vitamina B12</v>
          </cell>
        </row>
        <row r="173">
          <cell r="A173" t="str">
            <v>Granulometria</v>
          </cell>
        </row>
        <row r="174">
          <cell r="A174" t="str">
            <v>Vitamina B6</v>
          </cell>
        </row>
        <row r="175">
          <cell r="A175" t="str">
            <v>Pollo, carne, pescado o huevo y verdura cocida</v>
          </cell>
        </row>
        <row r="176">
          <cell r="A176" t="str">
            <v>Ensalada Cruda (Cuando no haya verdura cocida)</v>
          </cell>
        </row>
        <row r="177">
          <cell r="A177" t="str">
            <v>Jugos de fruta</v>
          </cell>
        </row>
        <row r="178">
          <cell r="A178" t="str">
            <v>Leche servida (Cuando no haya jugo)</v>
          </cell>
        </row>
        <row r="179">
          <cell r="A179" t="str">
            <v>Agua Potable</v>
          </cell>
        </row>
        <row r="180">
          <cell r="A180" t="str">
            <v>Frotis de manos limpias</v>
          </cell>
        </row>
        <row r="181">
          <cell r="A181" t="str">
            <v>Frotis de superficie</v>
          </cell>
        </row>
        <row r="182">
          <cell r="A182" t="str">
            <v>Ambientes</v>
          </cell>
        </row>
      </sheetData>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lista"/>
      <sheetName val="INFO GENERAL Y FINANCIERA"/>
      <sheetName val="INFO EXPERIENCIA"/>
      <sheetName val="INFO DE PRODUCTOS"/>
      <sheetName val="INFO_GENERAL_Y_FINANCIERA"/>
      <sheetName val="INFO_EXPERIENCIA"/>
      <sheetName val="INFO_DE_PRODUCTOS"/>
      <sheetName val="MEX95IB"/>
      <sheetName val="configuración"/>
      <sheetName val="calendario"/>
      <sheetName val="datos entrada"/>
      <sheetName val="costes no sspp"/>
      <sheetName val="hw&amp;sw"/>
      <sheetName val="datos maestros"/>
      <sheetName val="tasas"/>
      <sheetName val="cash flow (cop)"/>
      <sheetName val="dashboard"/>
      <sheetName val="parámetros"/>
      <sheetName val="Resumen Preparaciones"/>
      <sheetName val="Precios Alimentos"/>
      <sheetName val="Analisis microbiologico"/>
      <sheetName val="PERSONAL"/>
      <sheetName val="Datos Inciales"/>
      <sheetName val="TABLAS"/>
      <sheetName val="Seletor"/>
      <sheetName val="IMPUESTOS"/>
      <sheetName val="Datos"/>
      <sheetName val="Cons Cotizac - Examenes médicos"/>
      <sheetName val="SALARIO DE REFERENCIA"/>
      <sheetName val="Salarios de Referencia"/>
      <sheetName val="Listas"/>
      <sheetName val="frmfuncionario"/>
    </sheetNames>
    <sheetDataSet>
      <sheetData sheetId="0">
        <row r="2">
          <cell r="A2" t="str">
            <v>Importado</v>
          </cell>
        </row>
        <row r="3">
          <cell r="A3" t="str">
            <v>Nacional</v>
          </cell>
        </row>
        <row r="6">
          <cell r="A6" t="str">
            <v>Si</v>
          </cell>
        </row>
        <row r="7">
          <cell r="A7" t="str">
            <v>No</v>
          </cell>
        </row>
        <row r="11">
          <cell r="A11" t="str">
            <v>Estatal</v>
          </cell>
        </row>
        <row r="12">
          <cell r="A12" t="str">
            <v>Privada</v>
          </cell>
        </row>
        <row r="13">
          <cell r="A13" t="str">
            <v>Mixta</v>
          </cell>
        </row>
        <row r="15">
          <cell r="A15" t="str">
            <v>Unión Temporal</v>
          </cell>
        </row>
        <row r="16">
          <cell r="A16" t="str">
            <v>Consorcio</v>
          </cell>
        </row>
        <row r="17">
          <cell r="A17" t="str">
            <v>Individual</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Ensayos Laboratorio"/>
      <sheetName val="lista"/>
      <sheetName val="CONFIGURACIÓN"/>
      <sheetName val="CALENDARIO"/>
      <sheetName val="DATOS ENTRADA"/>
      <sheetName val="COSTES NO SSPP"/>
      <sheetName val="HW&amp;SW"/>
      <sheetName val="DATOS MAESTROS"/>
      <sheetName val="TASAS"/>
      <sheetName val="Cash Flow (COP)"/>
      <sheetName val="DASHBOARD"/>
      <sheetName val="PARÁMETROS"/>
      <sheetName val="Resumen Preparaciones"/>
      <sheetName val="Precios Alimentos"/>
      <sheetName val="Analisis microbiologico"/>
      <sheetName val="hoja índice"/>
    </sheetNames>
    <sheetDataSet>
      <sheetData sheetId="0" refreshError="1"/>
      <sheetData sheetId="1" refreshError="1"/>
      <sheetData sheetId="2">
        <row r="12">
          <cell r="P12">
            <v>4245565.5348864151</v>
          </cell>
        </row>
        <row r="34">
          <cell r="P34">
            <v>105452.59802046463</v>
          </cell>
        </row>
        <row r="46">
          <cell r="P46">
            <v>0</v>
          </cell>
        </row>
        <row r="58">
          <cell r="P58">
            <v>0</v>
          </cell>
        </row>
        <row r="69">
          <cell r="P69">
            <v>473876.25</v>
          </cell>
        </row>
        <row r="88">
          <cell r="P88">
            <v>1000000</v>
          </cell>
        </row>
        <row r="93">
          <cell r="P93">
            <v>470000</v>
          </cell>
        </row>
        <row r="100">
          <cell r="P100">
            <v>0</v>
          </cell>
        </row>
        <row r="122">
          <cell r="P122">
            <v>0</v>
          </cell>
        </row>
      </sheetData>
      <sheetData sheetId="3">
        <row r="10">
          <cell r="F10">
            <v>47260486.611418962</v>
          </cell>
        </row>
        <row r="16">
          <cell r="E16">
            <v>6000000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INFO_EMPRESA"/>
      <sheetName val="COTIZACIÓN"/>
      <sheetName val="INFO_EXPERIENCIA"/>
      <sheetName val="POLIZAS"/>
      <sheetName val="OCULTAR"/>
      <sheetName val="Resumen Preparaciones"/>
      <sheetName val="Precios Alimentos"/>
      <sheetName val="Analisis microbiologico"/>
    </sheetNames>
    <sheetDataSet>
      <sheetData sheetId="0"/>
      <sheetData sheetId="1"/>
      <sheetData sheetId="2"/>
      <sheetData sheetId="3"/>
      <sheetData sheetId="4">
        <row r="14">
          <cell r="A14" t="str">
            <v>Microempresa</v>
          </cell>
          <cell r="B14">
            <v>0</v>
          </cell>
          <cell r="C14">
            <v>855525404</v>
          </cell>
          <cell r="D14">
            <v>0</v>
          </cell>
          <cell r="E14">
            <v>1197728304</v>
          </cell>
          <cell r="F14">
            <v>0</v>
          </cell>
          <cell r="G14">
            <v>1625472852</v>
          </cell>
        </row>
        <row r="15">
          <cell r="A15" t="str">
            <v>Pequeña empresa</v>
          </cell>
          <cell r="B15">
            <v>855525405</v>
          </cell>
          <cell r="C15">
            <v>7442958460</v>
          </cell>
          <cell r="D15">
            <v>1197728305</v>
          </cell>
          <cell r="E15">
            <v>4790876908</v>
          </cell>
          <cell r="F15">
            <v>1625472853</v>
          </cell>
          <cell r="G15">
            <v>15655864368</v>
          </cell>
        </row>
        <row r="16">
          <cell r="A16" t="str">
            <v>Mediana empresa</v>
          </cell>
          <cell r="B16">
            <v>7442958461</v>
          </cell>
          <cell r="C16">
            <v>63051202020</v>
          </cell>
          <cell r="D16">
            <v>4790876909</v>
          </cell>
          <cell r="E16">
            <v>17537998472</v>
          </cell>
          <cell r="F16">
            <v>15655864369</v>
          </cell>
          <cell r="G16">
            <v>78450405136</v>
          </cell>
        </row>
        <row r="17">
          <cell r="A17" t="str">
            <v xml:space="preserve">Gran empresa </v>
          </cell>
          <cell r="B17">
            <v>63051202021</v>
          </cell>
          <cell r="C17">
            <v>0</v>
          </cell>
          <cell r="D17">
            <v>17537998473</v>
          </cell>
          <cell r="E17">
            <v>0</v>
          </cell>
          <cell r="F17">
            <v>78450405137</v>
          </cell>
          <cell r="G17">
            <v>0</v>
          </cell>
        </row>
      </sheetData>
      <sheetData sheetId="5" refreshError="1"/>
      <sheetData sheetId="6" refreshError="1"/>
      <sheetData sheetId="7"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entaciones"/>
      <sheetName val="Datos Inciales"/>
      <sheetName val="Seguimiento_AC"/>
      <sheetName val="Xa_INDICADORES_AC"/>
      <sheetName val="Coment_Observaciones"/>
      <sheetName val="lista"/>
      <sheetName val="PERSONAL"/>
      <sheetName val="IMPUESTOS"/>
      <sheetName val="Resumen Preparaciones"/>
      <sheetName val="Precios Alimentos"/>
      <sheetName val="Analisis microbiologico"/>
      <sheetName val="Listas"/>
      <sheetName val="Ciudades y Departamentos"/>
      <sheetName val="mex95ib"/>
      <sheetName val="configuración"/>
      <sheetName val="calendario"/>
      <sheetName val="datos entrada"/>
      <sheetName val="costes no sspp"/>
      <sheetName val="hw&amp;sw"/>
      <sheetName val="datos maestros"/>
      <sheetName val="tasas"/>
      <sheetName val="cash flow (cop)"/>
      <sheetName val="dashboard"/>
      <sheetName val="parámetros"/>
      <sheetName val="hoja índice"/>
    </sheetNames>
    <sheetDataSet>
      <sheetData sheetId="0"/>
      <sheetData sheetId="1">
        <row r="5">
          <cell r="B5" t="str">
            <v>Dirección</v>
          </cell>
        </row>
        <row r="6">
          <cell r="B6" t="str">
            <v>Jurídica</v>
          </cell>
        </row>
        <row r="7">
          <cell r="B7" t="str">
            <v>Administrativa</v>
          </cell>
        </row>
        <row r="8">
          <cell r="B8" t="str">
            <v>Financiera</v>
          </cell>
        </row>
        <row r="9">
          <cell r="B9" t="str">
            <v>Adtiva-Financiera</v>
          </cell>
        </row>
        <row r="10">
          <cell r="B10" t="str">
            <v>Asistencia Técnica</v>
          </cell>
        </row>
        <row r="11">
          <cell r="B11" t="str">
            <v>Gestión de Recursos</v>
          </cell>
        </row>
        <row r="12">
          <cell r="B12" t="str">
            <v>Planeación Sistemas</v>
          </cell>
        </row>
        <row r="13">
          <cell r="B13" t="str">
            <v>Recaudo</v>
          </cell>
        </row>
        <row r="14">
          <cell r="B14" t="str">
            <v>CZ 1</v>
          </cell>
        </row>
        <row r="15">
          <cell r="B15" t="str">
            <v>CZ 2</v>
          </cell>
        </row>
        <row r="16">
          <cell r="B16" t="str">
            <v>CZ 3</v>
          </cell>
        </row>
        <row r="17">
          <cell r="B17" t="str">
            <v>CZ 4</v>
          </cell>
        </row>
        <row r="18">
          <cell r="B18" t="str">
            <v>CZ 5</v>
          </cell>
        </row>
        <row r="19">
          <cell r="B19" t="str">
            <v>CZ 6</v>
          </cell>
        </row>
        <row r="20">
          <cell r="B20" t="str">
            <v>CZ 7</v>
          </cell>
        </row>
        <row r="21">
          <cell r="B21" t="str">
            <v>CZ 8</v>
          </cell>
        </row>
        <row r="22">
          <cell r="B22" t="str">
            <v>CZ 9</v>
          </cell>
        </row>
        <row r="23">
          <cell r="B23" t="str">
            <v>CZ 10</v>
          </cell>
        </row>
        <row r="24">
          <cell r="B24" t="str">
            <v>CZ 11</v>
          </cell>
        </row>
        <row r="25">
          <cell r="B25" t="str">
            <v>CZ 12</v>
          </cell>
        </row>
        <row r="26">
          <cell r="B26" t="str">
            <v>CZ 13</v>
          </cell>
        </row>
        <row r="27">
          <cell r="B27" t="str">
            <v>CZ 14</v>
          </cell>
        </row>
        <row r="28">
          <cell r="B28" t="str">
            <v>CZ 15</v>
          </cell>
        </row>
        <row r="29">
          <cell r="B29" t="str">
            <v>CZ 16</v>
          </cell>
        </row>
        <row r="30">
          <cell r="B30" t="str">
            <v>CZ 17</v>
          </cell>
        </row>
        <row r="40">
          <cell r="B40" t="str">
            <v>Auditorias de Calidad</v>
          </cell>
        </row>
        <row r="41">
          <cell r="B41" t="str">
            <v>Control de Servicio No Conforme</v>
          </cell>
        </row>
        <row r="42">
          <cell r="B42" t="str">
            <v>Control de Procesos</v>
          </cell>
        </row>
        <row r="43">
          <cell r="B43" t="str">
            <v>Incidencia de NC</v>
          </cell>
        </row>
        <row r="44">
          <cell r="B44" t="str">
            <v>Quejas, Peticiones, Sugerencias</v>
          </cell>
        </row>
        <row r="45">
          <cell r="B45" t="str">
            <v>Supervisión de Servicios</v>
          </cell>
        </row>
        <row r="46">
          <cell r="B46" t="str">
            <v>Encuestas de Satisfacción</v>
          </cell>
        </row>
        <row r="47">
          <cell r="B47" t="str">
            <v>Revisión por la Dirección</v>
          </cell>
        </row>
        <row r="48">
          <cell r="B48" t="str">
            <v>Mapas de Riesgos</v>
          </cell>
        </row>
      </sheetData>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blas"/>
    </sheetNames>
    <sheetDataSet>
      <sheetData sheetId="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ajustada"/>
      <sheetName val="Hoja3"/>
      <sheetName val="DIFERENCIAS SENA"/>
      <sheetName val="Tablas"/>
      <sheetName val="TD 1"/>
      <sheetName val="TD 2"/>
      <sheetName val="TD3"/>
      <sheetName val="Hoja2"/>
      <sheetName val="Pto Proyect Trabajo MPS"/>
      <sheetName val="Pto Proyect Salud MPS"/>
      <sheetName val="Cuadro Plan de Inversiones"/>
      <sheetName val="RESUMEN P.I. ENERO 17"/>
      <sheetName val="Hoja1"/>
      <sheetName val="Hoja4"/>
      <sheetName val="Pto Proyect Subdireccion Empleo"/>
      <sheetName val="Pto Proyect Subd Salud"/>
      <sheetName val="Aprob-Solicit"/>
      <sheetName val="lista"/>
      <sheetName val="PERSONAL"/>
      <sheetName val="IMPUESTOS"/>
      <sheetName val="Datos Inciales"/>
      <sheetName val="CONFIGURACIÓN"/>
      <sheetName val="CALENDARIO"/>
      <sheetName val="DATOS ENTRADA"/>
      <sheetName val="COSTES NO SSPP"/>
      <sheetName val="HW&amp;SW"/>
      <sheetName val="DATOS MAESTROS"/>
      <sheetName val="TASAS"/>
      <sheetName val="Cash Flow (COP)"/>
      <sheetName val="DASHBOARD"/>
      <sheetName val="PARÁMETROS"/>
      <sheetName val="Resumen Preparaciones"/>
      <sheetName val="Seletor"/>
      <sheetName val="Datos"/>
      <sheetName val="Cons Cotizac - Examenes médicos"/>
      <sheetName val="SALARIO DE REFERENCIA"/>
      <sheetName val="Precios Alimentos"/>
      <sheetName val="Salarios de Referencia"/>
      <sheetName val="mex95ib"/>
      <sheetName val="Analisis microbiologico"/>
      <sheetName val="Listas"/>
    </sheetNames>
    <sheetDataSet>
      <sheetData sheetId="0"/>
      <sheetData sheetId="1"/>
      <sheetData sheetId="2"/>
      <sheetData sheetId="3">
        <row r="2">
          <cell r="B2" t="str">
            <v>Central</v>
          </cell>
          <cell r="D2" t="str">
            <v>Nación</v>
          </cell>
          <cell r="E2" t="str">
            <v>1.1 Innovación para la prosperidad</v>
          </cell>
          <cell r="F2" t="str">
            <v>1.1.1 Conocimiento e innovacion</v>
          </cell>
          <cell r="G2" t="str">
            <v>1. Crecimiento sostenible y competitividad</v>
          </cell>
        </row>
        <row r="3">
          <cell r="D3" t="str">
            <v>Propios</v>
          </cell>
          <cell r="E3" t="str">
            <v>1.2 Competitividad y crecimiento de la productividad</v>
          </cell>
          <cell r="F3" t="str">
            <v>1.1.2 Emprendimiento empresarial</v>
          </cell>
          <cell r="G3" t="str">
            <v>2. Igualdad de oportunidades para la prosperidad social</v>
          </cell>
        </row>
        <row r="4">
          <cell r="D4" t="str">
            <v>SGP</v>
          </cell>
          <cell r="E4" t="str">
            <v>1.3 Locomotoras para el crecimiento y la generación de empleo</v>
          </cell>
          <cell r="F4" t="str">
            <v>1.1.3 Propiedad intelectual, instrumento de innovación</v>
          </cell>
          <cell r="G4" t="str">
            <v>3. Consolidación de la Paz</v>
          </cell>
        </row>
        <row r="5">
          <cell r="D5" t="str">
            <v>Funcionamiento</v>
          </cell>
          <cell r="E5" t="str">
            <v>2.1 Política Integral de desarrollo y protección social</v>
          </cell>
          <cell r="F5" t="str">
            <v>1.1.4 Promoción y protección de la competencia en los mercados</v>
          </cell>
          <cell r="G5" t="str">
            <v>4. Sostenibilidad ambiental y prevención del riesgo</v>
          </cell>
        </row>
        <row r="6">
          <cell r="D6" t="str">
            <v>Cooperación internacional</v>
          </cell>
          <cell r="E6" t="str">
            <v>2.2 Promoción social</v>
          </cell>
          <cell r="F6" t="str">
            <v>1.2.1 Desarrollo de competencias y formalización para la prosperidad</v>
          </cell>
          <cell r="G6" t="str">
            <v>5. Soportes transversales de la prosperidad democrática</v>
          </cell>
        </row>
        <row r="7">
          <cell r="D7" t="str">
            <v>EICE</v>
          </cell>
          <cell r="E7" t="str">
            <v>2.3 Políticas diferenciadas para la inclusión social</v>
          </cell>
          <cell r="F7" t="str">
            <v>1.2.2 Infraestructura para la competitividad</v>
          </cell>
        </row>
        <row r="8">
          <cell r="D8" t="str">
            <v>E. Territoriales</v>
          </cell>
          <cell r="E8" t="str">
            <v>3.1 Seguridad – orden público y seguridad ciudadana</v>
          </cell>
          <cell r="F8" t="str">
            <v>1.2.3 Apoyos transversales a la competitividad</v>
          </cell>
        </row>
        <row r="9">
          <cell r="D9" t="str">
            <v>Privado</v>
          </cell>
          <cell r="E9" t="str">
            <v>3.2 Justicia</v>
          </cell>
          <cell r="F9" t="str">
            <v>1.3.1 Nuevos sectores basados en la innovación</v>
          </cell>
        </row>
        <row r="10">
          <cell r="D10" t="str">
            <v>Privado con capital público</v>
          </cell>
          <cell r="E10" t="str">
            <v>3.3 Derechos humanos, derecho internacional humanitario y justicia transicional</v>
          </cell>
          <cell r="F10" t="str">
            <v>1.3.2 Agropecuaria y desarrollo rural</v>
          </cell>
        </row>
        <row r="11">
          <cell r="E11" t="str">
            <v>4.1 Gestión ambiental para el desarrollo sostenible</v>
          </cell>
          <cell r="F11" t="str">
            <v>1.3.3 Infraestructura de transporte</v>
          </cell>
        </row>
        <row r="12">
          <cell r="E12" t="str">
            <v>4.2 Gestión del riesgo de desastres: Buen gobierno para comunidades seguras</v>
          </cell>
          <cell r="F12" t="str">
            <v>1.3.4 Desarrollo minero y expansión energética</v>
          </cell>
        </row>
        <row r="13">
          <cell r="E13" t="str">
            <v>4.3 Respuesta a la ola invernal</v>
          </cell>
          <cell r="F13" t="str">
            <v>1.3.5 Vivienda y ciudades amables</v>
          </cell>
        </row>
        <row r="14">
          <cell r="E14" t="str">
            <v>4.4 Canasta y eficiencia energética</v>
          </cell>
          <cell r="F14" t="str">
            <v>2.1.1 Primera infancia</v>
          </cell>
        </row>
        <row r="15">
          <cell r="E15" t="str">
            <v>5.1 Buen gobierno, lucha contra la corrupción y participación ciudadana</v>
          </cell>
          <cell r="F15" t="str">
            <v>2.1.2 Niñez, adolescencia y juventud</v>
          </cell>
        </row>
        <row r="16">
          <cell r="E16" t="str">
            <v xml:space="preserve">5.2 Relevancia internacional </v>
          </cell>
          <cell r="F16" t="str">
            <v>2.1.3 Formación de capital humano</v>
          </cell>
        </row>
        <row r="17">
          <cell r="E17" t="str">
            <v>5.3 Apoyos transversales al desarrollo regional</v>
          </cell>
          <cell r="F17" t="str">
            <v>2.1.4 Acceso y calidad en salud: universal y sostenible</v>
          </cell>
        </row>
        <row r="18">
          <cell r="F18" t="str">
            <v>2.1.5 Empleabilidad, emprendimiento y generación de ingresos</v>
          </cell>
        </row>
        <row r="19">
          <cell r="F19" t="str">
            <v>2.1.6 Promoción de la cultura</v>
          </cell>
        </row>
        <row r="20">
          <cell r="F20" t="str">
            <v>2.1.7 Deporte y recreación</v>
          </cell>
        </row>
        <row r="21">
          <cell r="F21" t="str">
            <v>2.2.1 Red para la superación de la pobreza extrema</v>
          </cell>
        </row>
        <row r="22">
          <cell r="F22" t="str">
            <v>2.2.2 Política para la población victima del desplazamiento forzado por la violencia</v>
          </cell>
        </row>
        <row r="23">
          <cell r="F23" t="str">
            <v>2.3.1 Grupos étnicos</v>
          </cell>
        </row>
        <row r="24">
          <cell r="F24" t="str">
            <v>2.3.2 Género</v>
          </cell>
        </row>
        <row r="25">
          <cell r="F25" t="str">
            <v>5.1.1 Buen gobierno</v>
          </cell>
        </row>
        <row r="26">
          <cell r="F26" t="str">
            <v>5.1.2 Estrategias contra la corrupción</v>
          </cell>
        </row>
        <row r="27">
          <cell r="F27" t="str">
            <v>5.1.3 Participación ciudadana y capital social</v>
          </cell>
        </row>
        <row r="28">
          <cell r="F28" t="str">
            <v>5.2.1 Inserción productiva a los mercados internacionales</v>
          </cell>
        </row>
        <row r="29">
          <cell r="F29" t="str">
            <v>5.2.2 Política internacional</v>
          </cell>
        </row>
        <row r="30">
          <cell r="F30" t="str">
            <v>5.2.3 Políticas de desarrollo fronterizo</v>
          </cell>
        </row>
        <row r="31">
          <cell r="F31" t="str">
            <v>5.3.1 Fortalecimiento institucional de los entes territoriales y relación Nación-Territorio</v>
          </cell>
        </row>
        <row r="32">
          <cell r="F32" t="str">
            <v>5.3.2 Consolidación del sistema de ciudades</v>
          </cell>
        </row>
        <row r="33">
          <cell r="F33" t="str">
            <v>5.3.3 Planes de consolidación</v>
          </cell>
        </row>
        <row r="34">
          <cell r="F34" t="str">
            <v>5.3.4 Turismo como motor del desarrollo regional</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eletor"/>
    </sheet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letor"/>
      <sheetName val="Premissas"/>
      <sheetName val="Vol_&amp;_Calc_Aux"/>
      <sheetName val="Lista_Vendáveis"/>
      <sheetName val="Simulador"/>
      <sheetName val="Riscos_&amp;_Ajustes"/>
      <sheetName val="CRM Export"/>
      <sheetName val="Approval_Form"/>
      <sheetName val="Show_Price"/>
      <sheetName val="rs_Custos"/>
      <sheetName val="rs_Capex"/>
      <sheetName val="rs_Capex_CSC"/>
      <sheetName val="rs_Qtde"/>
      <sheetName val="rs_Top10"/>
      <sheetName val="rs_Outros_Relatórios"/>
      <sheetName val="Def_Multa"/>
      <sheetName val="Cons"/>
      <sheetName val="PL1"/>
      <sheetName val="PL2"/>
      <sheetName val="PL3"/>
      <sheetName val="PL4"/>
      <sheetName val="PL5"/>
      <sheetName val="PL6"/>
      <sheetName val="PL7"/>
      <sheetName val="PL8"/>
      <sheetName val="PL9"/>
      <sheetName val="PL10"/>
      <sheetName val="PL11"/>
      <sheetName val="PL12"/>
      <sheetName val="PL13"/>
      <sheetName val="PL14"/>
      <sheetName val="PL15"/>
      <sheetName val="PL16"/>
      <sheetName val="PL17"/>
      <sheetName val="PL18"/>
      <sheetName val="PL19"/>
      <sheetName val="PL20"/>
      <sheetName val="BD"/>
      <sheetName val="Seletor_Mascara"/>
      <sheetName val="QTD"/>
      <sheetName val="OT_CX"/>
      <sheetName val="OD_CX"/>
      <sheetName val="OD_CP"/>
      <sheetName val="OC"/>
      <sheetName val="CC"/>
      <sheetName val="DC"/>
      <sheetName val="VC"/>
      <sheetName val="CD"/>
      <sheetName val="DD"/>
      <sheetName val="VD"/>
      <sheetName val="Base_Preço"/>
      <sheetName val="Rateio_Preço"/>
      <sheetName val="Import_CRM"/>
      <sheetName val="MenuSheet"/>
      <sheetName val="Aux1"/>
      <sheetName val="Doc"/>
      <sheetName val="RESUMEN CANTIDAD PAQUETES  "/>
      <sheetName val="mex95ib"/>
      <sheetName val="tal humano"/>
      <sheetName val="Datos Inciales"/>
      <sheetName val="Tablas"/>
      <sheetName val="Resumen Preparaciones"/>
      <sheetName val="Precios Alimentos"/>
      <sheetName val="Analisis microbiologico"/>
    </sheetNames>
    <sheetDataSet>
      <sheetData sheetId="0" refreshError="1">
        <row r="13">
          <cell r="C13">
            <v>20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missas"/>
      <sheetName val="Vol_&amp;_Calc_Aux"/>
      <sheetName val="Lista_Vendáveis"/>
      <sheetName val="Seletor"/>
      <sheetName val="Simulador"/>
      <sheetName val="Riscos_&amp;_Ajustes"/>
      <sheetName val="CRM Export"/>
      <sheetName val="Approval_Form"/>
      <sheetName val="Show_Price"/>
      <sheetName val="rs_Custos"/>
      <sheetName val="rs_Capex"/>
      <sheetName val="rs_Capex_CSC"/>
      <sheetName val="rs_Qtde"/>
      <sheetName val="rs_Top10"/>
      <sheetName val="rs_Outros_Relatórios"/>
      <sheetName val="Def_Multa"/>
      <sheetName val="Cons"/>
      <sheetName val="PL1"/>
      <sheetName val="PL2"/>
      <sheetName val="PL3"/>
      <sheetName val="PL4"/>
      <sheetName val="PL5"/>
      <sheetName val="PL6"/>
      <sheetName val="PL7"/>
      <sheetName val="PL8"/>
      <sheetName val="PL9"/>
      <sheetName val="PL10"/>
      <sheetName val="PL11"/>
      <sheetName val="PL12"/>
      <sheetName val="PL13"/>
      <sheetName val="PL14"/>
      <sheetName val="PL15"/>
      <sheetName val="PL16"/>
      <sheetName val="PL17"/>
      <sheetName val="PL18"/>
      <sheetName val="PL19"/>
      <sheetName val="PL20"/>
      <sheetName val="BD"/>
      <sheetName val="Seletor_Mascara"/>
      <sheetName val="QTD"/>
      <sheetName val="OT_CX"/>
      <sheetName val="OD_CX"/>
      <sheetName val="OD_CP"/>
      <sheetName val="OC"/>
      <sheetName val="CC"/>
      <sheetName val="DC"/>
      <sheetName val="VC"/>
      <sheetName val="CD"/>
      <sheetName val="DD"/>
      <sheetName val="VD"/>
      <sheetName val="Base_Preço"/>
      <sheetName val="Rateio_Preço"/>
      <sheetName val="Import_CRM"/>
      <sheetName val="MenuSheet"/>
      <sheetName val="Aux1"/>
      <sheetName val="Doc"/>
      <sheetName val="RESUMEN CANTIDAD PAQUETES  "/>
      <sheetName val="mex95ib"/>
      <sheetName val="tal humano"/>
      <sheetName val="Datos Inciales"/>
      <sheetName val="Tablas"/>
      <sheetName val="Resumen Preparaciones"/>
      <sheetName val="Precios Alimentos"/>
      <sheetName val="Analisis microbiologico"/>
    </sheetNames>
    <sheetDataSet>
      <sheetData sheetId="0" refreshError="1"/>
      <sheetData sheetId="1" refreshError="1"/>
      <sheetData sheetId="2" refreshError="1"/>
      <sheetData sheetId="3">
        <row r="13">
          <cell r="C13">
            <v>20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s>
    <sheetDataSet>
      <sheetData sheetId="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ons Cotizac - Examenes médicos"/>
      <sheetName val="SDC-Examenes médicos"/>
      <sheetName val="Simulación Presupuesto"/>
      <sheetName val="Salud Ocup Andes"/>
      <sheetName val="FAMISALEM IPS"/>
      <sheetName val="UNIMSALUD"/>
      <sheetName val="S.E.I. LTDA."/>
      <sheetName val="COLSUBSIDIO"/>
      <sheetName val="CM 54 Y CIA LTDA"/>
      <sheetName val="Tablas"/>
      <sheetName val="SDC-Examenes_médicos"/>
      <sheetName val="Simulación_Presupuesto"/>
      <sheetName val="Cons_Cotizac_-_Examenes_médicos"/>
      <sheetName val="Salud_Ocup_Andes"/>
      <sheetName val="FAMISALEM_IPS"/>
      <sheetName val="S_E_I__LTDA_"/>
      <sheetName val="CM_54_Y_CIA_LTDA"/>
      <sheetName val="CONFIGURACIÓN"/>
      <sheetName val="CALENDARIO"/>
      <sheetName val="DATOS ENTRADA"/>
      <sheetName val="COSTES NO SSPP"/>
      <sheetName val="HW&amp;SW"/>
      <sheetName val="DATOS MAESTROS"/>
      <sheetName val="TASAS"/>
      <sheetName val="Cash Flow (COP)"/>
      <sheetName val="DASHBOARD"/>
      <sheetName val="PARÁMETROS"/>
      <sheetName val="Seletor"/>
      <sheetName val="tal humano"/>
      <sheetName val="Resumen Preparaciones"/>
      <sheetName val="Precios Alimentos"/>
      <sheetName val="mex95ib"/>
      <sheetName val="Analisis microbiologico"/>
      <sheetName val="PERSONAL"/>
      <sheetName val="IMPUESTOS"/>
    </sheetNames>
    <sheetDataSet>
      <sheetData sheetId="0" refreshError="1">
        <row r="12">
          <cell r="M12" t="str">
            <v>Promedio Simple</v>
          </cell>
          <cell r="N12" t="str">
            <v>Media Geometrica</v>
          </cell>
          <cell r="O12" t="str">
            <v>Media Armonica</v>
          </cell>
          <cell r="P12" t="str">
            <v xml:space="preserve">Promedio de las Tres mas bajas </v>
          </cell>
          <cell r="Q12" t="str">
            <v>Promedio sin extremos</v>
          </cell>
          <cell r="R12" t="str">
            <v>Promedio Acotado por la desviación estandar</v>
          </cell>
        </row>
      </sheetData>
      <sheetData sheetId="1"/>
      <sheetData sheetId="2">
        <row r="14">
          <cell r="C14" t="str">
            <v>Exámenes médicos ocupacionales</v>
          </cell>
        </row>
      </sheetData>
      <sheetData sheetId="3"/>
      <sheetData sheetId="4"/>
      <sheetData sheetId="5"/>
      <sheetData sheetId="6"/>
      <sheetData sheetId="7"/>
      <sheetData sheetId="8"/>
      <sheetData sheetId="9" refreshError="1"/>
      <sheetData sheetId="10"/>
      <sheetData sheetId="11">
        <row r="14">
          <cell r="C14" t="str">
            <v>Exámenes médicos ocupacionales</v>
          </cell>
        </row>
      </sheetData>
      <sheetData sheetId="12">
        <row r="12">
          <cell r="M12" t="str">
            <v>Promedio Simple</v>
          </cell>
        </row>
      </sheetData>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DC-Examenes médicos"/>
      <sheetName val="Simulación Presupuesto"/>
      <sheetName val="Cons Cotizac - Examenes médicos"/>
      <sheetName val="Salud Ocup Andes"/>
      <sheetName val="FAMISALEM IPS"/>
      <sheetName val="UNIMSALUD"/>
      <sheetName val="S.E.I. LTDA."/>
      <sheetName val="COLSUBSIDIO"/>
      <sheetName val="CM 54 Y CIA LTDA"/>
      <sheetName val="Tablas"/>
      <sheetName val="SDC-Examenes_médicos"/>
      <sheetName val="Simulación_Presupuesto"/>
      <sheetName val="Cons_Cotizac_-_Examenes_médicos"/>
      <sheetName val="Salud_Ocup_Andes"/>
      <sheetName val="FAMISALEM_IPS"/>
      <sheetName val="S_E_I__LTDA_"/>
      <sheetName val="CM_54_Y_CIA_LTDA"/>
      <sheetName val="CONFIGURACIÓN"/>
      <sheetName val="CALENDARIO"/>
      <sheetName val="DATOS ENTRADA"/>
      <sheetName val="COSTES NO SSPP"/>
      <sheetName val="HW&amp;SW"/>
      <sheetName val="DATOS MAESTROS"/>
      <sheetName val="TASAS"/>
      <sheetName val="Cash Flow (COP)"/>
      <sheetName val="DASHBOARD"/>
      <sheetName val="PARÁMETROS"/>
      <sheetName val="Seletor"/>
      <sheetName val="tal humano"/>
      <sheetName val="Resumen Preparaciones"/>
      <sheetName val="Precios Alimentos"/>
      <sheetName val="mex95ib"/>
      <sheetName val="Analisis microbiologico"/>
      <sheetName val="PERSONAL"/>
      <sheetName val="IMPUESTOS"/>
    </sheetNames>
    <sheetDataSet>
      <sheetData sheetId="0"/>
      <sheetData sheetId="1">
        <row r="14">
          <cell r="C14" t="str">
            <v>Exámenes médicos ocupacionales</v>
          </cell>
        </row>
      </sheetData>
      <sheetData sheetId="2">
        <row r="12">
          <cell r="M12" t="str">
            <v>Promedio Simple</v>
          </cell>
          <cell r="N12" t="str">
            <v>Media Geometrica</v>
          </cell>
          <cell r="O12" t="str">
            <v>Media Armonica</v>
          </cell>
          <cell r="P12" t="str">
            <v xml:space="preserve">Promedio de las Tres mas bajas </v>
          </cell>
          <cell r="Q12" t="str">
            <v>Promedio sin extremos</v>
          </cell>
          <cell r="R12" t="str">
            <v>Promedio Acotado por la desviación estandar</v>
          </cell>
        </row>
      </sheetData>
      <sheetData sheetId="3"/>
      <sheetData sheetId="4"/>
      <sheetData sheetId="5"/>
      <sheetData sheetId="6"/>
      <sheetData sheetId="7"/>
      <sheetData sheetId="8"/>
      <sheetData sheetId="9" refreshError="1"/>
      <sheetData sheetId="10"/>
      <sheetData sheetId="11">
        <row r="14">
          <cell r="C14" t="str">
            <v>Exámenes médicos ocupacionales</v>
          </cell>
        </row>
      </sheetData>
      <sheetData sheetId="12">
        <row r="12">
          <cell r="M12" t="str">
            <v>Promedio Simple</v>
          </cell>
        </row>
      </sheetData>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ETROS GENERALES"/>
      <sheetName val="T. HUMANO M.1"/>
      <sheetName val="T. HUMANO M.2"/>
      <sheetName val="T. HUMANO M.3"/>
      <sheetName val="RESUMEN COSTOS ZONA 1"/>
      <sheetName val="RESUMEN COSTOS ZONA 2"/>
      <sheetName val="RESUMEN COSTOS ZONA 3"/>
      <sheetName val="Transporte y Viaticos"/>
      <sheetName val="% Adm y Util"/>
      <sheetName val="SALARIO DE REFERENCIA"/>
      <sheetName val="Viaticos"/>
      <sheetName val="FACT CONV"/>
      <sheetName val="Seletor"/>
      <sheetName val="datos"/>
      <sheetName val="Cons Cotizac - Examenes médicos"/>
    </sheetNames>
    <sheetDataSet>
      <sheetData sheetId="0">
        <row r="10">
          <cell r="C10">
            <v>1</v>
          </cell>
        </row>
      </sheetData>
      <sheetData sheetId="1"/>
      <sheetData sheetId="2"/>
      <sheetData sheetId="3"/>
      <sheetData sheetId="4"/>
      <sheetData sheetId="5"/>
      <sheetData sheetId="6"/>
      <sheetData sheetId="7"/>
      <sheetData sheetId="8"/>
      <sheetData sheetId="9">
        <row r="7">
          <cell r="B7" t="str">
            <v>Directivo 1</v>
          </cell>
        </row>
        <row r="8">
          <cell r="B8" t="str">
            <v>Directivo 2</v>
          </cell>
        </row>
        <row r="9">
          <cell r="B9" t="str">
            <v>Directivo 3</v>
          </cell>
        </row>
        <row r="10">
          <cell r="B10" t="str">
            <v>Directivo 4</v>
          </cell>
        </row>
        <row r="11">
          <cell r="B11" t="str">
            <v>Directivo 5</v>
          </cell>
        </row>
        <row r="12">
          <cell r="B12" t="str">
            <v>Directivo 6</v>
          </cell>
        </row>
        <row r="13">
          <cell r="B13" t="str">
            <v>Directivo 7</v>
          </cell>
        </row>
        <row r="14">
          <cell r="B14" t="str">
            <v>Directivo 8</v>
          </cell>
        </row>
        <row r="15">
          <cell r="B15" t="str">
            <v>Directivo 9</v>
          </cell>
        </row>
        <row r="16">
          <cell r="B16" t="str">
            <v>Directivo 10</v>
          </cell>
        </row>
        <row r="17">
          <cell r="B17" t="str">
            <v>Directivo 11</v>
          </cell>
        </row>
        <row r="18">
          <cell r="B18" t="str">
            <v>Directivo 12</v>
          </cell>
        </row>
        <row r="19">
          <cell r="B19" t="str">
            <v>Directivo 13</v>
          </cell>
        </row>
        <row r="20">
          <cell r="B20" t="str">
            <v>Directivo 14</v>
          </cell>
        </row>
        <row r="21">
          <cell r="B21" t="str">
            <v>Directivo 15</v>
          </cell>
        </row>
        <row r="22">
          <cell r="B22" t="str">
            <v>Directivo 16</v>
          </cell>
        </row>
        <row r="23">
          <cell r="B23" t="str">
            <v>Directivo 17</v>
          </cell>
        </row>
        <row r="24">
          <cell r="B24" t="str">
            <v>Directivo 18</v>
          </cell>
        </row>
        <row r="25">
          <cell r="B25" t="str">
            <v>Directivo 19</v>
          </cell>
        </row>
        <row r="26">
          <cell r="B26" t="str">
            <v>Directivo 20</v>
          </cell>
        </row>
        <row r="27">
          <cell r="B27" t="str">
            <v>Directivo 21</v>
          </cell>
        </row>
        <row r="28">
          <cell r="B28" t="str">
            <v>Directivo 22</v>
          </cell>
        </row>
        <row r="29">
          <cell r="B29" t="str">
            <v>Directivo 23</v>
          </cell>
        </row>
        <row r="30">
          <cell r="B30" t="str">
            <v>Directivo 24</v>
          </cell>
        </row>
        <row r="31">
          <cell r="B31" t="str">
            <v>Directivo 25</v>
          </cell>
        </row>
        <row r="32">
          <cell r="B32" t="str">
            <v>Directivo 26</v>
          </cell>
        </row>
        <row r="33">
          <cell r="B33" t="str">
            <v>Directivo 27</v>
          </cell>
        </row>
        <row r="34">
          <cell r="B34" t="str">
            <v>Directivo 28</v>
          </cell>
        </row>
        <row r="35">
          <cell r="B35" t="str">
            <v>Asesor 1</v>
          </cell>
        </row>
        <row r="36">
          <cell r="B36" t="str">
            <v>Asesor 2</v>
          </cell>
        </row>
        <row r="37">
          <cell r="B37" t="str">
            <v>Asesor 3</v>
          </cell>
        </row>
        <row r="38">
          <cell r="B38" t="str">
            <v>Asesor 4</v>
          </cell>
        </row>
        <row r="39">
          <cell r="B39" t="str">
            <v>Asesor 5</v>
          </cell>
        </row>
        <row r="40">
          <cell r="B40" t="str">
            <v>Asesor 6</v>
          </cell>
        </row>
        <row r="41">
          <cell r="B41" t="str">
            <v>Asesor 7</v>
          </cell>
        </row>
        <row r="42">
          <cell r="B42" t="str">
            <v>Asesor 8</v>
          </cell>
        </row>
        <row r="43">
          <cell r="B43" t="str">
            <v>Asesor 9</v>
          </cell>
        </row>
        <row r="44">
          <cell r="B44" t="str">
            <v>Asesor 10</v>
          </cell>
        </row>
        <row r="45">
          <cell r="B45" t="str">
            <v>Asesor 11</v>
          </cell>
        </row>
        <row r="46">
          <cell r="B46" t="str">
            <v>Asesor 12</v>
          </cell>
        </row>
        <row r="47">
          <cell r="B47" t="str">
            <v>Asesor 13</v>
          </cell>
        </row>
        <row r="48">
          <cell r="B48" t="str">
            <v>Asesor 14</v>
          </cell>
        </row>
        <row r="49">
          <cell r="B49" t="str">
            <v>Asesor 15</v>
          </cell>
        </row>
        <row r="50">
          <cell r="B50" t="str">
            <v>Asesor 16</v>
          </cell>
        </row>
        <row r="51">
          <cell r="B51" t="str">
            <v>Asesor 17</v>
          </cell>
        </row>
        <row r="52">
          <cell r="B52" t="str">
            <v>Asesor 18</v>
          </cell>
        </row>
        <row r="53">
          <cell r="B53" t="str">
            <v>Profesional  1</v>
          </cell>
        </row>
        <row r="54">
          <cell r="B54" t="str">
            <v>Profesional  2</v>
          </cell>
        </row>
        <row r="55">
          <cell r="B55" t="str">
            <v>Profesional  3</v>
          </cell>
        </row>
        <row r="56">
          <cell r="B56" t="str">
            <v>Profesional  4</v>
          </cell>
        </row>
        <row r="57">
          <cell r="B57" t="str">
            <v>Profesional  5</v>
          </cell>
        </row>
        <row r="58">
          <cell r="B58" t="str">
            <v>Profesional  6</v>
          </cell>
        </row>
        <row r="59">
          <cell r="B59" t="str">
            <v>Profesional  7</v>
          </cell>
        </row>
        <row r="60">
          <cell r="B60" t="str">
            <v>Profesional  8</v>
          </cell>
        </row>
        <row r="61">
          <cell r="B61" t="str">
            <v>Profesional  9</v>
          </cell>
        </row>
        <row r="62">
          <cell r="B62" t="str">
            <v>Profesional  10</v>
          </cell>
        </row>
        <row r="63">
          <cell r="B63" t="str">
            <v>Profesional  11</v>
          </cell>
        </row>
        <row r="64">
          <cell r="B64" t="str">
            <v>Profesional  12</v>
          </cell>
        </row>
        <row r="65">
          <cell r="B65" t="str">
            <v>Profesional  13</v>
          </cell>
        </row>
        <row r="66">
          <cell r="B66" t="str">
            <v>Profesional  14</v>
          </cell>
        </row>
        <row r="67">
          <cell r="B67" t="str">
            <v>Profesional  15</v>
          </cell>
        </row>
        <row r="68">
          <cell r="B68" t="str">
            <v>Profesional  16</v>
          </cell>
        </row>
        <row r="69">
          <cell r="B69" t="str">
            <v>Profesional  17</v>
          </cell>
        </row>
        <row r="70">
          <cell r="B70" t="str">
            <v>Profesional  18</v>
          </cell>
        </row>
        <row r="71">
          <cell r="B71" t="str">
            <v>Profesional  19</v>
          </cell>
        </row>
        <row r="72">
          <cell r="B72" t="str">
            <v>Profesional  20</v>
          </cell>
        </row>
        <row r="73">
          <cell r="B73" t="str">
            <v>Profesional  21</v>
          </cell>
        </row>
        <row r="74">
          <cell r="B74" t="str">
            <v>Profesional  22</v>
          </cell>
        </row>
        <row r="75">
          <cell r="B75" t="str">
            <v>Profesional  23</v>
          </cell>
        </row>
        <row r="76">
          <cell r="B76" t="str">
            <v>Profesional  24</v>
          </cell>
        </row>
        <row r="77">
          <cell r="B77" t="str">
            <v>Técnico 1</v>
          </cell>
        </row>
        <row r="78">
          <cell r="B78" t="str">
            <v>Técnico 2</v>
          </cell>
        </row>
        <row r="79">
          <cell r="B79" t="str">
            <v>Técnico 3</v>
          </cell>
        </row>
        <row r="80">
          <cell r="B80" t="str">
            <v>Técnico 4</v>
          </cell>
        </row>
        <row r="81">
          <cell r="B81" t="str">
            <v>Técnico 5</v>
          </cell>
        </row>
        <row r="82">
          <cell r="B82" t="str">
            <v>Técnico 6</v>
          </cell>
        </row>
        <row r="83">
          <cell r="B83" t="str">
            <v>Técnico 7</v>
          </cell>
        </row>
        <row r="84">
          <cell r="B84" t="str">
            <v>Técnico 8</v>
          </cell>
        </row>
        <row r="85">
          <cell r="B85" t="str">
            <v>Técnico 9</v>
          </cell>
        </row>
        <row r="86">
          <cell r="B86" t="str">
            <v>Técnico 10</v>
          </cell>
        </row>
        <row r="87">
          <cell r="B87" t="str">
            <v>Técnico 11</v>
          </cell>
        </row>
        <row r="88">
          <cell r="B88" t="str">
            <v>Técnico 12</v>
          </cell>
        </row>
        <row r="89">
          <cell r="B89" t="str">
            <v>Técnico 13</v>
          </cell>
        </row>
        <row r="90">
          <cell r="B90" t="str">
            <v>Técnico 14</v>
          </cell>
        </row>
        <row r="91">
          <cell r="B91" t="str">
            <v>Técnico 15</v>
          </cell>
        </row>
        <row r="92">
          <cell r="B92" t="str">
            <v>Técnico 16</v>
          </cell>
        </row>
        <row r="93">
          <cell r="B93" t="str">
            <v>Técnico 17</v>
          </cell>
        </row>
        <row r="94">
          <cell r="B94" t="str">
            <v>Técnico 18</v>
          </cell>
        </row>
        <row r="95">
          <cell r="B95" t="str">
            <v>Asistencial  1</v>
          </cell>
        </row>
        <row r="96">
          <cell r="B96" t="str">
            <v>Asistencial  2</v>
          </cell>
        </row>
        <row r="97">
          <cell r="B97" t="str">
            <v>Asistencial  3</v>
          </cell>
        </row>
        <row r="98">
          <cell r="B98" t="str">
            <v>Asistencial  4</v>
          </cell>
        </row>
        <row r="99">
          <cell r="B99" t="str">
            <v>Asistencial  5</v>
          </cell>
        </row>
        <row r="100">
          <cell r="B100" t="str">
            <v>Asistencial  6</v>
          </cell>
        </row>
        <row r="101">
          <cell r="B101" t="str">
            <v>Asistencial  7</v>
          </cell>
        </row>
        <row r="102">
          <cell r="B102" t="str">
            <v>Asistencial  8</v>
          </cell>
        </row>
        <row r="103">
          <cell r="B103" t="str">
            <v>Asistencial  9</v>
          </cell>
        </row>
        <row r="104">
          <cell r="B104" t="str">
            <v>Asistencial  10</v>
          </cell>
        </row>
        <row r="105">
          <cell r="B105" t="str">
            <v>Asistencial  11</v>
          </cell>
        </row>
        <row r="106">
          <cell r="B106" t="str">
            <v>Asistencial  12</v>
          </cell>
        </row>
        <row r="107">
          <cell r="B107" t="str">
            <v>Asistencial  13</v>
          </cell>
        </row>
        <row r="108">
          <cell r="B108" t="str">
            <v>Asistencial  14</v>
          </cell>
        </row>
        <row r="109">
          <cell r="B109" t="str">
            <v>Asistencial  15</v>
          </cell>
        </row>
        <row r="110">
          <cell r="B110" t="str">
            <v>Asistencial  16</v>
          </cell>
        </row>
        <row r="111">
          <cell r="B111" t="str">
            <v>Asistencial  17</v>
          </cell>
        </row>
        <row r="112">
          <cell r="B112" t="str">
            <v>Asistencial  18</v>
          </cell>
        </row>
        <row r="113">
          <cell r="B113" t="str">
            <v>Asistencial  19</v>
          </cell>
        </row>
        <row r="114">
          <cell r="B114" t="str">
            <v>Asistencial  20</v>
          </cell>
        </row>
        <row r="115">
          <cell r="B115" t="str">
            <v>Asistencial  21</v>
          </cell>
        </row>
        <row r="116">
          <cell r="B116" t="str">
            <v>Asistencial  22</v>
          </cell>
        </row>
        <row r="117">
          <cell r="B117" t="str">
            <v>Asistencial  23</v>
          </cell>
        </row>
        <row r="118">
          <cell r="B118" t="str">
            <v>Asistencial  24</v>
          </cell>
        </row>
        <row r="119">
          <cell r="B119" t="str">
            <v>Asistencial  25</v>
          </cell>
        </row>
        <row r="120">
          <cell r="B120" t="str">
            <v>Asistencial  26</v>
          </cell>
        </row>
        <row r="121">
          <cell r="B121" t="str">
            <v>SMMLV</v>
          </cell>
        </row>
      </sheetData>
      <sheetData sheetId="10"/>
      <sheetData sheetId="11" refreshError="1"/>
      <sheetData sheetId="12" refreshError="1"/>
      <sheetData sheetId="13" refreshError="1"/>
      <sheetData sheetId="14"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DC - INTERVENTORIA"/>
      <sheetName val="SDC - EST D,C INT PSIC"/>
      <sheetName val="RESUMEN COSTOS"/>
      <sheetName val="PARAMETROS GENERALES"/>
      <sheetName val="PROYECCIÓN DE PRECIOS"/>
      <sheetName val="Descrip Transp. Personas"/>
      <sheetName val="SALARIO DE REFERENCIA"/>
      <sheetName val="TALENTO HUMANO"/>
      <sheetName val="Hoja1"/>
      <sheetName val="% Adm y Util"/>
      <sheetName val="TRANSPORTES Y C TRANSP COORD"/>
      <sheetName val="TRANSPORTE TERRESTRE"/>
      <sheetName val="TABLA VIATICOS"/>
      <sheetName val="datos"/>
      <sheetName val="Cons Cotizac - Examenes médicos"/>
      <sheetName val="Seletor"/>
    </sheetNames>
    <sheetDataSet>
      <sheetData sheetId="0"/>
      <sheetData sheetId="1"/>
      <sheetData sheetId="2">
        <row r="21">
          <cell r="H21">
            <v>0</v>
          </cell>
        </row>
      </sheetData>
      <sheetData sheetId="3">
        <row r="21">
          <cell r="B21" t="str">
            <v>Director</v>
          </cell>
        </row>
      </sheetData>
      <sheetData sheetId="4"/>
      <sheetData sheetId="5"/>
      <sheetData sheetId="6">
        <row r="7">
          <cell r="B7" t="str">
            <v>Directivo 1</v>
          </cell>
        </row>
        <row r="8">
          <cell r="B8" t="str">
            <v>Directivo 2</v>
          </cell>
        </row>
        <row r="9">
          <cell r="B9" t="str">
            <v>Directivo 3</v>
          </cell>
        </row>
        <row r="10">
          <cell r="B10" t="str">
            <v>Directivo 4</v>
          </cell>
        </row>
        <row r="11">
          <cell r="B11" t="str">
            <v>Directivo 5</v>
          </cell>
        </row>
        <row r="12">
          <cell r="B12" t="str">
            <v>Directivo 6</v>
          </cell>
        </row>
        <row r="13">
          <cell r="B13" t="str">
            <v>Directivo 7</v>
          </cell>
        </row>
        <row r="14">
          <cell r="B14" t="str">
            <v>Directivo 8</v>
          </cell>
        </row>
        <row r="15">
          <cell r="B15" t="str">
            <v>Directivo 9</v>
          </cell>
        </row>
        <row r="16">
          <cell r="B16" t="str">
            <v>Directivo 10</v>
          </cell>
        </row>
        <row r="17">
          <cell r="B17" t="str">
            <v>Directivo 11</v>
          </cell>
        </row>
        <row r="18">
          <cell r="B18" t="str">
            <v>Directivo 12</v>
          </cell>
        </row>
        <row r="19">
          <cell r="B19" t="str">
            <v>Directivo 13</v>
          </cell>
        </row>
        <row r="20">
          <cell r="B20" t="str">
            <v>Directivo 14</v>
          </cell>
        </row>
        <row r="21">
          <cell r="B21" t="str">
            <v>Directivo 15</v>
          </cell>
        </row>
        <row r="22">
          <cell r="B22" t="str">
            <v>Directivo 16</v>
          </cell>
        </row>
        <row r="23">
          <cell r="B23" t="str">
            <v>Directivo 17</v>
          </cell>
        </row>
        <row r="24">
          <cell r="B24" t="str">
            <v>Directivo 18</v>
          </cell>
        </row>
        <row r="25">
          <cell r="B25" t="str">
            <v>Directivo 19</v>
          </cell>
        </row>
        <row r="26">
          <cell r="B26" t="str">
            <v>Directivo 20</v>
          </cell>
        </row>
        <row r="27">
          <cell r="B27" t="str">
            <v>Directivo 21</v>
          </cell>
        </row>
        <row r="28">
          <cell r="B28" t="str">
            <v>Directivo 22</v>
          </cell>
        </row>
        <row r="29">
          <cell r="B29" t="str">
            <v>Directivo 23</v>
          </cell>
        </row>
        <row r="30">
          <cell r="B30" t="str">
            <v>Directivo 24</v>
          </cell>
        </row>
        <row r="31">
          <cell r="B31" t="str">
            <v>Directivo 25</v>
          </cell>
        </row>
        <row r="32">
          <cell r="B32" t="str">
            <v>Directivo 26</v>
          </cell>
        </row>
        <row r="33">
          <cell r="B33" t="str">
            <v>Directivo 27</v>
          </cell>
        </row>
        <row r="34">
          <cell r="B34" t="str">
            <v>Directivo 28</v>
          </cell>
        </row>
        <row r="35">
          <cell r="B35" t="str">
            <v>Asesor 1</v>
          </cell>
        </row>
        <row r="36">
          <cell r="B36" t="str">
            <v>Asesor 2</v>
          </cell>
        </row>
        <row r="37">
          <cell r="B37" t="str">
            <v>Asesor 3</v>
          </cell>
        </row>
        <row r="38">
          <cell r="B38" t="str">
            <v>Asesor 4</v>
          </cell>
        </row>
        <row r="39">
          <cell r="B39" t="str">
            <v>Asesor 5</v>
          </cell>
        </row>
        <row r="40">
          <cell r="B40" t="str">
            <v>Asesor 6</v>
          </cell>
        </row>
        <row r="41">
          <cell r="B41" t="str">
            <v>Asesor 7</v>
          </cell>
        </row>
        <row r="42">
          <cell r="B42" t="str">
            <v>Asesor 8</v>
          </cell>
        </row>
        <row r="43">
          <cell r="B43" t="str">
            <v>Asesor 9</v>
          </cell>
        </row>
        <row r="44">
          <cell r="B44" t="str">
            <v>Asesor 10</v>
          </cell>
        </row>
        <row r="45">
          <cell r="B45" t="str">
            <v>Asesor 11</v>
          </cell>
        </row>
        <row r="46">
          <cell r="B46" t="str">
            <v>Asesor 12</v>
          </cell>
        </row>
        <row r="47">
          <cell r="B47" t="str">
            <v>Asesor 13</v>
          </cell>
        </row>
        <row r="48">
          <cell r="B48" t="str">
            <v>Asesor 14</v>
          </cell>
        </row>
        <row r="49">
          <cell r="B49" t="str">
            <v>Asesor 15</v>
          </cell>
        </row>
        <row r="50">
          <cell r="B50" t="str">
            <v>Asesor 16</v>
          </cell>
        </row>
        <row r="51">
          <cell r="B51" t="str">
            <v>Asesor 17</v>
          </cell>
        </row>
        <row r="52">
          <cell r="B52" t="str">
            <v>Asesor 18</v>
          </cell>
        </row>
        <row r="53">
          <cell r="B53" t="str">
            <v>Profesional  1</v>
          </cell>
        </row>
        <row r="54">
          <cell r="B54" t="str">
            <v>Profesional  2</v>
          </cell>
        </row>
        <row r="55">
          <cell r="B55" t="str">
            <v>Profesional  3</v>
          </cell>
        </row>
        <row r="56">
          <cell r="B56" t="str">
            <v>Profesional  4</v>
          </cell>
        </row>
        <row r="57">
          <cell r="B57" t="str">
            <v>Profesional  5</v>
          </cell>
        </row>
        <row r="58">
          <cell r="B58" t="str">
            <v>Profesional  6</v>
          </cell>
        </row>
        <row r="59">
          <cell r="B59" t="str">
            <v>Profesional  7</v>
          </cell>
        </row>
        <row r="60">
          <cell r="B60" t="str">
            <v>Profesional  8</v>
          </cell>
        </row>
        <row r="61">
          <cell r="B61" t="str">
            <v>Profesional  9</v>
          </cell>
        </row>
        <row r="62">
          <cell r="B62" t="str">
            <v>Profesional  10</v>
          </cell>
        </row>
        <row r="63">
          <cell r="B63" t="str">
            <v>Profesional  11</v>
          </cell>
        </row>
        <row r="64">
          <cell r="B64" t="str">
            <v>Profesional  12</v>
          </cell>
        </row>
        <row r="65">
          <cell r="B65" t="str">
            <v>Profesional  13</v>
          </cell>
        </row>
        <row r="66">
          <cell r="B66" t="str">
            <v>Profesional  14</v>
          </cell>
        </row>
        <row r="67">
          <cell r="B67" t="str">
            <v>Profesional  15</v>
          </cell>
        </row>
        <row r="68">
          <cell r="B68" t="str">
            <v>Profesional  16</v>
          </cell>
        </row>
        <row r="69">
          <cell r="B69" t="str">
            <v>Profesional  17</v>
          </cell>
        </row>
        <row r="70">
          <cell r="B70" t="str">
            <v>Profesional  18</v>
          </cell>
        </row>
        <row r="71">
          <cell r="B71" t="str">
            <v>Profesional  19</v>
          </cell>
        </row>
        <row r="72">
          <cell r="B72" t="str">
            <v>Profesional  20</v>
          </cell>
        </row>
        <row r="73">
          <cell r="B73" t="str">
            <v>Profesional  21</v>
          </cell>
        </row>
        <row r="74">
          <cell r="B74" t="str">
            <v>Profesional  22</v>
          </cell>
        </row>
        <row r="75">
          <cell r="B75" t="str">
            <v>Profesional  23</v>
          </cell>
        </row>
        <row r="76">
          <cell r="B76" t="str">
            <v>Profesional  24</v>
          </cell>
        </row>
        <row r="77">
          <cell r="B77" t="str">
            <v>Técnico 1</v>
          </cell>
        </row>
        <row r="78">
          <cell r="B78" t="str">
            <v>Técnico 2</v>
          </cell>
        </row>
        <row r="79">
          <cell r="B79" t="str">
            <v>Técnico 3</v>
          </cell>
        </row>
        <row r="80">
          <cell r="B80" t="str">
            <v>Técnico 4</v>
          </cell>
        </row>
        <row r="81">
          <cell r="B81" t="str">
            <v>Técnico 5</v>
          </cell>
        </row>
        <row r="82">
          <cell r="B82" t="str">
            <v>Técnico 6</v>
          </cell>
        </row>
        <row r="83">
          <cell r="B83" t="str">
            <v>Técnico 7</v>
          </cell>
        </row>
        <row r="84">
          <cell r="B84" t="str">
            <v>Técnico 8</v>
          </cell>
        </row>
        <row r="85">
          <cell r="B85" t="str">
            <v>Técnico 9</v>
          </cell>
        </row>
        <row r="86">
          <cell r="B86" t="str">
            <v>Técnico 10</v>
          </cell>
        </row>
        <row r="87">
          <cell r="B87" t="str">
            <v>Técnico 11</v>
          </cell>
        </row>
        <row r="88">
          <cell r="B88" t="str">
            <v>Técnico 12</v>
          </cell>
        </row>
        <row r="89">
          <cell r="B89" t="str">
            <v>Técnico 13</v>
          </cell>
        </row>
        <row r="90">
          <cell r="B90" t="str">
            <v>Técnico 14</v>
          </cell>
        </row>
        <row r="91">
          <cell r="B91" t="str">
            <v>Técnico 15</v>
          </cell>
        </row>
        <row r="92">
          <cell r="B92" t="str">
            <v>Técnico 16</v>
          </cell>
        </row>
        <row r="93">
          <cell r="B93" t="str">
            <v>Técnico 17</v>
          </cell>
        </row>
        <row r="94">
          <cell r="B94" t="str">
            <v>Técnico 18</v>
          </cell>
        </row>
        <row r="95">
          <cell r="B95" t="str">
            <v>Asistencial  1</v>
          </cell>
        </row>
        <row r="96">
          <cell r="B96" t="str">
            <v>Asistencial  2</v>
          </cell>
        </row>
        <row r="97">
          <cell r="B97" t="str">
            <v>Asistencial  3</v>
          </cell>
        </row>
        <row r="98">
          <cell r="B98" t="str">
            <v>Asistencial  4</v>
          </cell>
        </row>
        <row r="99">
          <cell r="B99" t="str">
            <v>Asistencial  5</v>
          </cell>
        </row>
        <row r="100">
          <cell r="B100" t="str">
            <v>Asistencial  6</v>
          </cell>
        </row>
        <row r="101">
          <cell r="B101" t="str">
            <v>Asistencial  7</v>
          </cell>
        </row>
        <row r="102">
          <cell r="B102" t="str">
            <v>Asistencial  8</v>
          </cell>
        </row>
        <row r="103">
          <cell r="B103" t="str">
            <v>Asistencial  9</v>
          </cell>
        </row>
        <row r="104">
          <cell r="B104" t="str">
            <v>Asistencial  10</v>
          </cell>
        </row>
        <row r="105">
          <cell r="B105" t="str">
            <v>Asistencial  11</v>
          </cell>
        </row>
        <row r="106">
          <cell r="B106" t="str">
            <v>Asistencial  12</v>
          </cell>
        </row>
        <row r="107">
          <cell r="B107" t="str">
            <v>Asistencial  13</v>
          </cell>
        </row>
        <row r="108">
          <cell r="B108" t="str">
            <v>Asistencial  14</v>
          </cell>
        </row>
        <row r="109">
          <cell r="B109" t="str">
            <v>Asistencial  15</v>
          </cell>
        </row>
        <row r="110">
          <cell r="B110" t="str">
            <v>Asistencial  16</v>
          </cell>
        </row>
        <row r="111">
          <cell r="B111" t="str">
            <v>Asistencial  17</v>
          </cell>
        </row>
        <row r="112">
          <cell r="B112" t="str">
            <v>Asistencial  18</v>
          </cell>
        </row>
        <row r="113">
          <cell r="B113" t="str">
            <v>Asistencial  19</v>
          </cell>
        </row>
        <row r="114">
          <cell r="B114" t="str">
            <v>Asistencial  20</v>
          </cell>
        </row>
        <row r="115">
          <cell r="B115" t="str">
            <v>Asistencial  21</v>
          </cell>
        </row>
        <row r="116">
          <cell r="B116" t="str">
            <v>Asistencial  22</v>
          </cell>
        </row>
        <row r="117">
          <cell r="B117" t="str">
            <v>Asistencial  23</v>
          </cell>
        </row>
        <row r="118">
          <cell r="B118" t="str">
            <v>Asistencial  24</v>
          </cell>
        </row>
        <row r="119">
          <cell r="B119" t="str">
            <v>Asistencial  25</v>
          </cell>
        </row>
        <row r="120">
          <cell r="B120" t="str">
            <v>Asistencial  26</v>
          </cell>
        </row>
        <row r="121">
          <cell r="B121" t="str">
            <v>SMMLV</v>
          </cell>
        </row>
      </sheetData>
      <sheetData sheetId="7"/>
      <sheetData sheetId="8"/>
      <sheetData sheetId="9"/>
      <sheetData sheetId="10"/>
      <sheetData sheetId="11"/>
      <sheetData sheetId="12"/>
      <sheetData sheetId="13" refreshError="1"/>
      <sheetData sheetId="14" refreshError="1"/>
      <sheetData sheetId="15"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o Total"/>
      <sheetName val="Salarios de Referencia"/>
      <sheetName val="Talento Humano"/>
      <sheetName val="Transporte y Viaticos"/>
      <sheetName val="Hoja2"/>
      <sheetName val="Hoja1"/>
      <sheetName val="Hoja3"/>
      <sheetName val="PERSONAL"/>
      <sheetName val="IMPUESTOS"/>
      <sheetName val="tal humano"/>
      <sheetName val="Seletor"/>
      <sheetName val="Cons Cotizac - Examenes médicos"/>
      <sheetName val="SALARIO DE REFERENCIA"/>
      <sheetName val="Datos Inciales"/>
      <sheetName val="datos"/>
    </sheetNames>
    <sheetDataSet>
      <sheetData sheetId="0"/>
      <sheetData sheetId="1">
        <row r="7">
          <cell r="B7" t="str">
            <v>Directivo 1</v>
          </cell>
        </row>
        <row r="8">
          <cell r="B8" t="str">
            <v>Directivo 2</v>
          </cell>
        </row>
        <row r="9">
          <cell r="B9" t="str">
            <v>Directivo 3</v>
          </cell>
        </row>
        <row r="10">
          <cell r="B10" t="str">
            <v>Directivo 4</v>
          </cell>
        </row>
        <row r="11">
          <cell r="B11" t="str">
            <v>Directivo 5</v>
          </cell>
        </row>
        <row r="12">
          <cell r="B12" t="str">
            <v>Directivo 6</v>
          </cell>
        </row>
        <row r="13">
          <cell r="B13" t="str">
            <v>Directivo 7</v>
          </cell>
        </row>
        <row r="14">
          <cell r="B14" t="str">
            <v>Directivo 8</v>
          </cell>
        </row>
        <row r="15">
          <cell r="B15" t="str">
            <v>Directivo 9</v>
          </cell>
        </row>
        <row r="16">
          <cell r="B16" t="str">
            <v>Directivo 10</v>
          </cell>
        </row>
        <row r="17">
          <cell r="B17" t="str">
            <v>Directivo 11</v>
          </cell>
        </row>
        <row r="18">
          <cell r="B18" t="str">
            <v>Directivo 12</v>
          </cell>
        </row>
        <row r="19">
          <cell r="B19" t="str">
            <v>Directivo 13</v>
          </cell>
        </row>
        <row r="20">
          <cell r="B20" t="str">
            <v>Directivo 14</v>
          </cell>
        </row>
        <row r="21">
          <cell r="B21" t="str">
            <v>Directivo 15</v>
          </cell>
        </row>
        <row r="22">
          <cell r="B22" t="str">
            <v>Directivo 16</v>
          </cell>
        </row>
        <row r="23">
          <cell r="B23" t="str">
            <v>Directivo 17</v>
          </cell>
        </row>
        <row r="24">
          <cell r="B24" t="str">
            <v>Directivo 18</v>
          </cell>
        </row>
        <row r="25">
          <cell r="B25" t="str">
            <v>Directivo 19</v>
          </cell>
        </row>
        <row r="26">
          <cell r="B26" t="str">
            <v>Directivo 20</v>
          </cell>
        </row>
        <row r="27">
          <cell r="B27" t="str">
            <v>Directivo 21</v>
          </cell>
        </row>
        <row r="28">
          <cell r="B28" t="str">
            <v>Directivo 22</v>
          </cell>
        </row>
        <row r="29">
          <cell r="B29" t="str">
            <v>Directivo 23</v>
          </cell>
        </row>
        <row r="30">
          <cell r="B30" t="str">
            <v>Directivo 24</v>
          </cell>
        </row>
        <row r="31">
          <cell r="B31" t="str">
            <v>Directivo 25</v>
          </cell>
        </row>
        <row r="32">
          <cell r="B32" t="str">
            <v>Directivo 26</v>
          </cell>
        </row>
        <row r="33">
          <cell r="B33" t="str">
            <v>Directivo 27</v>
          </cell>
        </row>
        <row r="34">
          <cell r="B34" t="str">
            <v>asesor 1</v>
          </cell>
        </row>
        <row r="35">
          <cell r="B35" t="str">
            <v>asesor 2</v>
          </cell>
        </row>
        <row r="36">
          <cell r="B36" t="str">
            <v>asesor 3</v>
          </cell>
        </row>
        <row r="37">
          <cell r="B37" t="str">
            <v>asesor 4</v>
          </cell>
        </row>
        <row r="38">
          <cell r="B38" t="str">
            <v>asesor 5</v>
          </cell>
        </row>
        <row r="39">
          <cell r="B39" t="str">
            <v>asesor 6</v>
          </cell>
        </row>
        <row r="40">
          <cell r="B40" t="str">
            <v>asesor 7</v>
          </cell>
        </row>
        <row r="41">
          <cell r="B41" t="str">
            <v>asesor 8</v>
          </cell>
        </row>
        <row r="42">
          <cell r="B42" t="str">
            <v>asesor 9</v>
          </cell>
        </row>
        <row r="43">
          <cell r="B43" t="str">
            <v>asesor 10</v>
          </cell>
        </row>
        <row r="44">
          <cell r="B44" t="str">
            <v>asesor 11</v>
          </cell>
        </row>
        <row r="45">
          <cell r="B45" t="str">
            <v>asesor 12</v>
          </cell>
        </row>
        <row r="46">
          <cell r="B46" t="str">
            <v>asesor 13</v>
          </cell>
        </row>
        <row r="47">
          <cell r="B47" t="str">
            <v>asesor 14</v>
          </cell>
        </row>
        <row r="48">
          <cell r="B48" t="str">
            <v>asesor 15</v>
          </cell>
        </row>
        <row r="49">
          <cell r="B49" t="str">
            <v>asesor 16</v>
          </cell>
        </row>
        <row r="50">
          <cell r="B50" t="str">
            <v>asesor 17</v>
          </cell>
        </row>
        <row r="51">
          <cell r="B51" t="str">
            <v>asesor 18</v>
          </cell>
        </row>
        <row r="52">
          <cell r="B52" t="str">
            <v>profesional  1</v>
          </cell>
        </row>
        <row r="53">
          <cell r="B53" t="str">
            <v>profesional  2</v>
          </cell>
        </row>
        <row r="54">
          <cell r="B54" t="str">
            <v>profesional  3</v>
          </cell>
        </row>
        <row r="55">
          <cell r="B55" t="str">
            <v>profesional  4</v>
          </cell>
        </row>
        <row r="56">
          <cell r="B56" t="str">
            <v>profesional  5</v>
          </cell>
        </row>
        <row r="57">
          <cell r="B57" t="str">
            <v>profesional  6</v>
          </cell>
        </row>
        <row r="58">
          <cell r="B58" t="str">
            <v>profesional  7</v>
          </cell>
        </row>
        <row r="59">
          <cell r="B59" t="str">
            <v>profesional  8</v>
          </cell>
        </row>
        <row r="60">
          <cell r="B60" t="str">
            <v>profesional  9</v>
          </cell>
        </row>
        <row r="61">
          <cell r="B61" t="str">
            <v>profesional  10</v>
          </cell>
        </row>
        <row r="62">
          <cell r="B62" t="str">
            <v>profesional  11</v>
          </cell>
        </row>
        <row r="63">
          <cell r="B63" t="str">
            <v>profesional  12</v>
          </cell>
        </row>
        <row r="64">
          <cell r="B64" t="str">
            <v>profesional  13</v>
          </cell>
        </row>
        <row r="65">
          <cell r="B65" t="str">
            <v>profesional  14</v>
          </cell>
        </row>
        <row r="66">
          <cell r="B66" t="str">
            <v>profesional  15</v>
          </cell>
        </row>
        <row r="67">
          <cell r="B67" t="str">
            <v>profesional  16</v>
          </cell>
        </row>
        <row r="68">
          <cell r="B68" t="str">
            <v>profesional  17</v>
          </cell>
        </row>
        <row r="69">
          <cell r="B69" t="str">
            <v>profesional  18</v>
          </cell>
        </row>
        <row r="70">
          <cell r="B70" t="str">
            <v>profesional  19</v>
          </cell>
        </row>
        <row r="71">
          <cell r="B71" t="str">
            <v>profesional  20</v>
          </cell>
        </row>
        <row r="72">
          <cell r="B72" t="str">
            <v>profesional  21</v>
          </cell>
        </row>
        <row r="73">
          <cell r="B73" t="str">
            <v>profesional  22</v>
          </cell>
        </row>
        <row r="74">
          <cell r="B74" t="str">
            <v>profesional  23</v>
          </cell>
        </row>
        <row r="75">
          <cell r="B75" t="str">
            <v>profesional  24</v>
          </cell>
        </row>
        <row r="76">
          <cell r="B76" t="str">
            <v>tecnico 1</v>
          </cell>
        </row>
        <row r="77">
          <cell r="B77" t="str">
            <v>tecnico  2</v>
          </cell>
        </row>
        <row r="78">
          <cell r="B78" t="str">
            <v>tecnico  3</v>
          </cell>
        </row>
        <row r="79">
          <cell r="B79" t="str">
            <v>tecnico  4</v>
          </cell>
        </row>
        <row r="80">
          <cell r="B80" t="str">
            <v>tecnico  5</v>
          </cell>
        </row>
        <row r="81">
          <cell r="B81" t="str">
            <v>tecnico  6</v>
          </cell>
        </row>
        <row r="82">
          <cell r="B82" t="str">
            <v>tecnico  7</v>
          </cell>
        </row>
        <row r="83">
          <cell r="B83" t="str">
            <v>tecnico  8</v>
          </cell>
        </row>
        <row r="84">
          <cell r="B84" t="str">
            <v>tecnico  9</v>
          </cell>
        </row>
        <row r="85">
          <cell r="B85" t="str">
            <v>tecnico  10</v>
          </cell>
        </row>
        <row r="86">
          <cell r="B86" t="str">
            <v>tecnico  11</v>
          </cell>
        </row>
        <row r="87">
          <cell r="B87" t="str">
            <v>tecnico  12</v>
          </cell>
        </row>
        <row r="88">
          <cell r="B88" t="str">
            <v>tecnico  13</v>
          </cell>
        </row>
        <row r="89">
          <cell r="B89" t="str">
            <v>tecnico  14</v>
          </cell>
        </row>
        <row r="90">
          <cell r="B90" t="str">
            <v>tecnico  15</v>
          </cell>
        </row>
        <row r="91">
          <cell r="B91" t="str">
            <v>tecnico  16</v>
          </cell>
        </row>
        <row r="92">
          <cell r="B92" t="str">
            <v>tecnico  17</v>
          </cell>
        </row>
        <row r="93">
          <cell r="B93" t="str">
            <v>tecnico  18</v>
          </cell>
        </row>
        <row r="94">
          <cell r="B94" t="str">
            <v>asistencial  1</v>
          </cell>
        </row>
        <row r="95">
          <cell r="B95" t="str">
            <v>asistencial  2</v>
          </cell>
        </row>
        <row r="96">
          <cell r="B96" t="str">
            <v>asistencial  3</v>
          </cell>
        </row>
        <row r="97">
          <cell r="B97" t="str">
            <v>asistencial  4</v>
          </cell>
        </row>
        <row r="98">
          <cell r="B98" t="str">
            <v>asistencial  5</v>
          </cell>
        </row>
        <row r="99">
          <cell r="B99" t="str">
            <v>asistencial  6</v>
          </cell>
        </row>
        <row r="100">
          <cell r="B100" t="str">
            <v>asistencial  7</v>
          </cell>
        </row>
        <row r="101">
          <cell r="B101" t="str">
            <v>asistencial  8</v>
          </cell>
        </row>
        <row r="102">
          <cell r="B102" t="str">
            <v>asistencial  9</v>
          </cell>
        </row>
        <row r="103">
          <cell r="B103" t="str">
            <v>asistencial  10</v>
          </cell>
        </row>
        <row r="104">
          <cell r="B104" t="str">
            <v>asistencial  11</v>
          </cell>
        </row>
        <row r="105">
          <cell r="B105" t="str">
            <v>asistencial  12</v>
          </cell>
        </row>
        <row r="106">
          <cell r="B106" t="str">
            <v>asistencial  13</v>
          </cell>
        </row>
        <row r="107">
          <cell r="B107" t="str">
            <v>asistencial  14</v>
          </cell>
        </row>
        <row r="108">
          <cell r="B108" t="str">
            <v>asistencial  15</v>
          </cell>
        </row>
        <row r="109">
          <cell r="B109" t="str">
            <v>asistencial  16</v>
          </cell>
        </row>
        <row r="110">
          <cell r="B110" t="str">
            <v>asistencial  17</v>
          </cell>
        </row>
        <row r="111">
          <cell r="B111" t="str">
            <v>asistencial  18</v>
          </cell>
        </row>
        <row r="112">
          <cell r="B112" t="str">
            <v>asistencial  19</v>
          </cell>
        </row>
        <row r="113">
          <cell r="B113" t="str">
            <v>asistencial  20</v>
          </cell>
        </row>
        <row r="114">
          <cell r="B114" t="str">
            <v>asistencial  21</v>
          </cell>
        </row>
        <row r="115">
          <cell r="B115" t="str">
            <v>asistencial  22</v>
          </cell>
        </row>
        <row r="116">
          <cell r="B116" t="str">
            <v>asistencial  23</v>
          </cell>
        </row>
        <row r="117">
          <cell r="B117" t="str">
            <v>asistencial  24</v>
          </cell>
        </row>
        <row r="118">
          <cell r="B118" t="str">
            <v>asistencial  25</v>
          </cell>
        </row>
        <row r="119">
          <cell r="B119" t="str">
            <v>asistencial  26</v>
          </cell>
        </row>
        <row r="120">
          <cell r="B120" t="str">
            <v>SMMLV</v>
          </cell>
        </row>
      </sheetData>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DES PAE 2010"/>
      <sheetName val="Departamentos"/>
      <sheetName val="Regionales"/>
      <sheetName val="Listas"/>
      <sheetName val="Hoja3"/>
      <sheetName val="DepMunicipio"/>
      <sheetName val="datos"/>
      <sheetName val="SALARIO DE REFERENCIA"/>
      <sheetName val="Datos Inciales"/>
      <sheetName val="RESUMEN"/>
      <sheetName val="Salarios de Referencia"/>
      <sheetName val="Tablas"/>
    </sheetNames>
    <sheetDataSet>
      <sheetData sheetId="0"/>
      <sheetData sheetId="1" refreshError="1"/>
      <sheetData sheetId="2" refreshError="1"/>
      <sheetData sheetId="3">
        <row r="2">
          <cell r="B2" t="str">
            <v>AMAZONAS</v>
          </cell>
        </row>
        <row r="3">
          <cell r="B3" t="str">
            <v>ANTIOQUIA</v>
          </cell>
        </row>
        <row r="4">
          <cell r="B4" t="str">
            <v>ARAUCA</v>
          </cell>
        </row>
        <row r="5">
          <cell r="B5" t="str">
            <v>ATLANTICO</v>
          </cell>
        </row>
        <row r="6">
          <cell r="B6" t="str">
            <v>BOGOTA DC</v>
          </cell>
        </row>
        <row r="7">
          <cell r="B7" t="str">
            <v>BOLIVAR</v>
          </cell>
        </row>
        <row r="8">
          <cell r="B8" t="str">
            <v>BOYACA</v>
          </cell>
        </row>
        <row r="9">
          <cell r="B9" t="str">
            <v>CALDAS</v>
          </cell>
        </row>
        <row r="10">
          <cell r="B10" t="str">
            <v>CAQUETA</v>
          </cell>
        </row>
        <row r="11">
          <cell r="B11" t="str">
            <v>CASANARE</v>
          </cell>
        </row>
        <row r="12">
          <cell r="B12" t="str">
            <v>CAUCA</v>
          </cell>
        </row>
        <row r="13">
          <cell r="B13" t="str">
            <v>CESAR</v>
          </cell>
        </row>
        <row r="14">
          <cell r="B14" t="str">
            <v>CHOCO</v>
          </cell>
        </row>
        <row r="15">
          <cell r="B15" t="str">
            <v>CORDOBA</v>
          </cell>
        </row>
        <row r="16">
          <cell r="B16" t="str">
            <v>CUNDINAMARCA</v>
          </cell>
        </row>
        <row r="17">
          <cell r="B17" t="str">
            <v>GUAINIA</v>
          </cell>
        </row>
        <row r="18">
          <cell r="B18" t="str">
            <v>GUAVIARE</v>
          </cell>
        </row>
        <row r="19">
          <cell r="B19" t="str">
            <v>HUILA</v>
          </cell>
        </row>
        <row r="20">
          <cell r="B20" t="str">
            <v>LA GUAJIRA</v>
          </cell>
        </row>
        <row r="21">
          <cell r="B21" t="str">
            <v>MAGDALENA</v>
          </cell>
        </row>
        <row r="22">
          <cell r="B22" t="str">
            <v>META</v>
          </cell>
        </row>
        <row r="23">
          <cell r="B23" t="str">
            <v>NARINO</v>
          </cell>
        </row>
        <row r="24">
          <cell r="B24" t="str">
            <v>NORTE DE SANTANDER</v>
          </cell>
        </row>
        <row r="25">
          <cell r="B25" t="str">
            <v>PUTUMAYO</v>
          </cell>
        </row>
        <row r="26">
          <cell r="B26" t="str">
            <v>QUINDIO</v>
          </cell>
        </row>
        <row r="27">
          <cell r="B27" t="str">
            <v>RISARALDA</v>
          </cell>
        </row>
        <row r="28">
          <cell r="B28" t="str">
            <v>SAN ANDRES</v>
          </cell>
        </row>
        <row r="29">
          <cell r="B29" t="str">
            <v>SANTANDER</v>
          </cell>
        </row>
        <row r="30">
          <cell r="B30" t="str">
            <v>SUCRE</v>
          </cell>
        </row>
        <row r="31">
          <cell r="B31" t="str">
            <v>TOLIMA</v>
          </cell>
        </row>
        <row r="32">
          <cell r="B32" t="str">
            <v>VALLE DEL CAUCA</v>
          </cell>
        </row>
        <row r="33">
          <cell r="B33" t="str">
            <v>VAUPES</v>
          </cell>
        </row>
        <row r="34">
          <cell r="B34" t="str">
            <v>VICHADA</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FCT ANTERIOR"/>
      <sheetName val="FORMATO_COTIZACIÓN"/>
      <sheetName val="RESUMEN CIRCULAR_DEC_RESOLUCION"/>
      <sheetName val="ENCUESTA"/>
      <sheetName val="OCULTAR"/>
    </sheetNames>
    <sheetDataSet>
      <sheetData sheetId="0"/>
      <sheetData sheetId="1"/>
      <sheetData sheetId="2">
        <row r="34">
          <cell r="M34">
            <v>1750905</v>
          </cell>
        </row>
      </sheetData>
      <sheetData sheetId="3"/>
      <sheetData sheetId="4"/>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FCT ANTERIOR"/>
      <sheetName val="FORMATO_COTIZACIÓN"/>
      <sheetName val="RESUMEN CIRCULAR_DECRETO"/>
      <sheetName val="ENCUESTA"/>
      <sheetName val="OCULTAR"/>
    </sheetNames>
    <sheetDataSet>
      <sheetData sheetId="0"/>
      <sheetData sheetId="1"/>
      <sheetData sheetId="2">
        <row r="26">
          <cell r="N26">
            <v>1300000</v>
          </cell>
        </row>
        <row r="27">
          <cell r="N27">
            <v>1410500</v>
          </cell>
        </row>
        <row r="28">
          <cell r="N28">
            <v>1504157.2</v>
          </cell>
        </row>
        <row r="33">
          <cell r="H33">
            <v>12844224</v>
          </cell>
          <cell r="K33">
            <v>13936158</v>
          </cell>
          <cell r="N33">
            <v>14164659</v>
          </cell>
          <cell r="Q33">
            <v>15105623</v>
          </cell>
          <cell r="T33">
            <v>15154358</v>
          </cell>
        </row>
        <row r="34">
          <cell r="H34">
            <v>13082080</v>
          </cell>
          <cell r="K34">
            <v>14194235</v>
          </cell>
          <cell r="N34">
            <v>14426968</v>
          </cell>
          <cell r="Q34">
            <v>15385357</v>
          </cell>
          <cell r="T34">
            <v>15434994</v>
          </cell>
        </row>
        <row r="35">
          <cell r="H35">
            <v>4360654</v>
          </cell>
          <cell r="K35">
            <v>4731367.4000000004</v>
          </cell>
          <cell r="N35">
            <v>4808945.4000000004</v>
          </cell>
          <cell r="Q35">
            <v>5128404.4400000004</v>
          </cell>
          <cell r="T35">
            <v>5144950.4400000004</v>
          </cell>
        </row>
        <row r="36">
          <cell r="H36">
            <v>3905106</v>
          </cell>
          <cell r="K36">
            <v>4237093</v>
          </cell>
          <cell r="N36">
            <v>4306566</v>
          </cell>
          <cell r="Q36">
            <v>4592653.4000000004</v>
          </cell>
          <cell r="T36">
            <v>4607470.4000000004</v>
          </cell>
        </row>
        <row r="37">
          <cell r="H37">
            <v>4728751</v>
          </cell>
          <cell r="K37">
            <v>5130759.5999999996</v>
          </cell>
          <cell r="N37">
            <v>5214884.5999999996</v>
          </cell>
          <cell r="Q37">
            <v>5561312.1600000001</v>
          </cell>
          <cell r="T37">
            <v>5579254.1600000001</v>
          </cell>
        </row>
        <row r="38">
          <cell r="H38">
            <v>5751156</v>
          </cell>
          <cell r="K38">
            <v>6240082</v>
          </cell>
          <cell r="N38">
            <v>6342396</v>
          </cell>
          <cell r="Q38">
            <v>6763725.5999999996</v>
          </cell>
          <cell r="T38">
            <v>6785546.5999999996</v>
          </cell>
        </row>
      </sheetData>
      <sheetData sheetId="3"/>
      <sheetData sheetId="4"/>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FCT ANTERIOR"/>
      <sheetName val="FORMATO_COTIZACIÓN"/>
      <sheetName val="RESUMEN CIRCULAR_DECRETO"/>
      <sheetName val="ENCUESTA"/>
      <sheetName val="OCULTAR"/>
    </sheetNames>
    <sheetDataSet>
      <sheetData sheetId="0"/>
      <sheetData sheetId="1"/>
      <sheetData sheetId="2">
        <row r="26">
          <cell r="N26">
            <v>1300000</v>
          </cell>
        </row>
        <row r="27">
          <cell r="N27">
            <v>1410500</v>
          </cell>
        </row>
        <row r="28">
          <cell r="N28">
            <v>1504157.2</v>
          </cell>
        </row>
        <row r="33">
          <cell r="H33">
            <v>12834180</v>
          </cell>
          <cell r="K33">
            <v>13925110</v>
          </cell>
          <cell r="N33">
            <v>14153611</v>
          </cell>
          <cell r="Q33">
            <v>15093470</v>
          </cell>
          <cell r="T33">
            <v>15142205</v>
          </cell>
        </row>
        <row r="34">
          <cell r="H34">
            <v>13071850</v>
          </cell>
          <cell r="K34">
            <v>14182982</v>
          </cell>
          <cell r="N34">
            <v>14415715</v>
          </cell>
          <cell r="Q34">
            <v>15372979</v>
          </cell>
          <cell r="T34">
            <v>15422616</v>
          </cell>
        </row>
        <row r="35">
          <cell r="H35">
            <v>4358384</v>
          </cell>
          <cell r="K35">
            <v>4728870</v>
          </cell>
          <cell r="N35">
            <v>4806448</v>
          </cell>
          <cell r="Q35">
            <v>5125657</v>
          </cell>
          <cell r="T35">
            <v>5142203</v>
          </cell>
        </row>
        <row r="36">
          <cell r="H36">
            <v>3903192</v>
          </cell>
          <cell r="K36">
            <v>4234988</v>
          </cell>
          <cell r="N36">
            <v>4304461</v>
          </cell>
          <cell r="Q36">
            <v>4590337</v>
          </cell>
          <cell r="T36">
            <v>4605154</v>
          </cell>
        </row>
        <row r="37">
          <cell r="H37">
            <v>4726055</v>
          </cell>
          <cell r="K37">
            <v>5127795</v>
          </cell>
          <cell r="N37">
            <v>5211919</v>
          </cell>
          <cell r="Q37">
            <v>5558050</v>
          </cell>
          <cell r="T37">
            <v>5575992</v>
          </cell>
        </row>
        <row r="38">
          <cell r="H38">
            <v>5747527</v>
          </cell>
          <cell r="K38">
            <v>6236091</v>
          </cell>
          <cell r="N38">
            <v>6338404</v>
          </cell>
          <cell r="Q38">
            <v>6759334</v>
          </cell>
          <cell r="T38">
            <v>6781156</v>
          </cell>
        </row>
      </sheetData>
      <sheetData sheetId="3"/>
      <sheetData sheetId="4"/>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FCT ANTERIOR"/>
      <sheetName val="FORMATO_COTIZACIÓN"/>
      <sheetName val="RESUMEN CIRCULAR_DECRETO"/>
      <sheetName val="ENCUESTA"/>
      <sheetName val="OCULTAR"/>
    </sheetNames>
    <sheetDataSet>
      <sheetData sheetId="0"/>
      <sheetData sheetId="1"/>
      <sheetData sheetId="2">
        <row r="26">
          <cell r="N26">
            <v>1300000</v>
          </cell>
        </row>
        <row r="27">
          <cell r="N27">
            <v>1410500</v>
          </cell>
        </row>
        <row r="28">
          <cell r="N28">
            <v>1504157.2</v>
          </cell>
        </row>
        <row r="33">
          <cell r="H33">
            <v>12833154</v>
          </cell>
          <cell r="K33">
            <v>13923922</v>
          </cell>
          <cell r="N33">
            <v>14152423</v>
          </cell>
          <cell r="Q33">
            <v>15092104</v>
          </cell>
          <cell r="T33">
            <v>15140839</v>
          </cell>
        </row>
        <row r="34">
          <cell r="H34">
            <v>13070805</v>
          </cell>
          <cell r="K34">
            <v>14181772</v>
          </cell>
          <cell r="N34">
            <v>14414505</v>
          </cell>
          <cell r="Q34">
            <v>15371587</v>
          </cell>
          <cell r="T34">
            <v>15421225</v>
          </cell>
        </row>
        <row r="35">
          <cell r="H35">
            <v>4357339</v>
          </cell>
          <cell r="K35">
            <v>4727660</v>
          </cell>
          <cell r="N35">
            <v>4805238</v>
          </cell>
          <cell r="Q35">
            <v>5124265</v>
          </cell>
          <cell r="T35">
            <v>5140812</v>
          </cell>
        </row>
        <row r="36">
          <cell r="H36">
            <v>3902147</v>
          </cell>
          <cell r="K36">
            <v>4233778</v>
          </cell>
          <cell r="N36">
            <v>4303251</v>
          </cell>
          <cell r="Q36">
            <v>4588946</v>
          </cell>
          <cell r="T36">
            <v>4603763</v>
          </cell>
        </row>
        <row r="37">
          <cell r="H37">
            <v>4725029</v>
          </cell>
          <cell r="K37">
            <v>5126607</v>
          </cell>
          <cell r="N37">
            <v>5210731</v>
          </cell>
          <cell r="Q37">
            <v>5556684</v>
          </cell>
          <cell r="T37">
            <v>5574626</v>
          </cell>
        </row>
        <row r="38">
          <cell r="H38">
            <v>5746501</v>
          </cell>
          <cell r="K38">
            <v>6234903</v>
          </cell>
          <cell r="N38">
            <v>6337216</v>
          </cell>
          <cell r="Q38">
            <v>6757968</v>
          </cell>
          <cell r="T38">
            <v>6779790</v>
          </cell>
        </row>
      </sheetData>
      <sheetData sheetId="3"/>
      <sheetData sheetId="4"/>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FCT ANTERIOR"/>
      <sheetName val="FORMATO_COTIZACIÓN"/>
      <sheetName val="RESUMEN CIRCULAR_DECRETO"/>
      <sheetName val="ENCUESTA"/>
      <sheetName val="OCULTAR"/>
    </sheetNames>
    <sheetDataSet>
      <sheetData sheetId="0"/>
      <sheetData sheetId="1"/>
      <sheetData sheetId="2">
        <row r="26">
          <cell r="N26">
            <v>1300000</v>
          </cell>
        </row>
        <row r="27">
          <cell r="N27">
            <v>1410500</v>
          </cell>
        </row>
        <row r="28">
          <cell r="N28">
            <v>1504157.2</v>
          </cell>
        </row>
        <row r="33">
          <cell r="H33">
            <v>12871440</v>
          </cell>
          <cell r="K33">
            <v>13965512</v>
          </cell>
          <cell r="N33">
            <v>14194013</v>
          </cell>
          <cell r="Q33">
            <v>15136478.960000001</v>
          </cell>
          <cell r="T33">
            <v>15185213.960000001</v>
          </cell>
        </row>
        <row r="34">
          <cell r="H34">
            <v>13109800</v>
          </cell>
          <cell r="K34">
            <v>14224133</v>
          </cell>
          <cell r="N34">
            <v>14456866</v>
          </cell>
          <cell r="Q34">
            <v>15416783.960000001</v>
          </cell>
          <cell r="T34">
            <v>15466420.960000001</v>
          </cell>
        </row>
        <row r="35">
          <cell r="H35">
            <v>4396334</v>
          </cell>
          <cell r="K35">
            <v>4770021</v>
          </cell>
          <cell r="N35">
            <v>4847599</v>
          </cell>
          <cell r="Q35">
            <v>5169461.96</v>
          </cell>
          <cell r="T35">
            <v>5186007.96</v>
          </cell>
        </row>
        <row r="36">
          <cell r="H36">
            <v>3927942</v>
          </cell>
          <cell r="K36">
            <v>4261817</v>
          </cell>
          <cell r="N36">
            <v>4331290</v>
          </cell>
          <cell r="Q36">
            <v>4618875.6399999997</v>
          </cell>
          <cell r="T36">
            <v>4633692.6399999997</v>
          </cell>
        </row>
        <row r="37">
          <cell r="H37">
            <v>4750355</v>
          </cell>
          <cell r="K37">
            <v>5154136</v>
          </cell>
          <cell r="N37">
            <v>5238260</v>
          </cell>
          <cell r="Q37">
            <v>5586069.6399999997</v>
          </cell>
          <cell r="T37">
            <v>5604011.6399999997</v>
          </cell>
        </row>
        <row r="38">
          <cell r="H38">
            <v>5771827</v>
          </cell>
          <cell r="K38">
            <v>6262432</v>
          </cell>
          <cell r="N38">
            <v>6364746</v>
          </cell>
          <cell r="Q38">
            <v>6787353.6399999997</v>
          </cell>
          <cell r="T38">
            <v>6809174.6399999997</v>
          </cell>
        </row>
      </sheetData>
      <sheetData sheetId="3"/>
      <sheetData sheetId="4"/>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FCT ANTERIOR"/>
      <sheetName val="FORMATO_COTIZACIÓN"/>
      <sheetName val="RESUMEN CIRCULAR_DECRETO"/>
      <sheetName val="ENCUESTA"/>
      <sheetName val="OCULTAR"/>
    </sheetNames>
    <sheetDataSet>
      <sheetData sheetId="0"/>
      <sheetData sheetId="1"/>
      <sheetData sheetId="2">
        <row r="26">
          <cell r="N26">
            <v>1300000</v>
          </cell>
        </row>
        <row r="27">
          <cell r="N27">
            <v>1410500</v>
          </cell>
        </row>
        <row r="28">
          <cell r="N28">
            <v>1504157.2</v>
          </cell>
        </row>
        <row r="33">
          <cell r="H33">
            <v>12835260</v>
          </cell>
          <cell r="K33">
            <v>13926028</v>
          </cell>
          <cell r="N33">
            <v>14154529</v>
          </cell>
          <cell r="Q33">
            <v>15094210</v>
          </cell>
          <cell r="T33">
            <v>15142945</v>
          </cell>
        </row>
        <row r="34">
          <cell r="H34">
            <v>13072950</v>
          </cell>
          <cell r="K34">
            <v>14183917</v>
          </cell>
          <cell r="N34">
            <v>14416650</v>
          </cell>
          <cell r="Q34">
            <v>15373732</v>
          </cell>
          <cell r="T34">
            <v>15423370</v>
          </cell>
        </row>
        <row r="35">
          <cell r="H35">
            <v>4359484</v>
          </cell>
          <cell r="K35">
            <v>4729805</v>
          </cell>
          <cell r="N35">
            <v>4807383</v>
          </cell>
          <cell r="Q35">
            <v>5126410</v>
          </cell>
          <cell r="T35">
            <v>5142957</v>
          </cell>
        </row>
        <row r="36">
          <cell r="H36">
            <v>3904292</v>
          </cell>
          <cell r="K36">
            <v>4235923</v>
          </cell>
          <cell r="N36">
            <v>4305396</v>
          </cell>
          <cell r="Q36">
            <v>4591091</v>
          </cell>
          <cell r="T36">
            <v>4605908</v>
          </cell>
        </row>
        <row r="37">
          <cell r="H37">
            <v>4727135</v>
          </cell>
          <cell r="K37">
            <v>5128713</v>
          </cell>
          <cell r="N37">
            <v>5212837</v>
          </cell>
          <cell r="Q37">
            <v>5558790</v>
          </cell>
          <cell r="T37">
            <v>5576732</v>
          </cell>
        </row>
        <row r="38">
          <cell r="H38">
            <v>5748607</v>
          </cell>
          <cell r="K38">
            <v>6237009</v>
          </cell>
          <cell r="N38">
            <v>6339322</v>
          </cell>
          <cell r="Q38">
            <v>6760074</v>
          </cell>
          <cell r="T38">
            <v>6781896</v>
          </cell>
        </row>
      </sheetData>
      <sheetData sheetId="3"/>
      <sheetData sheetId="4"/>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FCT ANTERIOR"/>
      <sheetName val="FORMATO_COTIZACIÓN"/>
      <sheetName val="RESUMEN CIRCULAR_DECRETO"/>
      <sheetName val="ENCUESTA"/>
      <sheetName val="OCULTAR"/>
    </sheetNames>
    <sheetDataSet>
      <sheetData sheetId="0"/>
      <sheetData sheetId="1"/>
      <sheetData sheetId="2">
        <row r="26">
          <cell r="N26">
            <v>1300000</v>
          </cell>
        </row>
        <row r="27">
          <cell r="N27">
            <v>1410500</v>
          </cell>
        </row>
        <row r="28">
          <cell r="N28">
            <v>1504157.2</v>
          </cell>
        </row>
        <row r="33">
          <cell r="H33">
            <v>23632560</v>
          </cell>
          <cell r="K33">
            <v>24723328</v>
          </cell>
          <cell r="N33">
            <v>24951829</v>
          </cell>
          <cell r="Q33">
            <v>25891510</v>
          </cell>
          <cell r="T33">
            <v>25940245</v>
          </cell>
        </row>
        <row r="34">
          <cell r="H34">
            <v>24070200</v>
          </cell>
          <cell r="K34">
            <v>25181167</v>
          </cell>
          <cell r="N34">
            <v>25413900</v>
          </cell>
          <cell r="Q34">
            <v>26370982</v>
          </cell>
          <cell r="T34">
            <v>26420620</v>
          </cell>
        </row>
        <row r="35">
          <cell r="H35">
            <v>15356734</v>
          </cell>
          <cell r="K35">
            <v>15727055</v>
          </cell>
          <cell r="N35">
            <v>15804633</v>
          </cell>
          <cell r="Q35">
            <v>16123660</v>
          </cell>
          <cell r="T35">
            <v>16140207</v>
          </cell>
        </row>
        <row r="36">
          <cell r="H36">
            <v>14901542</v>
          </cell>
          <cell r="K36">
            <v>15233173</v>
          </cell>
          <cell r="N36">
            <v>15302646</v>
          </cell>
          <cell r="Q36">
            <v>15588341</v>
          </cell>
          <cell r="T36">
            <v>15603158</v>
          </cell>
        </row>
        <row r="37">
          <cell r="H37">
            <v>15524435</v>
          </cell>
          <cell r="K37">
            <v>15926013</v>
          </cell>
          <cell r="N37">
            <v>16010137</v>
          </cell>
          <cell r="Q37">
            <v>16356090</v>
          </cell>
          <cell r="T37">
            <v>16374032</v>
          </cell>
        </row>
        <row r="38">
          <cell r="H38">
            <v>16545907</v>
          </cell>
          <cell r="K38">
            <v>17034309</v>
          </cell>
          <cell r="N38">
            <v>17136622</v>
          </cell>
          <cell r="Q38">
            <v>17557374</v>
          </cell>
          <cell r="T38">
            <v>17579196</v>
          </cell>
        </row>
      </sheetData>
      <sheetData sheetId="3"/>
      <sheetData sheetId="4"/>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FCT ANTERIOR"/>
      <sheetName val="FORMATO_COTIZACIÓN"/>
      <sheetName val="RESUMEN CIRCULAR_DECRETO"/>
      <sheetName val="ENCUESTA"/>
      <sheetName val="OCULTAR"/>
    </sheetNames>
    <sheetDataSet>
      <sheetData sheetId="0"/>
      <sheetData sheetId="1"/>
      <sheetData sheetId="2">
        <row r="26">
          <cell r="N26">
            <v>1300000</v>
          </cell>
        </row>
        <row r="27">
          <cell r="N27">
            <v>1410500</v>
          </cell>
        </row>
        <row r="28">
          <cell r="N28">
            <v>1504157.2</v>
          </cell>
        </row>
        <row r="33">
          <cell r="H33">
            <v>12837906</v>
          </cell>
          <cell r="K33">
            <v>13928994</v>
          </cell>
          <cell r="N33">
            <v>14157495</v>
          </cell>
          <cell r="Q33">
            <v>15097459.35</v>
          </cell>
          <cell r="T33">
            <v>15146194.35</v>
          </cell>
        </row>
        <row r="34">
          <cell r="H34">
            <v>13075645</v>
          </cell>
          <cell r="K34">
            <v>14186939</v>
          </cell>
          <cell r="N34">
            <v>14419671</v>
          </cell>
          <cell r="Q34">
            <v>15377042.35</v>
          </cell>
          <cell r="T34">
            <v>15426679.35</v>
          </cell>
        </row>
        <row r="35">
          <cell r="H35">
            <v>4362179</v>
          </cell>
          <cell r="K35">
            <v>4732827</v>
          </cell>
          <cell r="N35">
            <v>4810405</v>
          </cell>
          <cell r="Q35">
            <v>5129720.3499999996</v>
          </cell>
          <cell r="T35">
            <v>5146266.3499999996</v>
          </cell>
        </row>
        <row r="36">
          <cell r="H36">
            <v>3904264</v>
          </cell>
          <cell r="K36">
            <v>4236058.5</v>
          </cell>
          <cell r="N36">
            <v>4305531.5</v>
          </cell>
          <cell r="Q36">
            <v>4591370.6749999998</v>
          </cell>
          <cell r="T36">
            <v>4606187.6749999998</v>
          </cell>
        </row>
        <row r="37">
          <cell r="H37">
            <v>4726752</v>
          </cell>
          <cell r="K37">
            <v>5128468.7</v>
          </cell>
          <cell r="N37">
            <v>5212592.7</v>
          </cell>
          <cell r="Q37">
            <v>5558668.3849999998</v>
          </cell>
          <cell r="T37">
            <v>5576610.3849999998</v>
          </cell>
        </row>
        <row r="38">
          <cell r="H38">
            <v>5749471</v>
          </cell>
          <cell r="K38">
            <v>6238086</v>
          </cell>
          <cell r="N38">
            <v>6340400</v>
          </cell>
          <cell r="Q38">
            <v>6761340.9000000004</v>
          </cell>
          <cell r="T38">
            <v>6783161.9000000004</v>
          </cell>
        </row>
      </sheetData>
      <sheetData sheetId="3"/>
      <sheetData sheetId="4"/>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FCT ANTERIOR"/>
      <sheetName val="FORMATO_COTIZACIÓN"/>
      <sheetName val="RESUMEN CIRCULAR_DECRETO"/>
      <sheetName val="ENCUESTA"/>
      <sheetName val="OCULTAR"/>
    </sheetNames>
    <sheetDataSet>
      <sheetData sheetId="0"/>
      <sheetData sheetId="1"/>
      <sheetData sheetId="2">
        <row r="26">
          <cell r="N26">
            <v>1300000</v>
          </cell>
        </row>
        <row r="27">
          <cell r="N27">
            <v>1410500</v>
          </cell>
        </row>
        <row r="28">
          <cell r="N28">
            <v>1504157.2</v>
          </cell>
        </row>
        <row r="33">
          <cell r="H33">
            <v>12840660</v>
          </cell>
          <cell r="K33">
            <v>13931590</v>
          </cell>
          <cell r="N33">
            <v>14160091</v>
          </cell>
          <cell r="Q33">
            <v>15099934</v>
          </cell>
          <cell r="T33">
            <v>15148669</v>
          </cell>
        </row>
        <row r="34">
          <cell r="H34">
            <v>13078450</v>
          </cell>
          <cell r="K34">
            <v>14189582</v>
          </cell>
          <cell r="N34">
            <v>14422315</v>
          </cell>
          <cell r="Q34">
            <v>15379562</v>
          </cell>
          <cell r="T34">
            <v>15429200</v>
          </cell>
        </row>
        <row r="35">
          <cell r="H35">
            <v>4359484</v>
          </cell>
          <cell r="K35">
            <v>4729860</v>
          </cell>
          <cell r="N35">
            <v>4807438</v>
          </cell>
          <cell r="Q35">
            <v>5126520</v>
          </cell>
          <cell r="T35">
            <v>5143067</v>
          </cell>
        </row>
        <row r="36">
          <cell r="H36">
            <v>3904292</v>
          </cell>
          <cell r="K36">
            <v>4235978</v>
          </cell>
          <cell r="N36">
            <v>4305451</v>
          </cell>
          <cell r="Q36">
            <v>4591201</v>
          </cell>
          <cell r="T36">
            <v>4606018</v>
          </cell>
        </row>
        <row r="37">
          <cell r="H37">
            <v>4727135</v>
          </cell>
          <cell r="K37">
            <v>5128767</v>
          </cell>
          <cell r="N37">
            <v>5212891</v>
          </cell>
          <cell r="Q37">
            <v>5558898</v>
          </cell>
          <cell r="T37">
            <v>5576840</v>
          </cell>
        </row>
        <row r="38">
          <cell r="H38">
            <v>5749957</v>
          </cell>
          <cell r="K38">
            <v>6238440</v>
          </cell>
          <cell r="N38">
            <v>6340753</v>
          </cell>
          <cell r="Q38">
            <v>6761586</v>
          </cell>
          <cell r="T38">
            <v>6783408</v>
          </cell>
        </row>
      </sheetData>
      <sheetData sheetId="3"/>
      <sheetData sheetId="4"/>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FCT ANTERIOR"/>
      <sheetName val="FORMATO_COTIZACIÓN"/>
      <sheetName val="RESUMEN CIRCULAR_DECRETO"/>
      <sheetName val="ENCUESTA"/>
      <sheetName val="OCULTAR"/>
    </sheetNames>
    <sheetDataSet>
      <sheetData sheetId="0"/>
      <sheetData sheetId="1"/>
      <sheetData sheetId="2">
        <row r="26">
          <cell r="N26">
            <v>1300000</v>
          </cell>
        </row>
        <row r="27">
          <cell r="N27">
            <v>1410500</v>
          </cell>
        </row>
        <row r="28">
          <cell r="N28">
            <v>1504157.2</v>
          </cell>
        </row>
        <row r="33">
          <cell r="H33">
            <v>12842280</v>
          </cell>
          <cell r="K33">
            <v>13936288</v>
          </cell>
          <cell r="N33">
            <v>14164789</v>
          </cell>
          <cell r="Q33">
            <v>15107710</v>
          </cell>
          <cell r="T33">
            <v>15156445</v>
          </cell>
        </row>
        <row r="34">
          <cell r="H34">
            <v>13080100</v>
          </cell>
          <cell r="K34">
            <v>14194367</v>
          </cell>
          <cell r="N34">
            <v>14427100</v>
          </cell>
          <cell r="Q34">
            <v>15387482</v>
          </cell>
          <cell r="T34">
            <v>15437120</v>
          </cell>
        </row>
        <row r="35">
          <cell r="H35">
            <v>4366634</v>
          </cell>
          <cell r="K35">
            <v>4740255</v>
          </cell>
          <cell r="N35">
            <v>4817833</v>
          </cell>
          <cell r="Q35">
            <v>5140160</v>
          </cell>
          <cell r="T35">
            <v>5156707</v>
          </cell>
        </row>
        <row r="36">
          <cell r="H36">
            <v>3904842</v>
          </cell>
          <cell r="K36">
            <v>4237573</v>
          </cell>
          <cell r="N36">
            <v>4307046</v>
          </cell>
          <cell r="Q36">
            <v>4593841</v>
          </cell>
          <cell r="T36">
            <v>4608658</v>
          </cell>
        </row>
        <row r="37">
          <cell r="H37">
            <v>4727675</v>
          </cell>
          <cell r="K37">
            <v>5130333</v>
          </cell>
          <cell r="N37">
            <v>5214457</v>
          </cell>
          <cell r="Q37">
            <v>5561490</v>
          </cell>
          <cell r="T37">
            <v>5579432</v>
          </cell>
        </row>
        <row r="38">
          <cell r="H38">
            <v>5749147</v>
          </cell>
          <cell r="K38">
            <v>6238629</v>
          </cell>
          <cell r="N38">
            <v>6340942</v>
          </cell>
          <cell r="Q38">
            <v>6762774</v>
          </cell>
          <cell r="T38">
            <v>6784596</v>
          </cell>
        </row>
      </sheetData>
      <sheetData sheetId="3"/>
      <sheetData sheetId="4"/>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FCT ANTERIOR"/>
      <sheetName val="FORMATO_COTIZACIÓN"/>
      <sheetName val="RESUMEN CIRCULAR_DECRETO"/>
      <sheetName val="ENCUESTA"/>
      <sheetName val="OCULTAR"/>
    </sheetNames>
    <sheetDataSet>
      <sheetData sheetId="0"/>
      <sheetData sheetId="1"/>
      <sheetData sheetId="2">
        <row r="26">
          <cell r="N26">
            <v>1300000</v>
          </cell>
        </row>
        <row r="27">
          <cell r="N27">
            <v>1410500</v>
          </cell>
        </row>
        <row r="28">
          <cell r="N28">
            <v>1504157.2</v>
          </cell>
        </row>
        <row r="33">
          <cell r="H33">
            <v>12834180</v>
          </cell>
          <cell r="K33">
            <v>13925142</v>
          </cell>
          <cell r="N33">
            <v>14153643</v>
          </cell>
          <cell r="Q33">
            <v>15093542</v>
          </cell>
          <cell r="T33">
            <v>15142277</v>
          </cell>
        </row>
        <row r="34">
          <cell r="H34">
            <v>13071850</v>
          </cell>
          <cell r="K34">
            <v>14183015</v>
          </cell>
          <cell r="N34">
            <v>14415748</v>
          </cell>
          <cell r="Q34">
            <v>15373052</v>
          </cell>
          <cell r="T34">
            <v>15422690</v>
          </cell>
        </row>
        <row r="35">
          <cell r="H35">
            <v>4358384</v>
          </cell>
          <cell r="K35">
            <v>4728903</v>
          </cell>
          <cell r="N35">
            <v>4806481</v>
          </cell>
          <cell r="Q35">
            <v>5125731</v>
          </cell>
          <cell r="T35">
            <v>5142277</v>
          </cell>
        </row>
        <row r="36">
          <cell r="H36">
            <v>3903192</v>
          </cell>
          <cell r="K36">
            <v>4235021</v>
          </cell>
          <cell r="N36">
            <v>4304494</v>
          </cell>
          <cell r="Q36">
            <v>4590411</v>
          </cell>
          <cell r="T36">
            <v>4605228</v>
          </cell>
        </row>
        <row r="37">
          <cell r="H37">
            <v>4726055</v>
          </cell>
          <cell r="K37">
            <v>5127827</v>
          </cell>
          <cell r="N37">
            <v>5211951</v>
          </cell>
          <cell r="Q37">
            <v>5558123</v>
          </cell>
          <cell r="T37">
            <v>5576065</v>
          </cell>
        </row>
        <row r="38">
          <cell r="H38">
            <v>5747527</v>
          </cell>
          <cell r="K38">
            <v>6236123</v>
          </cell>
          <cell r="N38">
            <v>6338437</v>
          </cell>
          <cell r="Q38">
            <v>6759407</v>
          </cell>
          <cell r="T38">
            <v>6781228</v>
          </cell>
        </row>
      </sheetData>
      <sheetData sheetId="3"/>
      <sheetData sheetId="4"/>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FCT ANTERIOR"/>
      <sheetName val="FORMATO_COTIZACIÓN"/>
      <sheetName val="RESUMEN CIRCULAR_DECRETO"/>
      <sheetName val="ENCUESTA"/>
      <sheetName val="OCULTAR"/>
    </sheetNames>
    <sheetDataSet>
      <sheetData sheetId="0"/>
      <sheetData sheetId="1"/>
      <sheetData sheetId="2">
        <row r="26">
          <cell r="N26">
            <v>1300000</v>
          </cell>
        </row>
        <row r="27">
          <cell r="N27">
            <v>1410500</v>
          </cell>
        </row>
        <row r="28">
          <cell r="N28">
            <v>1504157.2</v>
          </cell>
        </row>
        <row r="33">
          <cell r="H33">
            <v>12833409</v>
          </cell>
          <cell r="K33">
            <v>13924249</v>
          </cell>
          <cell r="N33">
            <v>14152750</v>
          </cell>
          <cell r="Q33">
            <v>15092491</v>
          </cell>
          <cell r="T33">
            <v>15141226</v>
          </cell>
        </row>
        <row r="34">
          <cell r="H34">
            <v>13071065</v>
          </cell>
          <cell r="K34">
            <v>14182105</v>
          </cell>
          <cell r="N34">
            <v>14414838</v>
          </cell>
          <cell r="Q34">
            <v>15371982</v>
          </cell>
          <cell r="T34">
            <v>15421619</v>
          </cell>
        </row>
        <row r="35">
          <cell r="H35">
            <v>4357310</v>
          </cell>
          <cell r="K35">
            <v>4727680</v>
          </cell>
          <cell r="N35">
            <v>4805258</v>
          </cell>
          <cell r="Q35">
            <v>5124327</v>
          </cell>
          <cell r="T35">
            <v>5140873</v>
          </cell>
        </row>
        <row r="36">
          <cell r="H36">
            <v>3901830</v>
          </cell>
          <cell r="K36">
            <v>4233485</v>
          </cell>
          <cell r="N36">
            <v>4302958</v>
          </cell>
          <cell r="Q36">
            <v>4588673</v>
          </cell>
          <cell r="T36">
            <v>4603490</v>
          </cell>
        </row>
        <row r="37">
          <cell r="H37">
            <v>4724718</v>
          </cell>
          <cell r="K37">
            <v>5126319</v>
          </cell>
          <cell r="N37">
            <v>5210444</v>
          </cell>
          <cell r="Q37">
            <v>5556416</v>
          </cell>
          <cell r="T37">
            <v>5574358</v>
          </cell>
        </row>
        <row r="38">
          <cell r="H38">
            <v>5746473</v>
          </cell>
          <cell r="K38">
            <v>6234922</v>
          </cell>
          <cell r="N38">
            <v>6337236</v>
          </cell>
          <cell r="Q38">
            <v>6758029</v>
          </cell>
          <cell r="T38">
            <v>6779850</v>
          </cell>
        </row>
      </sheetData>
      <sheetData sheetId="3"/>
      <sheetData sheetId="4"/>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FCT ANTERIOR"/>
      <sheetName val="FORMATO_COTIZACIÓN"/>
      <sheetName val="RESUMEN CIRCULAR_DECRETO"/>
      <sheetName val="ENCUESTA"/>
      <sheetName val="OCULTAR"/>
    </sheetNames>
    <sheetDataSet>
      <sheetData sheetId="0" refreshError="1"/>
      <sheetData sheetId="1"/>
      <sheetData sheetId="2">
        <row r="26">
          <cell r="N26">
            <v>1300000</v>
          </cell>
        </row>
        <row r="27">
          <cell r="N27">
            <v>1410500</v>
          </cell>
        </row>
        <row r="28">
          <cell r="N28">
            <v>1504157.2</v>
          </cell>
        </row>
        <row r="33">
          <cell r="H33">
            <v>12832560</v>
          </cell>
          <cell r="K33">
            <v>13923328</v>
          </cell>
          <cell r="N33">
            <v>14151829</v>
          </cell>
          <cell r="Q33">
            <v>15091510</v>
          </cell>
          <cell r="T33">
            <v>15140245</v>
          </cell>
        </row>
        <row r="34">
          <cell r="H34">
            <v>13070200</v>
          </cell>
          <cell r="K34">
            <v>14181167</v>
          </cell>
          <cell r="N34">
            <v>14413900</v>
          </cell>
          <cell r="Q34">
            <v>15370982</v>
          </cell>
          <cell r="T34">
            <v>15420620</v>
          </cell>
        </row>
        <row r="35">
          <cell r="H35">
            <v>4356734</v>
          </cell>
          <cell r="K35">
            <v>4727055</v>
          </cell>
          <cell r="N35">
            <v>4804633</v>
          </cell>
          <cell r="Q35">
            <v>5123660</v>
          </cell>
          <cell r="T35">
            <v>5140207</v>
          </cell>
        </row>
        <row r="36">
          <cell r="H36">
            <v>3901542</v>
          </cell>
          <cell r="K36">
            <v>4233173</v>
          </cell>
          <cell r="N36">
            <v>4302646</v>
          </cell>
          <cell r="Q36">
            <v>4588341</v>
          </cell>
          <cell r="T36">
            <v>4603158</v>
          </cell>
        </row>
        <row r="37">
          <cell r="H37">
            <v>4724435</v>
          </cell>
          <cell r="K37">
            <v>5126013</v>
          </cell>
          <cell r="N37">
            <v>5210137</v>
          </cell>
          <cell r="Q37">
            <v>5556090</v>
          </cell>
          <cell r="T37">
            <v>5574032</v>
          </cell>
        </row>
        <row r="38">
          <cell r="H38">
            <v>5745907</v>
          </cell>
          <cell r="K38">
            <v>6234309</v>
          </cell>
          <cell r="N38">
            <v>6336622</v>
          </cell>
          <cell r="Q38">
            <v>6757374</v>
          </cell>
          <cell r="T38">
            <v>6779196</v>
          </cell>
        </row>
      </sheetData>
      <sheetData sheetId="3" refreshError="1"/>
      <sheetData sheetId="4"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6.xml"/><Relationship Id="rId1" Type="http://schemas.openxmlformats.org/officeDocument/2006/relationships/printerSettings" Target="../printerSettings/printerSettings17.bin"/><Relationship Id="rId4" Type="http://schemas.openxmlformats.org/officeDocument/2006/relationships/comments" Target="../comments1.xml"/></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9" tint="-0.249977111117893"/>
  </sheetPr>
  <dimension ref="B3:F49"/>
  <sheetViews>
    <sheetView showGridLines="0" workbookViewId="0">
      <selection activeCell="E43" sqref="E43"/>
    </sheetView>
  </sheetViews>
  <sheetFormatPr baseColWidth="10" defaultColWidth="11" defaultRowHeight="10"/>
  <cols>
    <col min="1" max="1" width="0.7265625" style="9" customWidth="1"/>
    <col min="2" max="2" width="51.1796875" style="9" customWidth="1"/>
    <col min="3" max="3" width="33.453125" style="9" customWidth="1"/>
    <col min="4" max="4" width="14" style="9" customWidth="1"/>
    <col min="5" max="5" width="34" style="9" customWidth="1"/>
    <col min="6" max="6" width="19.81640625" style="9" customWidth="1"/>
    <col min="7" max="16384" width="11" style="9"/>
  </cols>
  <sheetData>
    <row r="3" spans="2:6" ht="10.5">
      <c r="B3" s="41" t="s">
        <v>18</v>
      </c>
      <c r="C3" s="41" t="s">
        <v>19</v>
      </c>
      <c r="D3" s="41" t="s">
        <v>20</v>
      </c>
    </row>
    <row r="4" spans="2:6" ht="4.5" customHeight="1"/>
    <row r="5" spans="2:6">
      <c r="B5" s="42" t="s">
        <v>21</v>
      </c>
      <c r="C5" s="34"/>
      <c r="D5" s="40" t="s">
        <v>22</v>
      </c>
    </row>
    <row r="6" spans="2:6" ht="20">
      <c r="B6" s="42" t="s">
        <v>23</v>
      </c>
      <c r="C6" s="34" t="s">
        <v>24</v>
      </c>
      <c r="D6" s="40" t="s">
        <v>22</v>
      </c>
    </row>
    <row r="7" spans="2:6" ht="20">
      <c r="B7" s="42" t="s">
        <v>25</v>
      </c>
      <c r="C7" s="34" t="s">
        <v>26</v>
      </c>
      <c r="D7" s="40" t="s">
        <v>27</v>
      </c>
    </row>
    <row r="8" spans="2:6" ht="30">
      <c r="B8" s="44" t="s">
        <v>28</v>
      </c>
      <c r="C8" s="34" t="s">
        <v>29</v>
      </c>
      <c r="D8" s="40" t="s">
        <v>27</v>
      </c>
    </row>
    <row r="10" spans="2:6" ht="10.5">
      <c r="B10" s="41" t="s">
        <v>30</v>
      </c>
      <c r="C10" s="41" t="s">
        <v>19</v>
      </c>
      <c r="D10" s="41" t="s">
        <v>20</v>
      </c>
      <c r="E10" s="41" t="s">
        <v>31</v>
      </c>
      <c r="F10" s="41" t="s">
        <v>32</v>
      </c>
    </row>
    <row r="11" spans="2:6" ht="3.75" customHeight="1"/>
    <row r="12" spans="2:6" s="21" customFormat="1" ht="23.25" customHeight="1">
      <c r="B12" s="43" t="s">
        <v>33</v>
      </c>
      <c r="C12" s="33"/>
      <c r="D12" s="35"/>
      <c r="E12" s="204" t="s">
        <v>34</v>
      </c>
      <c r="F12" s="204" t="s">
        <v>35</v>
      </c>
    </row>
    <row r="13" spans="2:6" s="21" customFormat="1" ht="23.25" customHeight="1">
      <c r="B13" s="43" t="s">
        <v>36</v>
      </c>
      <c r="C13" s="33"/>
      <c r="D13" s="35"/>
      <c r="E13" s="205"/>
      <c r="F13" s="205"/>
    </row>
    <row r="14" spans="2:6" s="21" customFormat="1" ht="23.25" customHeight="1">
      <c r="B14" s="43" t="s">
        <v>37</v>
      </c>
      <c r="C14" s="33" t="s">
        <v>38</v>
      </c>
      <c r="D14" s="35"/>
      <c r="E14" s="205"/>
      <c r="F14" s="205"/>
    </row>
    <row r="15" spans="2:6" s="21" customFormat="1" ht="23.25" customHeight="1">
      <c r="B15" s="43" t="s">
        <v>39</v>
      </c>
      <c r="C15" s="33" t="s">
        <v>40</v>
      </c>
      <c r="D15" s="35"/>
      <c r="E15" s="205"/>
      <c r="F15" s="205"/>
    </row>
    <row r="16" spans="2:6" s="21" customFormat="1" ht="23.25" customHeight="1">
      <c r="B16" s="43" t="s">
        <v>41</v>
      </c>
      <c r="C16" s="33" t="s">
        <v>42</v>
      </c>
      <c r="D16" s="35"/>
      <c r="E16" s="205"/>
      <c r="F16" s="205"/>
    </row>
    <row r="17" spans="2:6" s="21" customFormat="1" ht="40.5" customHeight="1">
      <c r="B17" s="35" t="s">
        <v>43</v>
      </c>
      <c r="C17" s="33" t="s">
        <v>44</v>
      </c>
      <c r="D17" s="35"/>
      <c r="E17" s="205"/>
      <c r="F17" s="205"/>
    </row>
    <row r="18" spans="2:6" s="21" customFormat="1" ht="23.25" customHeight="1">
      <c r="B18" s="35" t="s">
        <v>1</v>
      </c>
      <c r="C18" s="33"/>
      <c r="D18" s="35"/>
      <c r="E18" s="205"/>
      <c r="F18" s="205"/>
    </row>
    <row r="19" spans="2:6" s="21" customFormat="1" ht="23.25" customHeight="1">
      <c r="B19" s="35" t="s">
        <v>45</v>
      </c>
      <c r="C19" s="33"/>
      <c r="D19" s="35"/>
      <c r="E19" s="205"/>
      <c r="F19" s="205"/>
    </row>
    <row r="20" spans="2:6" s="21" customFormat="1" ht="23.25" customHeight="1">
      <c r="B20" s="35" t="s">
        <v>46</v>
      </c>
      <c r="C20" s="33"/>
      <c r="D20" s="35"/>
      <c r="E20" s="205"/>
      <c r="F20" s="205"/>
    </row>
    <row r="21" spans="2:6" s="21" customFormat="1" ht="67.5" customHeight="1">
      <c r="B21" s="35" t="s">
        <v>47</v>
      </c>
      <c r="C21" s="33" t="s">
        <v>48</v>
      </c>
      <c r="D21" s="35"/>
      <c r="E21" s="205"/>
      <c r="F21" s="205"/>
    </row>
    <row r="22" spans="2:6" s="21" customFormat="1" ht="15" customHeight="1">
      <c r="B22" s="35" t="s">
        <v>49</v>
      </c>
      <c r="C22" s="33"/>
      <c r="D22" s="35"/>
    </row>
    <row r="23" spans="2:6" s="21" customFormat="1" ht="15" customHeight="1">
      <c r="B23" s="35" t="s">
        <v>50</v>
      </c>
      <c r="C23" s="33"/>
      <c r="D23" s="35"/>
    </row>
    <row r="24" spans="2:6" s="21" customFormat="1" ht="15" customHeight="1">
      <c r="B24" s="35" t="s">
        <v>51</v>
      </c>
      <c r="C24" s="33"/>
      <c r="D24" s="35"/>
    </row>
    <row r="25" spans="2:6" ht="15" customHeight="1">
      <c r="B25" s="35" t="s">
        <v>52</v>
      </c>
      <c r="C25" s="33"/>
      <c r="D25" s="35"/>
    </row>
    <row r="26" spans="2:6" ht="21.75" customHeight="1">
      <c r="B26" s="35" t="s">
        <v>53</v>
      </c>
      <c r="C26" s="33" t="s">
        <v>54</v>
      </c>
      <c r="D26" s="35"/>
    </row>
    <row r="27" spans="2:6" ht="15" customHeight="1">
      <c r="B27" s="35" t="s">
        <v>55</v>
      </c>
      <c r="C27" s="33"/>
      <c r="D27" s="35"/>
    </row>
    <row r="28" spans="2:6" ht="15" customHeight="1">
      <c r="B28" s="35" t="s">
        <v>56</v>
      </c>
      <c r="C28" s="33"/>
      <c r="D28" s="35"/>
    </row>
    <row r="29" spans="2:6" ht="15" customHeight="1">
      <c r="B29" s="35" t="s">
        <v>57</v>
      </c>
      <c r="C29" s="33"/>
      <c r="D29" s="35"/>
    </row>
    <row r="30" spans="2:6" ht="15" customHeight="1">
      <c r="B30" s="35" t="s">
        <v>58</v>
      </c>
      <c r="C30" s="33"/>
      <c r="D30" s="35"/>
    </row>
    <row r="31" spans="2:6" ht="15" customHeight="1">
      <c r="B31" s="35"/>
      <c r="C31" s="33"/>
      <c r="D31" s="35"/>
    </row>
    <row r="34" spans="2:4" ht="10.5">
      <c r="B34" s="41" t="s">
        <v>59</v>
      </c>
      <c r="C34" s="41" t="s">
        <v>19</v>
      </c>
      <c r="D34" s="41" t="s">
        <v>20</v>
      </c>
    </row>
    <row r="35" spans="2:4" ht="5.25" customHeight="1"/>
    <row r="36" spans="2:4">
      <c r="B36" s="44" t="s">
        <v>60</v>
      </c>
      <c r="C36" s="7"/>
      <c r="D36" s="7"/>
    </row>
    <row r="37" spans="2:4">
      <c r="B37" s="44" t="s">
        <v>61</v>
      </c>
      <c r="C37" s="7"/>
      <c r="D37" s="7"/>
    </row>
    <row r="38" spans="2:4" ht="250">
      <c r="B38" s="44" t="s">
        <v>62</v>
      </c>
      <c r="C38" s="34" t="s">
        <v>63</v>
      </c>
      <c r="D38" s="7"/>
    </row>
    <row r="39" spans="2:4">
      <c r="B39" s="44" t="s">
        <v>64</v>
      </c>
      <c r="C39" s="7"/>
      <c r="D39" s="7"/>
    </row>
    <row r="40" spans="2:4">
      <c r="B40" s="7" t="s">
        <v>65</v>
      </c>
      <c r="C40" s="7" t="s">
        <v>66</v>
      </c>
      <c r="D40" s="7"/>
    </row>
    <row r="41" spans="2:4">
      <c r="B41" s="7" t="s">
        <v>47</v>
      </c>
      <c r="C41" s="7" t="s">
        <v>67</v>
      </c>
      <c r="D41" s="7"/>
    </row>
    <row r="42" spans="2:4">
      <c r="B42" s="7" t="s">
        <v>43</v>
      </c>
      <c r="C42" s="7" t="s">
        <v>68</v>
      </c>
      <c r="D42" s="7"/>
    </row>
    <row r="43" spans="2:4" ht="110">
      <c r="B43" s="7" t="s">
        <v>69</v>
      </c>
      <c r="C43" s="34" t="s">
        <v>70</v>
      </c>
      <c r="D43" s="7"/>
    </row>
    <row r="44" spans="2:4" ht="40">
      <c r="B44" s="7" t="s">
        <v>71</v>
      </c>
      <c r="C44" s="34" t="s">
        <v>72</v>
      </c>
      <c r="D44" s="7"/>
    </row>
    <row r="45" spans="2:4" ht="54" customHeight="1">
      <c r="B45" s="34" t="s">
        <v>73</v>
      </c>
      <c r="C45" s="34" t="s">
        <v>74</v>
      </c>
      <c r="D45" s="7"/>
    </row>
    <row r="46" spans="2:4" ht="110">
      <c r="B46" s="7" t="s">
        <v>75</v>
      </c>
      <c r="C46" s="34" t="s">
        <v>76</v>
      </c>
      <c r="D46" s="7"/>
    </row>
    <row r="47" spans="2:4">
      <c r="B47" s="7" t="s">
        <v>77</v>
      </c>
      <c r="C47" s="7" t="s">
        <v>78</v>
      </c>
      <c r="D47" s="7"/>
    </row>
    <row r="48" spans="2:4">
      <c r="B48" s="7" t="s">
        <v>79</v>
      </c>
      <c r="C48" s="7"/>
      <c r="D48" s="7"/>
    </row>
    <row r="49" spans="2:4" ht="80">
      <c r="B49" s="7"/>
      <c r="C49" s="34" t="s">
        <v>80</v>
      </c>
      <c r="D49" s="7"/>
    </row>
  </sheetData>
  <mergeCells count="2">
    <mergeCell ref="E12:E21"/>
    <mergeCell ref="F12:F21"/>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8E3D13-F0D7-40CC-82E7-77E0FDCEC3E1}">
  <sheetPr>
    <tabColor rgb="FFFFFFCC"/>
  </sheetPr>
  <dimension ref="A1:AK86"/>
  <sheetViews>
    <sheetView showGridLines="0" topLeftCell="A65" zoomScale="57" zoomScaleNormal="80" zoomScaleSheetLayoutView="90" workbookViewId="0">
      <selection activeCell="F76" sqref="F76"/>
    </sheetView>
  </sheetViews>
  <sheetFormatPr baseColWidth="10" defaultColWidth="11.453125" defaultRowHeight="12.5" customHeight="1" zeroHeight="1"/>
  <cols>
    <col min="1" max="1" width="2" style="4" customWidth="1"/>
    <col min="2" max="2" width="13.81640625" style="4" customWidth="1"/>
    <col min="3" max="3" width="30" style="4" customWidth="1"/>
    <col min="4" max="4" width="25.81640625" style="4" customWidth="1"/>
    <col min="5" max="5" width="32.1796875" style="5" customWidth="1"/>
    <col min="6" max="6" width="18.08984375" style="5" customWidth="1"/>
    <col min="7" max="7" width="41.08984375" style="4" customWidth="1"/>
    <col min="8" max="8" width="23.54296875" style="4" customWidth="1"/>
    <col min="9" max="9" width="22.26953125" style="4" customWidth="1"/>
    <col min="10" max="10" width="31.36328125" style="4" customWidth="1"/>
    <col min="11" max="11" width="28.26953125" style="4" customWidth="1"/>
    <col min="12" max="12" width="20.81640625" style="4" customWidth="1"/>
    <col min="13" max="13" width="30.7265625" style="4" customWidth="1"/>
    <col min="14" max="14" width="28.36328125" style="4" customWidth="1"/>
    <col min="15" max="15" width="22.81640625" style="4" customWidth="1"/>
    <col min="16" max="16" width="23.7265625" style="4" customWidth="1"/>
    <col min="17" max="17" width="24.36328125" style="4" customWidth="1"/>
    <col min="18" max="18" width="18.1796875" style="4" customWidth="1"/>
    <col min="19" max="19" width="24.1796875" style="4" customWidth="1"/>
    <col min="20" max="20" width="23.08984375" style="4" customWidth="1"/>
    <col min="21" max="21" width="18.1796875" style="4" customWidth="1"/>
    <col min="22" max="22" width="18.54296875" style="4" customWidth="1"/>
    <col min="23" max="25" width="23.26953125" style="4" customWidth="1"/>
    <col min="26" max="37" width="23.7265625" style="4" customWidth="1"/>
    <col min="38" max="16384" width="11.453125" style="4"/>
  </cols>
  <sheetData>
    <row r="1" spans="1:20" s="2" customFormat="1" ht="12.75" customHeight="1">
      <c r="E1" s="3"/>
      <c r="F1" s="3"/>
    </row>
    <row r="2" spans="1:20" s="2" customFormat="1" ht="21.75" customHeight="1">
      <c r="B2" s="186" t="s">
        <v>1344</v>
      </c>
      <c r="C2" s="187"/>
      <c r="D2" s="187"/>
      <c r="E2" s="187"/>
      <c r="F2" s="187"/>
      <c r="G2" s="187"/>
      <c r="H2" s="187"/>
      <c r="I2" s="187"/>
      <c r="J2" s="187"/>
      <c r="K2" s="187"/>
      <c r="L2" s="188"/>
    </row>
    <row r="3" spans="1:20" s="2" customFormat="1" ht="21.75" customHeight="1">
      <c r="B3" s="189"/>
      <c r="C3" s="190"/>
      <c r="D3" s="190"/>
      <c r="E3" s="190"/>
      <c r="F3" s="190"/>
      <c r="G3" s="190"/>
      <c r="H3" s="190"/>
      <c r="I3" s="190"/>
      <c r="J3" s="190"/>
      <c r="K3" s="190"/>
      <c r="L3" s="191"/>
    </row>
    <row r="4" spans="1:20" s="2" customFormat="1" ht="21.75" customHeight="1">
      <c r="B4" s="192"/>
      <c r="C4" s="193"/>
      <c r="D4" s="193"/>
      <c r="E4" s="193"/>
      <c r="F4" s="193"/>
      <c r="G4" s="193"/>
      <c r="H4" s="193"/>
      <c r="I4" s="193"/>
      <c r="J4" s="193"/>
      <c r="K4" s="193"/>
      <c r="L4" s="194"/>
    </row>
    <row r="5" spans="1:20" s="2" customFormat="1" ht="5.25" customHeight="1">
      <c r="E5" s="3"/>
      <c r="F5" s="3"/>
    </row>
    <row r="6" spans="1:20" s="2" customFormat="1" ht="51" customHeight="1">
      <c r="G6" s="49" t="s">
        <v>1345</v>
      </c>
      <c r="H6" s="49" t="s">
        <v>1346</v>
      </c>
      <c r="I6" s="49" t="s">
        <v>1347</v>
      </c>
      <c r="J6" s="49" t="s">
        <v>1352</v>
      </c>
      <c r="K6" s="49" t="s">
        <v>1353</v>
      </c>
      <c r="L6" s="49" t="s">
        <v>1354</v>
      </c>
      <c r="M6" s="145"/>
      <c r="N6" s="101" t="s">
        <v>1305</v>
      </c>
      <c r="O6" s="101" t="s">
        <v>1306</v>
      </c>
      <c r="P6" s="101" t="s">
        <v>1348</v>
      </c>
      <c r="Q6" s="102" t="s">
        <v>1349</v>
      </c>
      <c r="R6" s="102" t="s">
        <v>1350</v>
      </c>
      <c r="S6" s="102" t="s">
        <v>1351</v>
      </c>
      <c r="T6" s="146" t="s">
        <v>1307</v>
      </c>
    </row>
    <row r="7" spans="1:20" s="2" customFormat="1" ht="43.5" customHeight="1">
      <c r="B7" s="201" t="s">
        <v>118</v>
      </c>
      <c r="C7" s="169" t="s">
        <v>1146</v>
      </c>
      <c r="D7" s="169"/>
      <c r="E7" s="169"/>
      <c r="F7" s="173"/>
      <c r="G7" s="29" t="s">
        <v>119</v>
      </c>
      <c r="H7" s="29" t="s">
        <v>119</v>
      </c>
      <c r="I7" s="29" t="s">
        <v>119</v>
      </c>
      <c r="J7" s="29" t="s">
        <v>119</v>
      </c>
      <c r="K7" s="29" t="s">
        <v>119</v>
      </c>
      <c r="L7" s="29" t="s">
        <v>119</v>
      </c>
      <c r="N7" s="101" t="s">
        <v>119</v>
      </c>
      <c r="O7" s="101" t="s">
        <v>119</v>
      </c>
      <c r="P7" s="101" t="s">
        <v>119</v>
      </c>
      <c r="Q7" s="102" t="s">
        <v>119</v>
      </c>
      <c r="R7" s="102" t="s">
        <v>119</v>
      </c>
      <c r="S7" s="102" t="s">
        <v>119</v>
      </c>
      <c r="T7" s="146" t="s">
        <v>119</v>
      </c>
    </row>
    <row r="8" spans="1:20" s="2" customFormat="1" ht="29.25" customHeight="1">
      <c r="B8" s="201"/>
      <c r="C8" s="29" t="s">
        <v>104</v>
      </c>
      <c r="D8" s="29" t="s">
        <v>105</v>
      </c>
      <c r="E8" s="29" t="s">
        <v>106</v>
      </c>
      <c r="F8" s="141" t="s">
        <v>107</v>
      </c>
      <c r="G8" s="29" t="s">
        <v>1330</v>
      </c>
      <c r="H8" s="29" t="s">
        <v>1330</v>
      </c>
      <c r="I8" s="29" t="s">
        <v>1330</v>
      </c>
      <c r="J8" s="29" t="s">
        <v>1330</v>
      </c>
      <c r="K8" s="29" t="s">
        <v>1330</v>
      </c>
      <c r="L8" s="29" t="s">
        <v>1330</v>
      </c>
      <c r="N8" s="101" t="s">
        <v>1330</v>
      </c>
      <c r="O8" s="101" t="s">
        <v>1330</v>
      </c>
      <c r="P8" s="101" t="s">
        <v>1330</v>
      </c>
      <c r="Q8" s="102" t="s">
        <v>1330</v>
      </c>
      <c r="R8" s="102" t="s">
        <v>1330</v>
      </c>
      <c r="S8" s="102" t="s">
        <v>1330</v>
      </c>
      <c r="T8" s="146" t="s">
        <v>1330</v>
      </c>
    </row>
    <row r="9" spans="1:20" s="2" customFormat="1" ht="33.75" customHeight="1">
      <c r="B9" s="201"/>
      <c r="C9" s="62">
        <v>24</v>
      </c>
      <c r="D9" s="63" t="s">
        <v>108</v>
      </c>
      <c r="E9" s="63" t="s">
        <v>109</v>
      </c>
      <c r="F9" s="144" t="s">
        <v>90</v>
      </c>
      <c r="G9" s="53">
        <v>1500</v>
      </c>
      <c r="H9" s="53">
        <v>1650</v>
      </c>
      <c r="I9" s="53">
        <v>4800</v>
      </c>
      <c r="J9" s="53">
        <v>1882</v>
      </c>
      <c r="K9" s="53">
        <v>7800</v>
      </c>
      <c r="L9" s="53">
        <v>5509.35</v>
      </c>
      <c r="N9" s="148">
        <f>ROUND(AVERAGE($G9:$L9),0)</f>
        <v>3857</v>
      </c>
      <c r="O9" s="148">
        <f>ROUND(GEOMEAN($G9:$L9),0)</f>
        <v>3141</v>
      </c>
      <c r="P9" s="148">
        <f>ROUND(HARMEAN($G9:$L9),0)</f>
        <v>2584</v>
      </c>
      <c r="Q9" s="148" cm="1">
        <f t="array" ref="Q9">ROUND(AVERAGE((SMALL(($G9:$L9),{1;2;3}))),0)</f>
        <v>1677</v>
      </c>
      <c r="R9" s="148" cm="1">
        <f t="array" ref="R9">ROUND(GEOMEAN((SMALL(($G9:$L9),{1;2;3}))),0)</f>
        <v>1670</v>
      </c>
      <c r="S9" s="148" cm="1">
        <f t="array" ref="S9">ROUND(HARMEAN((SMALL(($G9:$L9),{1;2;3}))),0)</f>
        <v>1663</v>
      </c>
      <c r="T9" s="147">
        <f>Q9</f>
        <v>1677</v>
      </c>
    </row>
    <row r="10" spans="1:20" s="2" customFormat="1" ht="33.75" customHeight="1">
      <c r="B10" s="201"/>
      <c r="C10" s="62">
        <v>24</v>
      </c>
      <c r="D10" s="63" t="s">
        <v>108</v>
      </c>
      <c r="E10" s="63" t="s">
        <v>109</v>
      </c>
      <c r="F10" s="144" t="s">
        <v>92</v>
      </c>
      <c r="G10" s="53">
        <v>1500</v>
      </c>
      <c r="H10" s="53">
        <v>1650</v>
      </c>
      <c r="I10" s="53">
        <v>4800</v>
      </c>
      <c r="J10" s="53">
        <v>1882</v>
      </c>
      <c r="K10" s="53">
        <v>7800</v>
      </c>
      <c r="L10" s="53">
        <v>5509.35</v>
      </c>
      <c r="N10" s="148">
        <f t="shared" ref="N10:N13" si="0">ROUND(AVERAGE($G10:$L10),0)</f>
        <v>3857</v>
      </c>
      <c r="O10" s="148">
        <f t="shared" ref="O10:O13" si="1">ROUND(GEOMEAN($G10:$L10),0)</f>
        <v>3141</v>
      </c>
      <c r="P10" s="148">
        <f t="shared" ref="P10:P13" si="2">ROUND(HARMEAN($G10:$L10),0)</f>
        <v>2584</v>
      </c>
      <c r="Q10" s="148" cm="1">
        <f t="array" ref="Q10">ROUND(AVERAGE((SMALL(($G10:$L10),{1;2;3}))),0)</f>
        <v>1677</v>
      </c>
      <c r="R10" s="148" cm="1">
        <f t="array" ref="R10">ROUND(GEOMEAN((SMALL(($G10:$L10),{1;2;3}))),0)</f>
        <v>1670</v>
      </c>
      <c r="S10" s="148" cm="1">
        <f t="array" ref="S10">ROUND(HARMEAN((SMALL(($G10:$L10),{1;2;3}))),0)</f>
        <v>1663</v>
      </c>
      <c r="T10" s="147">
        <f t="shared" ref="T10:T13" si="3">Q10</f>
        <v>1677</v>
      </c>
    </row>
    <row r="11" spans="1:20" s="2" customFormat="1" ht="33.75" customHeight="1">
      <c r="B11" s="201"/>
      <c r="C11" s="62">
        <v>24</v>
      </c>
      <c r="D11" s="63" t="s">
        <v>1143</v>
      </c>
      <c r="E11" s="63" t="s">
        <v>1331</v>
      </c>
      <c r="F11" s="144" t="s">
        <v>92</v>
      </c>
      <c r="G11" s="53">
        <v>1500</v>
      </c>
      <c r="H11" s="53">
        <v>1650</v>
      </c>
      <c r="I11" s="53">
        <v>1600</v>
      </c>
      <c r="J11" s="53">
        <v>1882</v>
      </c>
      <c r="K11" s="53">
        <v>2600</v>
      </c>
      <c r="L11" s="53">
        <v>5509.35</v>
      </c>
      <c r="N11" s="148">
        <f t="shared" si="0"/>
        <v>2457</v>
      </c>
      <c r="O11" s="148">
        <f t="shared" si="1"/>
        <v>2178</v>
      </c>
      <c r="P11" s="148">
        <f t="shared" si="2"/>
        <v>2003</v>
      </c>
      <c r="Q11" s="148" cm="1">
        <f t="array" ref="Q11">ROUND(AVERAGE((SMALL(($G11:$L11),{1;2;3}))),0)</f>
        <v>1583</v>
      </c>
      <c r="R11" s="148" cm="1">
        <f t="array" ref="R11">ROUND(GEOMEAN((SMALL(($G11:$L11),{1;2;3}))),0)</f>
        <v>1582</v>
      </c>
      <c r="S11" s="148" cm="1">
        <f t="array" ref="S11">ROUND(HARMEAN((SMALL(($G11:$L11),{1;2;3}))),0)</f>
        <v>1581</v>
      </c>
      <c r="T11" s="147">
        <f t="shared" si="3"/>
        <v>1583</v>
      </c>
    </row>
    <row r="12" spans="1:20" s="2" customFormat="1" ht="33.75" customHeight="1">
      <c r="B12" s="201"/>
      <c r="C12" s="62">
        <v>12</v>
      </c>
      <c r="D12" s="63" t="s">
        <v>108</v>
      </c>
      <c r="E12" s="63" t="s">
        <v>1332</v>
      </c>
      <c r="F12" s="144" t="s">
        <v>90</v>
      </c>
      <c r="G12" s="53">
        <v>841</v>
      </c>
      <c r="H12" s="53">
        <v>1650</v>
      </c>
      <c r="I12" s="53">
        <v>2691</v>
      </c>
      <c r="J12" s="53">
        <v>0</v>
      </c>
      <c r="K12" s="53">
        <v>0</v>
      </c>
      <c r="L12" s="53">
        <v>0</v>
      </c>
      <c r="N12" s="148">
        <f>ROUND(AVERAGE($G12:$I12),0)</f>
        <v>1727</v>
      </c>
      <c r="O12" s="148">
        <f>ROUND(GEOMEAN($G12:$I12),0)</f>
        <v>1551</v>
      </c>
      <c r="P12" s="148">
        <f>ROUND(HARMEAN($G12:$I12),0)</f>
        <v>1385</v>
      </c>
      <c r="Q12" s="148" cm="1">
        <f t="array" ref="Q12">ROUND(AVERAGE((SMALL(($G12:$I12),{1;2;3}))),0)</f>
        <v>1727</v>
      </c>
      <c r="R12" s="148" cm="1">
        <f t="array" ref="R12">ROUND(GEOMEAN((SMALL(($G12:$I12),{1;2;3}))),0)</f>
        <v>1551</v>
      </c>
      <c r="S12" s="148" cm="1">
        <f t="array" ref="S12">ROUND(HARMEAN((SMALL(($G12:$I12),{1;2;3}))),0)</f>
        <v>1385</v>
      </c>
      <c r="T12" s="147">
        <f t="shared" si="3"/>
        <v>1727</v>
      </c>
    </row>
    <row r="13" spans="1:20" s="2" customFormat="1" ht="33.75" customHeight="1">
      <c r="B13" s="201"/>
      <c r="C13" s="62">
        <v>12</v>
      </c>
      <c r="D13" s="63" t="s">
        <v>110</v>
      </c>
      <c r="E13" s="63" t="s">
        <v>1332</v>
      </c>
      <c r="F13" s="144" t="s">
        <v>90</v>
      </c>
      <c r="G13" s="53">
        <v>561</v>
      </c>
      <c r="H13" s="53">
        <v>1650</v>
      </c>
      <c r="I13" s="53">
        <v>1794</v>
      </c>
      <c r="J13" s="53">
        <v>1882</v>
      </c>
      <c r="K13" s="53">
        <v>2600</v>
      </c>
      <c r="L13" s="53">
        <v>2387.3850000000002</v>
      </c>
      <c r="N13" s="148">
        <f t="shared" si="0"/>
        <v>1812</v>
      </c>
      <c r="O13" s="148">
        <f t="shared" si="1"/>
        <v>1639</v>
      </c>
      <c r="P13" s="148">
        <f t="shared" si="2"/>
        <v>1402</v>
      </c>
      <c r="Q13" s="148" cm="1">
        <f t="array" ref="Q13">ROUND(AVERAGE((SMALL(($G13:$L13),{1;2;3}))),0)</f>
        <v>1335</v>
      </c>
      <c r="R13" s="148" cm="1">
        <f t="array" ref="R13">ROUND(GEOMEAN((SMALL(($G13:$L13),{1;2;3}))),0)</f>
        <v>1184</v>
      </c>
      <c r="S13" s="148" cm="1">
        <f t="array" ref="S13">ROUND(HARMEAN((SMALL(($G13:$L13),{1;2;3}))),0)</f>
        <v>1018</v>
      </c>
      <c r="T13" s="147">
        <f t="shared" si="3"/>
        <v>1335</v>
      </c>
    </row>
    <row r="14" spans="1:20" s="2" customFormat="1" ht="29.25" customHeight="1">
      <c r="G14" s="68"/>
      <c r="M14" s="69"/>
      <c r="N14" s="69"/>
    </row>
    <row r="15" spans="1:20" s="2" customFormat="1" ht="29.25" customHeight="1">
      <c r="B15" s="171" t="s">
        <v>120</v>
      </c>
      <c r="C15" s="172"/>
      <c r="D15" s="172"/>
      <c r="E15" s="172"/>
      <c r="F15" s="172"/>
      <c r="G15" s="172"/>
      <c r="H15" s="172"/>
      <c r="I15" s="172"/>
      <c r="J15" s="158"/>
      <c r="K15" s="135"/>
      <c r="L15" s="135"/>
      <c r="M15" s="135"/>
      <c r="N15" s="69"/>
    </row>
    <row r="16" spans="1:20" s="2" customFormat="1" ht="6.75" customHeight="1">
      <c r="A16" s="70"/>
      <c r="B16" s="70"/>
      <c r="C16" s="70"/>
      <c r="D16" s="70"/>
      <c r="E16" s="70"/>
      <c r="F16" s="70"/>
      <c r="G16" s="70"/>
      <c r="H16" s="70"/>
      <c r="I16" s="70"/>
      <c r="J16" s="70"/>
      <c r="K16" s="70"/>
      <c r="L16" s="70"/>
      <c r="M16" s="70"/>
      <c r="N16" s="69"/>
    </row>
    <row r="17" spans="1:22" s="2" customFormat="1" ht="46.5" customHeight="1">
      <c r="A17" s="70"/>
      <c r="B17" s="70"/>
      <c r="C17" s="70"/>
      <c r="D17" s="70"/>
      <c r="E17" s="70"/>
      <c r="F17" s="68"/>
      <c r="G17" s="68"/>
      <c r="H17" s="67" t="s">
        <v>1362</v>
      </c>
      <c r="I17" s="107" t="s">
        <v>1360</v>
      </c>
      <c r="J17" s="136"/>
      <c r="K17" s="70"/>
      <c r="L17" s="70"/>
      <c r="M17" s="70"/>
    </row>
    <row r="18" spans="1:22" s="2" customFormat="1" ht="29.25" customHeight="1">
      <c r="F18" s="202" t="s">
        <v>122</v>
      </c>
      <c r="G18" s="203"/>
      <c r="H18" s="80">
        <f>SUM(I18)</f>
        <v>2.5</v>
      </c>
      <c r="I18" s="138">
        <f>75/30</f>
        <v>2.5</v>
      </c>
      <c r="J18" s="137"/>
      <c r="K18" s="138"/>
      <c r="L18" s="138"/>
      <c r="M18" s="138"/>
    </row>
    <row r="19" spans="1:22" s="2" customFormat="1" ht="29.25" customHeight="1">
      <c r="B19" s="70"/>
      <c r="C19" s="70"/>
      <c r="D19" s="70"/>
      <c r="E19" s="70"/>
      <c r="F19" s="202" t="s">
        <v>1191</v>
      </c>
      <c r="G19" s="203"/>
      <c r="H19" s="38" t="s">
        <v>1211</v>
      </c>
      <c r="I19" s="100">
        <f>'[22]RESUMEN CIRCULAR_DEC_RESOLUCION'!$M$34</f>
        <v>1750905</v>
      </c>
      <c r="J19" s="113"/>
      <c r="K19" s="82"/>
      <c r="L19" s="82"/>
      <c r="M19" s="82"/>
    </row>
    <row r="20" spans="1:22" s="2" customFormat="1" ht="29.25" customHeight="1">
      <c r="B20" s="70"/>
      <c r="C20" s="70"/>
      <c r="D20" s="70"/>
      <c r="E20" s="70"/>
      <c r="F20" s="83"/>
      <c r="G20" s="83"/>
      <c r="H20" s="139"/>
      <c r="I20" s="140"/>
      <c r="J20" s="157"/>
      <c r="K20" s="82"/>
      <c r="L20" s="82"/>
      <c r="M20" s="82"/>
    </row>
    <row r="21" spans="1:22" s="2" customFormat="1" ht="24" customHeight="1">
      <c r="B21" s="171" t="s">
        <v>1333</v>
      </c>
      <c r="C21" s="172"/>
      <c r="D21" s="172"/>
      <c r="E21" s="172"/>
      <c r="F21" s="172"/>
      <c r="G21" s="172"/>
      <c r="H21" s="172"/>
      <c r="I21" s="172"/>
      <c r="J21" s="172"/>
      <c r="K21" s="172"/>
      <c r="L21" s="172"/>
      <c r="M21" s="172"/>
      <c r="N21" s="172"/>
      <c r="O21" s="172"/>
      <c r="P21" s="172"/>
      <c r="Q21" s="197"/>
      <c r="R21" s="135"/>
      <c r="S21" s="135"/>
      <c r="T21" s="135"/>
      <c r="U21" s="135"/>
      <c r="V21" s="135"/>
    </row>
    <row r="22" spans="1:22" s="2" customFormat="1" ht="11.25" customHeight="1">
      <c r="M22" s="69"/>
      <c r="N22" s="69"/>
    </row>
    <row r="23" spans="1:22" s="2" customFormat="1" ht="9.75" customHeight="1">
      <c r="C23" s="4"/>
      <c r="D23" s="4"/>
      <c r="E23" s="4"/>
      <c r="F23" s="4"/>
    </row>
    <row r="24" spans="1:22" s="2" customFormat="1" ht="26.25" customHeight="1">
      <c r="B24" s="171" t="s">
        <v>1148</v>
      </c>
      <c r="C24" s="172"/>
      <c r="D24" s="172"/>
      <c r="E24" s="172"/>
      <c r="F24" s="172"/>
      <c r="G24" s="172"/>
      <c r="H24" s="172"/>
      <c r="I24" s="172"/>
      <c r="J24" s="172"/>
      <c r="K24" s="172"/>
      <c r="L24" s="172"/>
      <c r="M24" s="172"/>
      <c r="N24" s="172"/>
      <c r="O24" s="172"/>
      <c r="P24" s="172"/>
      <c r="Q24" s="197"/>
      <c r="R24" s="135"/>
      <c r="S24" s="135"/>
      <c r="T24" s="135"/>
      <c r="U24" s="135"/>
      <c r="V24" s="135"/>
    </row>
    <row r="25" spans="1:22" s="2" customFormat="1">
      <c r="C25" s="4"/>
      <c r="D25" s="4"/>
      <c r="E25" s="4"/>
      <c r="F25" s="4"/>
      <c r="G25" s="4"/>
      <c r="H25" s="4"/>
    </row>
    <row r="26" spans="1:22" s="2" customFormat="1" ht="70.5" customHeight="1">
      <c r="B26" s="169" t="s">
        <v>1334</v>
      </c>
      <c r="C26" s="169"/>
      <c r="D26" s="169"/>
      <c r="E26" s="169"/>
      <c r="F26" s="173" t="s">
        <v>1196</v>
      </c>
      <c r="G26" s="174"/>
      <c r="H26" s="173" t="s">
        <v>1361</v>
      </c>
      <c r="I26" s="174"/>
      <c r="J26" s="29" t="s">
        <v>1362</v>
      </c>
    </row>
    <row r="27" spans="1:22" s="2" customFormat="1" ht="55" customHeight="1">
      <c r="B27" s="29" t="s">
        <v>104</v>
      </c>
      <c r="C27" s="29" t="s">
        <v>105</v>
      </c>
      <c r="D27" s="29" t="s">
        <v>106</v>
      </c>
      <c r="E27" s="29" t="s">
        <v>107</v>
      </c>
      <c r="F27" s="29" t="s">
        <v>124</v>
      </c>
      <c r="G27" s="29" t="s">
        <v>1366</v>
      </c>
      <c r="H27" s="73" t="s">
        <v>1182</v>
      </c>
      <c r="I27" s="58" t="s">
        <v>1183</v>
      </c>
      <c r="J27" s="29" t="s">
        <v>1367</v>
      </c>
    </row>
    <row r="28" spans="1:22" s="2" customFormat="1" ht="30.75" customHeight="1">
      <c r="B28" s="159">
        <v>24</v>
      </c>
      <c r="C28" s="160" t="s">
        <v>108</v>
      </c>
      <c r="D28" s="160" t="s">
        <v>109</v>
      </c>
      <c r="E28" s="160" t="s">
        <v>90</v>
      </c>
      <c r="F28" s="167">
        <v>10</v>
      </c>
      <c r="G28" s="38">
        <f>'RESUMEN CIRCULAR_DEC_RESOLUCION'!H43</f>
        <v>19314021</v>
      </c>
      <c r="H28" s="39">
        <f t="shared" ref="H28:H33" si="4">G28*F28</f>
        <v>193140210</v>
      </c>
      <c r="I28" s="39">
        <f t="shared" ref="I28:I33" si="5">ROUND(H28*$I$18,0)</f>
        <v>482850525</v>
      </c>
      <c r="J28" s="81">
        <f>I28</f>
        <v>482850525</v>
      </c>
    </row>
    <row r="29" spans="1:22" s="2" customFormat="1" ht="30.75" customHeight="1">
      <c r="B29" s="159">
        <v>24</v>
      </c>
      <c r="C29" s="160" t="s">
        <v>108</v>
      </c>
      <c r="D29" s="160" t="s">
        <v>109</v>
      </c>
      <c r="E29" s="160" t="s">
        <v>92</v>
      </c>
      <c r="F29" s="167">
        <v>3</v>
      </c>
      <c r="G29" s="38">
        <f>'RESUMEN CIRCULAR_DEC_RESOLUCION'!H44</f>
        <v>19671688</v>
      </c>
      <c r="H29" s="39">
        <f t="shared" si="4"/>
        <v>59015064</v>
      </c>
      <c r="I29" s="39">
        <f t="shared" si="5"/>
        <v>147537660</v>
      </c>
      <c r="J29" s="81">
        <f t="shared" ref="J29:J33" si="6">I29</f>
        <v>147537660</v>
      </c>
    </row>
    <row r="30" spans="1:22" s="2" customFormat="1" ht="30.75" customHeight="1">
      <c r="B30" s="161">
        <v>24</v>
      </c>
      <c r="C30" s="162" t="s">
        <v>1143</v>
      </c>
      <c r="D30" s="162" t="s">
        <v>109</v>
      </c>
      <c r="E30" s="162" t="s">
        <v>1364</v>
      </c>
      <c r="F30" s="59">
        <f>1</f>
        <v>1</v>
      </c>
      <c r="G30" s="38">
        <f>'RESUMEN CIRCULAR_DEC_RESOLUCION'!H45</f>
        <v>6440666</v>
      </c>
      <c r="H30" s="39">
        <f t="shared" si="4"/>
        <v>6440666</v>
      </c>
      <c r="I30" s="39">
        <f t="shared" si="5"/>
        <v>16101665</v>
      </c>
      <c r="J30" s="81">
        <f t="shared" si="6"/>
        <v>16101665</v>
      </c>
    </row>
    <row r="31" spans="1:22" s="2" customFormat="1" ht="30.75" customHeight="1">
      <c r="B31" s="159">
        <v>12</v>
      </c>
      <c r="C31" s="160" t="s">
        <v>110</v>
      </c>
      <c r="D31" s="160" t="s">
        <v>1365</v>
      </c>
      <c r="E31" s="160" t="s">
        <v>90</v>
      </c>
      <c r="F31" s="59">
        <f>1</f>
        <v>1</v>
      </c>
      <c r="G31" s="38">
        <f>'RESUMEN CIRCULAR_DEC_RESOLUCION'!H46</f>
        <v>10829331</v>
      </c>
      <c r="H31" s="39">
        <f t="shared" si="4"/>
        <v>10829331</v>
      </c>
      <c r="I31" s="39">
        <f t="shared" si="5"/>
        <v>27073328</v>
      </c>
      <c r="J31" s="81">
        <f t="shared" si="6"/>
        <v>27073328</v>
      </c>
    </row>
    <row r="32" spans="1:22" s="2" customFormat="1" ht="30.75" customHeight="1">
      <c r="B32" s="161">
        <v>12</v>
      </c>
      <c r="C32" s="162" t="s">
        <v>108</v>
      </c>
      <c r="D32" s="162" t="s">
        <v>1365</v>
      </c>
      <c r="E32" s="162" t="s">
        <v>90</v>
      </c>
      <c r="F32" s="59">
        <f>1</f>
        <v>1</v>
      </c>
      <c r="G32" s="38">
        <f>'RESUMEN CIRCULAR_DEC_RESOLUCION'!H47</f>
        <v>7220176</v>
      </c>
      <c r="H32" s="39">
        <f t="shared" si="4"/>
        <v>7220176</v>
      </c>
      <c r="I32" s="39">
        <f t="shared" si="5"/>
        <v>18050440</v>
      </c>
      <c r="J32" s="81">
        <f t="shared" si="6"/>
        <v>18050440</v>
      </c>
    </row>
    <row r="33" spans="2:37" s="2" customFormat="1" ht="30.75" customHeight="1">
      <c r="B33" s="115">
        <v>9</v>
      </c>
      <c r="C33" s="116" t="s">
        <v>110</v>
      </c>
      <c r="D33" s="117" t="s">
        <v>1363</v>
      </c>
      <c r="E33" s="116" t="s">
        <v>90</v>
      </c>
      <c r="F33" s="167">
        <v>1</v>
      </c>
      <c r="G33" s="38">
        <f>'RESUMEN CIRCULAR_DEC_RESOLUCION'!H48</f>
        <v>4242251</v>
      </c>
      <c r="H33" s="39">
        <f t="shared" si="4"/>
        <v>4242251</v>
      </c>
      <c r="I33" s="39">
        <f t="shared" si="5"/>
        <v>10605628</v>
      </c>
      <c r="J33" s="81">
        <f t="shared" si="6"/>
        <v>10605628</v>
      </c>
    </row>
    <row r="34" spans="2:37" s="2" customFormat="1" ht="27" customHeight="1">
      <c r="B34" s="175" t="s">
        <v>1212</v>
      </c>
      <c r="C34" s="176"/>
      <c r="D34" s="176"/>
      <c r="E34" s="176"/>
      <c r="F34" s="176"/>
      <c r="G34" s="176"/>
      <c r="H34" s="176"/>
      <c r="I34" s="177"/>
      <c r="J34" s="81">
        <f>SUM(J28:J33)</f>
        <v>702219246</v>
      </c>
      <c r="L34" s="143"/>
      <c r="M34" s="143"/>
      <c r="N34" s="143"/>
      <c r="O34" s="143"/>
      <c r="P34" s="143"/>
    </row>
    <row r="35" spans="2:37" s="2" customFormat="1">
      <c r="C35" s="4"/>
      <c r="D35" s="4"/>
      <c r="E35" s="4"/>
      <c r="F35" s="4"/>
      <c r="G35" s="4"/>
      <c r="H35" s="4"/>
      <c r="J35" s="2" t="s">
        <v>1371</v>
      </c>
    </row>
    <row r="36" spans="2:37" s="2" customFormat="1">
      <c r="C36" s="4"/>
      <c r="D36" s="4"/>
      <c r="E36" s="4"/>
      <c r="F36" s="4"/>
      <c r="G36" s="4"/>
      <c r="H36" s="4"/>
    </row>
    <row r="37" spans="2:37" s="2" customFormat="1" ht="27.75" customHeight="1">
      <c r="B37" s="200" t="s">
        <v>1193</v>
      </c>
      <c r="C37" s="200"/>
      <c r="D37" s="200"/>
      <c r="E37" s="200"/>
      <c r="F37" s="200"/>
      <c r="G37" s="200"/>
      <c r="H37" s="200"/>
      <c r="I37" s="200"/>
      <c r="J37" s="200"/>
      <c r="K37" s="200"/>
      <c r="L37" s="200"/>
      <c r="M37" s="200"/>
      <c r="N37" s="200"/>
      <c r="O37" s="200"/>
      <c r="P37" s="200"/>
      <c r="Q37" s="200"/>
      <c r="R37" s="200"/>
      <c r="S37" s="200"/>
      <c r="T37" s="200"/>
      <c r="U37" s="200"/>
      <c r="V37" s="200"/>
    </row>
    <row r="38" spans="2:37" s="2" customFormat="1">
      <c r="C38" s="4"/>
      <c r="D38" s="4"/>
      <c r="E38" s="4"/>
      <c r="F38" s="4"/>
      <c r="G38" s="4"/>
      <c r="H38" s="4"/>
    </row>
    <row r="39" spans="2:37" s="2" customFormat="1" ht="40.5" customHeight="1">
      <c r="C39" s="4"/>
      <c r="D39" s="4"/>
      <c r="E39" s="4"/>
      <c r="F39" s="195" t="s">
        <v>1345</v>
      </c>
      <c r="G39" s="195"/>
      <c r="H39" s="195"/>
      <c r="I39" s="195"/>
      <c r="J39" s="195" t="s">
        <v>1346</v>
      </c>
      <c r="K39" s="195"/>
      <c r="L39" s="195"/>
      <c r="M39" s="195" t="s">
        <v>1347</v>
      </c>
      <c r="N39" s="195"/>
      <c r="O39" s="195"/>
      <c r="Q39" s="179" t="s">
        <v>1305</v>
      </c>
      <c r="R39" s="179"/>
      <c r="S39" s="179"/>
      <c r="T39" s="168" t="s">
        <v>1306</v>
      </c>
      <c r="U39" s="168"/>
      <c r="V39" s="168"/>
      <c r="W39" s="170" t="s">
        <v>1348</v>
      </c>
      <c r="X39" s="170"/>
      <c r="Y39" s="170"/>
      <c r="Z39" s="179" t="s">
        <v>1355</v>
      </c>
      <c r="AA39" s="179"/>
      <c r="AB39" s="179"/>
      <c r="AC39" s="168" t="s">
        <v>1356</v>
      </c>
      <c r="AD39" s="168"/>
      <c r="AE39" s="168"/>
      <c r="AF39" s="170" t="s">
        <v>1357</v>
      </c>
      <c r="AG39" s="170"/>
      <c r="AH39" s="170"/>
      <c r="AI39" s="178" t="s">
        <v>1358</v>
      </c>
      <c r="AJ39" s="178"/>
      <c r="AK39" s="178"/>
    </row>
    <row r="40" spans="2:37" s="2" customFormat="1" ht="61.5" customHeight="1">
      <c r="B40" s="169" t="s">
        <v>1194</v>
      </c>
      <c r="C40" s="169"/>
      <c r="D40" s="169"/>
      <c r="E40" s="169"/>
      <c r="F40" s="169" t="s">
        <v>1214</v>
      </c>
      <c r="G40" s="169"/>
      <c r="H40" s="169"/>
      <c r="I40" s="169"/>
      <c r="J40" s="169" t="s">
        <v>1214</v>
      </c>
      <c r="K40" s="169"/>
      <c r="L40" s="169"/>
      <c r="M40" s="169" t="s">
        <v>1214</v>
      </c>
      <c r="N40" s="169"/>
      <c r="O40" s="169"/>
      <c r="Q40" s="169" t="s">
        <v>1214</v>
      </c>
      <c r="R40" s="169"/>
      <c r="S40" s="169"/>
      <c r="T40" s="169" t="s">
        <v>1214</v>
      </c>
      <c r="U40" s="169"/>
      <c r="V40" s="169"/>
      <c r="W40" s="169" t="s">
        <v>1214</v>
      </c>
      <c r="X40" s="169"/>
      <c r="Y40" s="169"/>
      <c r="Z40" s="169" t="s">
        <v>1214</v>
      </c>
      <c r="AA40" s="169"/>
      <c r="AB40" s="169"/>
      <c r="AC40" s="169" t="s">
        <v>1214</v>
      </c>
      <c r="AD40" s="169"/>
      <c r="AE40" s="169"/>
      <c r="AF40" s="169" t="s">
        <v>1214</v>
      </c>
      <c r="AG40" s="169"/>
      <c r="AH40" s="169"/>
      <c r="AI40" s="169" t="s">
        <v>1214</v>
      </c>
      <c r="AJ40" s="169"/>
      <c r="AK40" s="169"/>
    </row>
    <row r="41" spans="2:37" s="2" customFormat="1" ht="60" customHeight="1">
      <c r="B41" s="74" t="s">
        <v>1176</v>
      </c>
      <c r="C41" s="29" t="s">
        <v>1177</v>
      </c>
      <c r="D41" s="173" t="s">
        <v>125</v>
      </c>
      <c r="E41" s="174"/>
      <c r="F41" s="29" t="s">
        <v>124</v>
      </c>
      <c r="G41" s="29" t="s">
        <v>1216</v>
      </c>
      <c r="H41" s="29" t="s">
        <v>1221</v>
      </c>
      <c r="I41" s="29" t="s">
        <v>1335</v>
      </c>
      <c r="J41" s="29" t="s">
        <v>1216</v>
      </c>
      <c r="K41" s="29" t="s">
        <v>1221</v>
      </c>
      <c r="L41" s="29" t="s">
        <v>1335</v>
      </c>
      <c r="M41" s="29" t="s">
        <v>1216</v>
      </c>
      <c r="N41" s="29" t="s">
        <v>1221</v>
      </c>
      <c r="O41" s="29" t="s">
        <v>1335</v>
      </c>
      <c r="Q41" s="29" t="s">
        <v>1216</v>
      </c>
      <c r="R41" s="29" t="s">
        <v>1221</v>
      </c>
      <c r="S41" s="29" t="s">
        <v>1359</v>
      </c>
      <c r="T41" s="29" t="s">
        <v>1216</v>
      </c>
      <c r="U41" s="29" t="s">
        <v>1221</v>
      </c>
      <c r="V41" s="29" t="s">
        <v>1359</v>
      </c>
      <c r="W41" s="29" t="s">
        <v>1216</v>
      </c>
      <c r="X41" s="29" t="s">
        <v>1221</v>
      </c>
      <c r="Y41" s="29" t="s">
        <v>1359</v>
      </c>
      <c r="Z41" s="29" t="s">
        <v>1216</v>
      </c>
      <c r="AA41" s="29" t="s">
        <v>1221</v>
      </c>
      <c r="AB41" s="29" t="s">
        <v>1359</v>
      </c>
      <c r="AC41" s="29" t="s">
        <v>1216</v>
      </c>
      <c r="AD41" s="29" t="s">
        <v>1221</v>
      </c>
      <c r="AE41" s="29" t="s">
        <v>1359</v>
      </c>
      <c r="AF41" s="29" t="s">
        <v>1216</v>
      </c>
      <c r="AG41" s="29" t="s">
        <v>1221</v>
      </c>
      <c r="AH41" s="29" t="s">
        <v>1359</v>
      </c>
      <c r="AI41" s="29" t="s">
        <v>1216</v>
      </c>
      <c r="AJ41" s="29" t="s">
        <v>1221</v>
      </c>
      <c r="AK41" s="29" t="s">
        <v>1359</v>
      </c>
    </row>
    <row r="42" spans="2:37" s="2" customFormat="1" ht="57.75" customHeight="1">
      <c r="B42" s="59">
        <v>1</v>
      </c>
      <c r="C42" s="67" t="s">
        <v>1149</v>
      </c>
      <c r="D42" s="196" t="s">
        <v>1150</v>
      </c>
      <c r="E42" s="196"/>
      <c r="F42" s="76">
        <f>4+1+1+1+1</f>
        <v>8</v>
      </c>
      <c r="G42" s="54">
        <v>322813</v>
      </c>
      <c r="H42" s="39">
        <f>ROUND($G42*$F42,0)</f>
        <v>2582504</v>
      </c>
      <c r="I42" s="142">
        <f>$H42*$I$18</f>
        <v>6456260</v>
      </c>
      <c r="J42" s="151">
        <v>148333.33333333334</v>
      </c>
      <c r="K42" s="39">
        <f>ROUND($J42*$F42,0)</f>
        <v>1186667</v>
      </c>
      <c r="L42" s="142">
        <f>$K42*$I$18</f>
        <v>2966667.5</v>
      </c>
      <c r="M42" s="151">
        <v>412315</v>
      </c>
      <c r="N42" s="39">
        <f>ROUND($M42*$F42,0)</f>
        <v>3298520</v>
      </c>
      <c r="O42" s="81">
        <f>$N42*$I$18</f>
        <v>8246300</v>
      </c>
      <c r="Q42" s="153">
        <f>ROUND(AVERAGE($G42,$J42,$M42),0)</f>
        <v>294487</v>
      </c>
      <c r="R42" s="39">
        <f>ROUND($Q42*$F42,0)</f>
        <v>2355896</v>
      </c>
      <c r="S42" s="81">
        <f>$R42*$I$18</f>
        <v>5889740</v>
      </c>
      <c r="T42" s="153">
        <f t="shared" ref="T42:T68" si="7">ROUND(GEOMEAN($G42,$J42,$M42),0)</f>
        <v>270275</v>
      </c>
      <c r="U42" s="39">
        <f>ROUND($T42*$F42,0)</f>
        <v>2162200</v>
      </c>
      <c r="V42" s="81">
        <f>$U42*$I$18</f>
        <v>5405500</v>
      </c>
      <c r="W42" s="153">
        <f t="shared" ref="W42:W68" si="8">ROUND(HARMEAN($G42,$J42,$M42),0)</f>
        <v>244605</v>
      </c>
      <c r="X42" s="39">
        <f>ROUND($W42*$F42,0)</f>
        <v>1956840</v>
      </c>
      <c r="Y42" s="81">
        <f>$X42*$I$18</f>
        <v>4892100</v>
      </c>
      <c r="Z42" s="153" cm="1">
        <f t="array" ref="Z42">ROUND(AVERAGE((SMALL(($G42,$J42,$M42),{1;2}))),0)</f>
        <v>235573</v>
      </c>
      <c r="AA42" s="39">
        <f>ROUND($Z42*$F42,0)</f>
        <v>1884584</v>
      </c>
      <c r="AB42" s="81">
        <f>$AA42*$I$18</f>
        <v>4711460</v>
      </c>
      <c r="AC42" s="153" cm="1">
        <f t="array" ref="AC42">ROUND(GEOMEAN((SMALL(($G42,$J42,$M42),{1;2}))),0)</f>
        <v>218824</v>
      </c>
      <c r="AD42" s="39">
        <f>ROUND($AC42*$F42,0)</f>
        <v>1750592</v>
      </c>
      <c r="AE42" s="81">
        <f>$AD42*$I$18</f>
        <v>4376480</v>
      </c>
      <c r="AF42" s="153" cm="1">
        <f t="array" ref="AF42">ROUND(HARMEAN((SMALL(($G42,$J42,$M42),{1;2}))),0)</f>
        <v>203266</v>
      </c>
      <c r="AG42" s="39">
        <f>ROUND($AF42*$F42,0)</f>
        <v>1626128</v>
      </c>
      <c r="AH42" s="81">
        <f>$AG42*$I$18</f>
        <v>4065320</v>
      </c>
      <c r="AI42" s="155">
        <f>AF42</f>
        <v>203266</v>
      </c>
      <c r="AJ42" s="154">
        <f>ROUND($AI42*$F42,0)</f>
        <v>1626128</v>
      </c>
      <c r="AK42" s="154">
        <f>$AJ42*$I$18</f>
        <v>4065320</v>
      </c>
    </row>
    <row r="43" spans="2:37" s="2" customFormat="1" ht="78" customHeight="1">
      <c r="B43" s="59">
        <v>2</v>
      </c>
      <c r="C43" s="67" t="s">
        <v>1149</v>
      </c>
      <c r="D43" s="196" t="s">
        <v>1151</v>
      </c>
      <c r="E43" s="196" t="s">
        <v>1151</v>
      </c>
      <c r="F43" s="76">
        <f>3+1</f>
        <v>4</v>
      </c>
      <c r="G43" s="54">
        <v>634245</v>
      </c>
      <c r="H43" s="39">
        <f t="shared" ref="H43:H68" si="9">ROUND($G43*$F43,0)</f>
        <v>2536980</v>
      </c>
      <c r="I43" s="142">
        <f t="shared" ref="I43:I68" si="10">$H43*$I$18</f>
        <v>6342450</v>
      </c>
      <c r="J43" s="151">
        <v>331500</v>
      </c>
      <c r="K43" s="39">
        <f t="shared" ref="K43:K68" si="11">ROUND($J43*$F43,0)</f>
        <v>1326000</v>
      </c>
      <c r="L43" s="142">
        <f t="shared" ref="L43:L68" si="12">$K43*$I$18</f>
        <v>3315000</v>
      </c>
      <c r="M43" s="151">
        <v>345830</v>
      </c>
      <c r="N43" s="39">
        <f t="shared" ref="N43:N68" si="13">ROUND($M43*$F43,0)</f>
        <v>1383320</v>
      </c>
      <c r="O43" s="81">
        <f t="shared" ref="O43:O68" si="14">$N43*$I$18</f>
        <v>3458300</v>
      </c>
      <c r="Q43" s="153">
        <f t="shared" ref="Q43:Q68" si="15">ROUND(AVERAGE($G43,$J43,$M43),0)</f>
        <v>437192</v>
      </c>
      <c r="R43" s="39">
        <f t="shared" ref="R43:R68" si="16">ROUND($Q43*$F43,0)</f>
        <v>1748768</v>
      </c>
      <c r="S43" s="81">
        <f t="shared" ref="S43:S68" si="17">$R43*$I$18</f>
        <v>4371920</v>
      </c>
      <c r="T43" s="153">
        <f t="shared" si="7"/>
        <v>417383</v>
      </c>
      <c r="U43" s="39">
        <f t="shared" ref="U43:U68" si="18">ROUND($T43*$F43,0)</f>
        <v>1669532</v>
      </c>
      <c r="V43" s="81">
        <f t="shared" ref="V43:V68" si="19">$U43*$I$18</f>
        <v>4173830</v>
      </c>
      <c r="W43" s="153">
        <f t="shared" si="8"/>
        <v>400809</v>
      </c>
      <c r="X43" s="39">
        <f t="shared" ref="X43:X68" si="20">ROUND($W43*$F43,0)</f>
        <v>1603236</v>
      </c>
      <c r="Y43" s="81">
        <f t="shared" ref="Y43:Y68" si="21">$X43*$I$18</f>
        <v>4008090</v>
      </c>
      <c r="Z43" s="153" cm="1">
        <f t="array" ref="Z43">ROUND(AVERAGE((SMALL(($G43,$J43,$M43),{1;2}))),0)</f>
        <v>338665</v>
      </c>
      <c r="AA43" s="39">
        <f t="shared" ref="AA43:AA68" si="22">ROUND($Z43*$F43,0)</f>
        <v>1354660</v>
      </c>
      <c r="AB43" s="81">
        <f t="shared" ref="AB43:AB68" si="23">$AA43*$I$18</f>
        <v>3386650</v>
      </c>
      <c r="AC43" s="153" cm="1">
        <f t="array" ref="AC43">ROUND(GEOMEAN((SMALL(($G43,$J43,$M43),{1;2}))),0)</f>
        <v>338589</v>
      </c>
      <c r="AD43" s="39">
        <f t="shared" ref="AD43:AD68" si="24">ROUND($AC43*$F43,0)</f>
        <v>1354356</v>
      </c>
      <c r="AE43" s="81">
        <f t="shared" ref="AE43:AE68" si="25">$AD43*$I$18</f>
        <v>3385890</v>
      </c>
      <c r="AF43" s="153" cm="1">
        <f t="array" ref="AF43">ROUND(HARMEAN((SMALL(($G43,$J43,$M43),{1;2}))),0)</f>
        <v>338513</v>
      </c>
      <c r="AG43" s="39">
        <f t="shared" ref="AG43:AG68" si="26">ROUND($AF43*$F43,0)</f>
        <v>1354052</v>
      </c>
      <c r="AH43" s="81">
        <f t="shared" ref="AH43:AH68" si="27">$AG43*$I$18</f>
        <v>3385130</v>
      </c>
      <c r="AI43" s="155">
        <f t="shared" ref="AI43:AI68" si="28">AF43</f>
        <v>338513</v>
      </c>
      <c r="AJ43" s="154">
        <f t="shared" ref="AJ43:AJ68" si="29">ROUND($AI43*$F43,0)</f>
        <v>1354052</v>
      </c>
      <c r="AK43" s="154">
        <f t="shared" ref="AK43:AK68" si="30">$AJ43*$I$18</f>
        <v>3385130</v>
      </c>
    </row>
    <row r="44" spans="2:37" s="2" customFormat="1" ht="78" customHeight="1">
      <c r="B44" s="59">
        <v>3</v>
      </c>
      <c r="C44" s="67" t="s">
        <v>1149</v>
      </c>
      <c r="D44" s="196" t="s">
        <v>1336</v>
      </c>
      <c r="E44" s="196"/>
      <c r="F44" s="76">
        <f>1+1+1</f>
        <v>3</v>
      </c>
      <c r="G44" s="54">
        <v>441555</v>
      </c>
      <c r="H44" s="39">
        <f t="shared" si="9"/>
        <v>1324665</v>
      </c>
      <c r="I44" s="142">
        <f t="shared" si="10"/>
        <v>3311662.5</v>
      </c>
      <c r="J44" s="151">
        <v>147833.33333333334</v>
      </c>
      <c r="K44" s="39">
        <f t="shared" si="11"/>
        <v>443500</v>
      </c>
      <c r="L44" s="142">
        <f t="shared" si="12"/>
        <v>1108750</v>
      </c>
      <c r="M44" s="151">
        <v>253000</v>
      </c>
      <c r="N44" s="39">
        <f t="shared" si="13"/>
        <v>759000</v>
      </c>
      <c r="O44" s="81">
        <f t="shared" si="14"/>
        <v>1897500</v>
      </c>
      <c r="Q44" s="153">
        <f t="shared" si="15"/>
        <v>280796</v>
      </c>
      <c r="R44" s="39">
        <f t="shared" si="16"/>
        <v>842388</v>
      </c>
      <c r="S44" s="81">
        <f t="shared" si="17"/>
        <v>2105970</v>
      </c>
      <c r="T44" s="153">
        <f t="shared" si="7"/>
        <v>254659</v>
      </c>
      <c r="U44" s="39">
        <f t="shared" si="18"/>
        <v>763977</v>
      </c>
      <c r="V44" s="81">
        <f t="shared" si="19"/>
        <v>1909942.5</v>
      </c>
      <c r="W44" s="153">
        <f t="shared" si="8"/>
        <v>231095</v>
      </c>
      <c r="X44" s="39">
        <f t="shared" si="20"/>
        <v>693285</v>
      </c>
      <c r="Y44" s="81">
        <f t="shared" si="21"/>
        <v>1733212.5</v>
      </c>
      <c r="Z44" s="153" cm="1">
        <f t="array" ref="Z44">ROUND(AVERAGE((SMALL(($G44,$J44,$M44),{1;2}))),0)</f>
        <v>200417</v>
      </c>
      <c r="AA44" s="39">
        <f t="shared" si="22"/>
        <v>601251</v>
      </c>
      <c r="AB44" s="81">
        <f t="shared" si="23"/>
        <v>1503127.5</v>
      </c>
      <c r="AC44" s="153" cm="1">
        <f t="array" ref="AC44">ROUND(GEOMEAN((SMALL(($G44,$J44,$M44),{1;2}))),0)</f>
        <v>193396</v>
      </c>
      <c r="AD44" s="39">
        <f t="shared" si="24"/>
        <v>580188</v>
      </c>
      <c r="AE44" s="81">
        <f t="shared" si="25"/>
        <v>1450470</v>
      </c>
      <c r="AF44" s="153" cm="1">
        <f t="array" ref="AF44">ROUND(HARMEAN((SMALL(($G44,$J44,$M44),{1;2}))),0)</f>
        <v>186620</v>
      </c>
      <c r="AG44" s="39">
        <f t="shared" si="26"/>
        <v>559860</v>
      </c>
      <c r="AH44" s="81">
        <f t="shared" si="27"/>
        <v>1399650</v>
      </c>
      <c r="AI44" s="155">
        <f t="shared" si="28"/>
        <v>186620</v>
      </c>
      <c r="AJ44" s="154">
        <f t="shared" si="29"/>
        <v>559860</v>
      </c>
      <c r="AK44" s="154">
        <f t="shared" si="30"/>
        <v>1399650</v>
      </c>
    </row>
    <row r="45" spans="2:37" s="2" customFormat="1" ht="78" customHeight="1">
      <c r="B45" s="59">
        <v>4</v>
      </c>
      <c r="C45" s="67" t="s">
        <v>1149</v>
      </c>
      <c r="D45" s="196" t="s">
        <v>1337</v>
      </c>
      <c r="E45" s="196"/>
      <c r="F45" s="76">
        <f>2</f>
        <v>2</v>
      </c>
      <c r="G45" s="54">
        <v>5036167</v>
      </c>
      <c r="H45" s="39">
        <f t="shared" si="9"/>
        <v>10072334</v>
      </c>
      <c r="I45" s="142">
        <f t="shared" si="10"/>
        <v>25180835</v>
      </c>
      <c r="J45" s="151">
        <v>496666.66666666669</v>
      </c>
      <c r="K45" s="39">
        <f t="shared" si="11"/>
        <v>993333</v>
      </c>
      <c r="L45" s="142">
        <f t="shared" si="12"/>
        <v>2483332.5</v>
      </c>
      <c r="M45" s="151">
        <v>287500</v>
      </c>
      <c r="N45" s="39">
        <f t="shared" si="13"/>
        <v>575000</v>
      </c>
      <c r="O45" s="81">
        <f t="shared" si="14"/>
        <v>1437500</v>
      </c>
      <c r="Q45" s="153">
        <f t="shared" si="15"/>
        <v>1940111</v>
      </c>
      <c r="R45" s="39">
        <f t="shared" si="16"/>
        <v>3880222</v>
      </c>
      <c r="S45" s="81">
        <f t="shared" si="17"/>
        <v>9700555</v>
      </c>
      <c r="T45" s="153">
        <f t="shared" si="7"/>
        <v>895917</v>
      </c>
      <c r="U45" s="39">
        <f t="shared" si="18"/>
        <v>1791834</v>
      </c>
      <c r="V45" s="81">
        <f t="shared" si="19"/>
        <v>4479585</v>
      </c>
      <c r="W45" s="153">
        <f t="shared" si="8"/>
        <v>527218</v>
      </c>
      <c r="X45" s="39">
        <f t="shared" si="20"/>
        <v>1054436</v>
      </c>
      <c r="Y45" s="81">
        <f t="shared" si="21"/>
        <v>2636090</v>
      </c>
      <c r="Z45" s="153" cm="1">
        <f t="array" ref="Z45">ROUND(AVERAGE((SMALL(($G45,$J45,$M45),{1;2}))),0)</f>
        <v>392083</v>
      </c>
      <c r="AA45" s="39">
        <f t="shared" si="22"/>
        <v>784166</v>
      </c>
      <c r="AB45" s="81">
        <f t="shared" si="23"/>
        <v>1960415</v>
      </c>
      <c r="AC45" s="153" cm="1">
        <f t="array" ref="AC45">ROUND(GEOMEAN((SMALL(($G45,$J45,$M45),{1;2}))),0)</f>
        <v>377878</v>
      </c>
      <c r="AD45" s="39">
        <f t="shared" si="24"/>
        <v>755756</v>
      </c>
      <c r="AE45" s="81">
        <f t="shared" si="25"/>
        <v>1889390</v>
      </c>
      <c r="AF45" s="153" cm="1">
        <f t="array" ref="AF45">ROUND(HARMEAN((SMALL(($G45,$J45,$M45),{1;2}))),0)</f>
        <v>364187</v>
      </c>
      <c r="AG45" s="39">
        <f t="shared" si="26"/>
        <v>728374</v>
      </c>
      <c r="AH45" s="81">
        <f t="shared" si="27"/>
        <v>1820935</v>
      </c>
      <c r="AI45" s="155">
        <f t="shared" si="28"/>
        <v>364187</v>
      </c>
      <c r="AJ45" s="154">
        <f t="shared" si="29"/>
        <v>728374</v>
      </c>
      <c r="AK45" s="154">
        <f t="shared" si="30"/>
        <v>1820935</v>
      </c>
    </row>
    <row r="46" spans="2:37" s="2" customFormat="1" ht="78" customHeight="1">
      <c r="B46" s="59">
        <v>5</v>
      </c>
      <c r="C46" s="67" t="s">
        <v>1149</v>
      </c>
      <c r="D46" s="196" t="s">
        <v>1152</v>
      </c>
      <c r="E46" s="196" t="s">
        <v>1152</v>
      </c>
      <c r="F46" s="76">
        <f>36+5+1</f>
        <v>42</v>
      </c>
      <c r="G46" s="54">
        <v>706625</v>
      </c>
      <c r="H46" s="39">
        <f t="shared" si="9"/>
        <v>29678250</v>
      </c>
      <c r="I46" s="142">
        <f t="shared" si="10"/>
        <v>74195625</v>
      </c>
      <c r="J46" s="151">
        <v>73666.666666666672</v>
      </c>
      <c r="K46" s="39">
        <f t="shared" si="11"/>
        <v>3094000</v>
      </c>
      <c r="L46" s="142">
        <f t="shared" si="12"/>
        <v>7735000</v>
      </c>
      <c r="M46" s="151">
        <v>108554</v>
      </c>
      <c r="N46" s="39">
        <f t="shared" si="13"/>
        <v>4559268</v>
      </c>
      <c r="O46" s="81">
        <f t="shared" si="14"/>
        <v>11398170</v>
      </c>
      <c r="Q46" s="153">
        <f t="shared" si="15"/>
        <v>296282</v>
      </c>
      <c r="R46" s="39">
        <f t="shared" si="16"/>
        <v>12443844</v>
      </c>
      <c r="S46" s="81">
        <f t="shared" si="17"/>
        <v>31109610</v>
      </c>
      <c r="T46" s="153">
        <f t="shared" si="7"/>
        <v>178116</v>
      </c>
      <c r="U46" s="39">
        <f t="shared" si="18"/>
        <v>7480872</v>
      </c>
      <c r="V46" s="81">
        <f t="shared" si="19"/>
        <v>18702180</v>
      </c>
      <c r="W46" s="153">
        <f t="shared" si="8"/>
        <v>123957</v>
      </c>
      <c r="X46" s="39">
        <f t="shared" si="20"/>
        <v>5206194</v>
      </c>
      <c r="Y46" s="81">
        <f t="shared" si="21"/>
        <v>13015485</v>
      </c>
      <c r="Z46" s="153" cm="1">
        <f t="array" ref="Z46">ROUND(AVERAGE((SMALL(($G46,$J46,$M46),{1;2}))),0)</f>
        <v>91110</v>
      </c>
      <c r="AA46" s="39">
        <f t="shared" si="22"/>
        <v>3826620</v>
      </c>
      <c r="AB46" s="81">
        <f t="shared" si="23"/>
        <v>9566550</v>
      </c>
      <c r="AC46" s="153" cm="1">
        <f t="array" ref="AC46">ROUND(GEOMEAN((SMALL(($G46,$J46,$M46),{1;2}))),0)</f>
        <v>89425</v>
      </c>
      <c r="AD46" s="39">
        <f t="shared" si="24"/>
        <v>3755850</v>
      </c>
      <c r="AE46" s="81">
        <f t="shared" si="25"/>
        <v>9389625</v>
      </c>
      <c r="AF46" s="153" cm="1">
        <f t="array" ref="AF46">ROUND(HARMEAN((SMALL(($G46,$J46,$M46),{1;2}))),0)</f>
        <v>87771</v>
      </c>
      <c r="AG46" s="39">
        <f t="shared" si="26"/>
        <v>3686382</v>
      </c>
      <c r="AH46" s="81">
        <f t="shared" si="27"/>
        <v>9215955</v>
      </c>
      <c r="AI46" s="155">
        <f t="shared" si="28"/>
        <v>87771</v>
      </c>
      <c r="AJ46" s="154">
        <f t="shared" si="29"/>
        <v>3686382</v>
      </c>
      <c r="AK46" s="154">
        <f t="shared" si="30"/>
        <v>9215955</v>
      </c>
    </row>
    <row r="47" spans="2:37" s="2" customFormat="1" ht="78" customHeight="1">
      <c r="B47" s="59">
        <v>6</v>
      </c>
      <c r="C47" s="67" t="s">
        <v>1149</v>
      </c>
      <c r="D47" s="196" t="s">
        <v>1153</v>
      </c>
      <c r="E47" s="196" t="s">
        <v>1153</v>
      </c>
      <c r="F47" s="76">
        <f>54+5+5+3+6</f>
        <v>73</v>
      </c>
      <c r="G47" s="54">
        <v>1072385</v>
      </c>
      <c r="H47" s="39">
        <f t="shared" si="9"/>
        <v>78284105</v>
      </c>
      <c r="I47" s="142">
        <f t="shared" si="10"/>
        <v>195710262.5</v>
      </c>
      <c r="J47" s="151">
        <v>69500</v>
      </c>
      <c r="K47" s="39">
        <f t="shared" si="11"/>
        <v>5073500</v>
      </c>
      <c r="L47" s="142">
        <f t="shared" si="12"/>
        <v>12683750</v>
      </c>
      <c r="M47" s="151">
        <v>119631</v>
      </c>
      <c r="N47" s="39">
        <f t="shared" si="13"/>
        <v>8733063</v>
      </c>
      <c r="O47" s="81">
        <f t="shared" si="14"/>
        <v>21832657.5</v>
      </c>
      <c r="Q47" s="153">
        <f t="shared" si="15"/>
        <v>420505</v>
      </c>
      <c r="R47" s="39">
        <f t="shared" si="16"/>
        <v>30696865</v>
      </c>
      <c r="S47" s="81">
        <f t="shared" si="17"/>
        <v>76742162.5</v>
      </c>
      <c r="T47" s="153">
        <f t="shared" si="7"/>
        <v>207361</v>
      </c>
      <c r="U47" s="39">
        <f t="shared" si="18"/>
        <v>15137353</v>
      </c>
      <c r="V47" s="81">
        <f t="shared" si="19"/>
        <v>37843382.5</v>
      </c>
      <c r="W47" s="153">
        <f t="shared" si="8"/>
        <v>126689</v>
      </c>
      <c r="X47" s="39">
        <f t="shared" si="20"/>
        <v>9248297</v>
      </c>
      <c r="Y47" s="81">
        <f t="shared" si="21"/>
        <v>23120742.5</v>
      </c>
      <c r="Z47" s="153" cm="1">
        <f t="array" ref="Z47">ROUND(AVERAGE((SMALL(($G47,$J47,$M47),{1;2}))),0)</f>
        <v>94566</v>
      </c>
      <c r="AA47" s="39">
        <f t="shared" si="22"/>
        <v>6903318</v>
      </c>
      <c r="AB47" s="81">
        <f t="shared" si="23"/>
        <v>17258295</v>
      </c>
      <c r="AC47" s="153" cm="1">
        <f t="array" ref="AC47">ROUND(GEOMEAN((SMALL(($G47,$J47,$M47),{1;2}))),0)</f>
        <v>91183</v>
      </c>
      <c r="AD47" s="39">
        <f t="shared" si="24"/>
        <v>6656359</v>
      </c>
      <c r="AE47" s="81">
        <f t="shared" si="25"/>
        <v>16640897.5</v>
      </c>
      <c r="AF47" s="153" cm="1">
        <f t="array" ref="AF47">ROUND(HARMEAN((SMALL(($G47,$J47,$M47),{1;2}))),0)</f>
        <v>87922</v>
      </c>
      <c r="AG47" s="39">
        <f t="shared" si="26"/>
        <v>6418306</v>
      </c>
      <c r="AH47" s="81">
        <f t="shared" si="27"/>
        <v>16045765</v>
      </c>
      <c r="AI47" s="155">
        <f t="shared" si="28"/>
        <v>87922</v>
      </c>
      <c r="AJ47" s="154">
        <f t="shared" si="29"/>
        <v>6418306</v>
      </c>
      <c r="AK47" s="154">
        <f t="shared" si="30"/>
        <v>16045765</v>
      </c>
    </row>
    <row r="48" spans="2:37" s="2" customFormat="1" ht="78" customHeight="1">
      <c r="B48" s="59">
        <v>7</v>
      </c>
      <c r="C48" s="67" t="s">
        <v>1149</v>
      </c>
      <c r="D48" s="196" t="s">
        <v>1338</v>
      </c>
      <c r="E48" s="196"/>
      <c r="F48" s="76">
        <f>1</f>
        <v>1</v>
      </c>
      <c r="G48" s="54">
        <v>469356</v>
      </c>
      <c r="H48" s="39">
        <f t="shared" si="9"/>
        <v>469356</v>
      </c>
      <c r="I48" s="142">
        <f t="shared" si="10"/>
        <v>1173390</v>
      </c>
      <c r="J48" s="151">
        <v>469833.33333333331</v>
      </c>
      <c r="K48" s="39">
        <f t="shared" si="11"/>
        <v>469833</v>
      </c>
      <c r="L48" s="142">
        <f t="shared" si="12"/>
        <v>1174582.5</v>
      </c>
      <c r="M48" s="151">
        <v>747500</v>
      </c>
      <c r="N48" s="39">
        <f t="shared" si="13"/>
        <v>747500</v>
      </c>
      <c r="O48" s="81">
        <f t="shared" si="14"/>
        <v>1868750</v>
      </c>
      <c r="Q48" s="153">
        <f t="shared" si="15"/>
        <v>562230</v>
      </c>
      <c r="R48" s="39">
        <f t="shared" si="16"/>
        <v>562230</v>
      </c>
      <c r="S48" s="81">
        <f t="shared" si="17"/>
        <v>1405575</v>
      </c>
      <c r="T48" s="153">
        <f t="shared" si="7"/>
        <v>548301</v>
      </c>
      <c r="U48" s="39">
        <f t="shared" si="18"/>
        <v>548301</v>
      </c>
      <c r="V48" s="81">
        <f t="shared" si="19"/>
        <v>1370752.5</v>
      </c>
      <c r="W48" s="153">
        <f t="shared" si="8"/>
        <v>536022</v>
      </c>
      <c r="X48" s="39">
        <f t="shared" si="20"/>
        <v>536022</v>
      </c>
      <c r="Y48" s="81">
        <f t="shared" si="21"/>
        <v>1340055</v>
      </c>
      <c r="Z48" s="153" cm="1">
        <f t="array" ref="Z48">ROUND(AVERAGE((SMALL(($G48,$J48,$M48),{1;2}))),0)</f>
        <v>469595</v>
      </c>
      <c r="AA48" s="39">
        <f t="shared" si="22"/>
        <v>469595</v>
      </c>
      <c r="AB48" s="81">
        <f t="shared" si="23"/>
        <v>1173987.5</v>
      </c>
      <c r="AC48" s="153" cm="1">
        <f t="array" ref="AC48">ROUND(GEOMEAN((SMALL(($G48,$J48,$M48),{1;2}))),0)</f>
        <v>469595</v>
      </c>
      <c r="AD48" s="39">
        <f t="shared" si="24"/>
        <v>469595</v>
      </c>
      <c r="AE48" s="81">
        <f t="shared" si="25"/>
        <v>1173987.5</v>
      </c>
      <c r="AF48" s="153" cm="1">
        <f t="array" ref="AF48">ROUND(HARMEAN((SMALL(($G48,$J48,$M48),{1;2}))),0)</f>
        <v>469595</v>
      </c>
      <c r="AG48" s="39">
        <f t="shared" si="26"/>
        <v>469595</v>
      </c>
      <c r="AH48" s="81">
        <f t="shared" si="27"/>
        <v>1173987.5</v>
      </c>
      <c r="AI48" s="155">
        <f t="shared" si="28"/>
        <v>469595</v>
      </c>
      <c r="AJ48" s="154">
        <f t="shared" si="29"/>
        <v>469595</v>
      </c>
      <c r="AK48" s="154">
        <f t="shared" si="30"/>
        <v>1173987.5</v>
      </c>
    </row>
    <row r="49" spans="2:37" s="2" customFormat="1" ht="78" customHeight="1">
      <c r="B49" s="59">
        <v>8</v>
      </c>
      <c r="C49" s="67" t="s">
        <v>1149</v>
      </c>
      <c r="D49" s="196" t="s">
        <v>1339</v>
      </c>
      <c r="E49" s="196"/>
      <c r="F49" s="76">
        <f>4+1</f>
        <v>5</v>
      </c>
      <c r="G49" s="54">
        <v>226693</v>
      </c>
      <c r="H49" s="39">
        <f t="shared" si="9"/>
        <v>1133465</v>
      </c>
      <c r="I49" s="142">
        <f t="shared" si="10"/>
        <v>2833662.5</v>
      </c>
      <c r="J49" s="151">
        <v>345166.66666666669</v>
      </c>
      <c r="K49" s="39">
        <f t="shared" si="11"/>
        <v>1725833</v>
      </c>
      <c r="L49" s="142">
        <f t="shared" si="12"/>
        <v>4314582.5</v>
      </c>
      <c r="M49" s="151">
        <v>642298</v>
      </c>
      <c r="N49" s="39">
        <f t="shared" si="13"/>
        <v>3211490</v>
      </c>
      <c r="O49" s="81">
        <f t="shared" si="14"/>
        <v>8028725</v>
      </c>
      <c r="Q49" s="153">
        <f t="shared" si="15"/>
        <v>404719</v>
      </c>
      <c r="R49" s="39">
        <f t="shared" si="16"/>
        <v>2023595</v>
      </c>
      <c r="S49" s="81">
        <f t="shared" si="17"/>
        <v>5058987.5</v>
      </c>
      <c r="T49" s="153">
        <f t="shared" si="7"/>
        <v>369035</v>
      </c>
      <c r="U49" s="39">
        <f t="shared" si="18"/>
        <v>1845175</v>
      </c>
      <c r="V49" s="81">
        <f t="shared" si="19"/>
        <v>4612937.5</v>
      </c>
      <c r="W49" s="153">
        <f t="shared" si="8"/>
        <v>338398</v>
      </c>
      <c r="X49" s="39">
        <f t="shared" si="20"/>
        <v>1691990</v>
      </c>
      <c r="Y49" s="81">
        <f t="shared" si="21"/>
        <v>4229975</v>
      </c>
      <c r="Z49" s="153" cm="1">
        <f t="array" ref="Z49">ROUND(AVERAGE((SMALL(($G49,$J49,$M49),{1;2}))),0)</f>
        <v>285930</v>
      </c>
      <c r="AA49" s="39">
        <f t="shared" si="22"/>
        <v>1429650</v>
      </c>
      <c r="AB49" s="81">
        <f t="shared" si="23"/>
        <v>3574125</v>
      </c>
      <c r="AC49" s="153" cm="1">
        <f t="array" ref="AC49">ROUND(GEOMEAN((SMALL(($G49,$J49,$M49),{1;2}))),0)</f>
        <v>279726</v>
      </c>
      <c r="AD49" s="39">
        <f t="shared" si="24"/>
        <v>1398630</v>
      </c>
      <c r="AE49" s="81">
        <f t="shared" si="25"/>
        <v>3496575</v>
      </c>
      <c r="AF49" s="153" cm="1">
        <f t="array" ref="AF49">ROUND(HARMEAN((SMALL(($G49,$J49,$M49),{1;2}))),0)</f>
        <v>273658</v>
      </c>
      <c r="AG49" s="39">
        <f t="shared" si="26"/>
        <v>1368290</v>
      </c>
      <c r="AH49" s="81">
        <f t="shared" si="27"/>
        <v>3420725</v>
      </c>
      <c r="AI49" s="155">
        <f t="shared" si="28"/>
        <v>273658</v>
      </c>
      <c r="AJ49" s="154">
        <f t="shared" si="29"/>
        <v>1368290</v>
      </c>
      <c r="AK49" s="154">
        <f t="shared" si="30"/>
        <v>3420725</v>
      </c>
    </row>
    <row r="50" spans="2:37" s="2" customFormat="1" ht="78" customHeight="1">
      <c r="B50" s="59">
        <v>9</v>
      </c>
      <c r="C50" s="67" t="s">
        <v>1149</v>
      </c>
      <c r="D50" s="196" t="s">
        <v>1340</v>
      </c>
      <c r="E50" s="196"/>
      <c r="F50" s="76">
        <f>1</f>
        <v>1</v>
      </c>
      <c r="G50" s="54">
        <v>426693</v>
      </c>
      <c r="H50" s="39">
        <f t="shared" si="9"/>
        <v>426693</v>
      </c>
      <c r="I50" s="142">
        <f t="shared" si="10"/>
        <v>1066732.5</v>
      </c>
      <c r="J50" s="151">
        <v>410666.66666666669</v>
      </c>
      <c r="K50" s="39">
        <f t="shared" si="11"/>
        <v>410667</v>
      </c>
      <c r="L50" s="142">
        <f t="shared" si="12"/>
        <v>1026667.5</v>
      </c>
      <c r="M50" s="151">
        <v>678500</v>
      </c>
      <c r="N50" s="39">
        <f t="shared" si="13"/>
        <v>678500</v>
      </c>
      <c r="O50" s="81">
        <f t="shared" si="14"/>
        <v>1696250</v>
      </c>
      <c r="Q50" s="153">
        <f t="shared" si="15"/>
        <v>505287</v>
      </c>
      <c r="R50" s="39">
        <f t="shared" si="16"/>
        <v>505287</v>
      </c>
      <c r="S50" s="81">
        <f t="shared" si="17"/>
        <v>1263217.5</v>
      </c>
      <c r="T50" s="153">
        <f t="shared" si="7"/>
        <v>491720</v>
      </c>
      <c r="U50" s="39">
        <f t="shared" si="18"/>
        <v>491720</v>
      </c>
      <c r="V50" s="81">
        <f t="shared" si="19"/>
        <v>1229300</v>
      </c>
      <c r="W50" s="153">
        <f t="shared" si="8"/>
        <v>479807</v>
      </c>
      <c r="X50" s="39">
        <f t="shared" si="20"/>
        <v>479807</v>
      </c>
      <c r="Y50" s="81">
        <f t="shared" si="21"/>
        <v>1199517.5</v>
      </c>
      <c r="Z50" s="153" cm="1">
        <f t="array" ref="Z50">ROUND(AVERAGE((SMALL(($G50,$J50,$M50),{1;2}))),0)</f>
        <v>418680</v>
      </c>
      <c r="AA50" s="39">
        <f t="shared" si="22"/>
        <v>418680</v>
      </c>
      <c r="AB50" s="81">
        <f t="shared" si="23"/>
        <v>1046700</v>
      </c>
      <c r="AC50" s="153" cm="1">
        <f t="array" ref="AC50">ROUND(GEOMEAN((SMALL(($G50,$J50,$M50),{1;2}))),0)</f>
        <v>418603</v>
      </c>
      <c r="AD50" s="39">
        <f t="shared" si="24"/>
        <v>418603</v>
      </c>
      <c r="AE50" s="81">
        <f t="shared" si="25"/>
        <v>1046507.5</v>
      </c>
      <c r="AF50" s="153" cm="1">
        <f t="array" ref="AF50">ROUND(HARMEAN((SMALL(($G50,$J50,$M50),{1;2}))),0)</f>
        <v>418526</v>
      </c>
      <c r="AG50" s="39">
        <f t="shared" si="26"/>
        <v>418526</v>
      </c>
      <c r="AH50" s="81">
        <f t="shared" si="27"/>
        <v>1046315</v>
      </c>
      <c r="AI50" s="155">
        <f t="shared" si="28"/>
        <v>418526</v>
      </c>
      <c r="AJ50" s="154">
        <f t="shared" si="29"/>
        <v>418526</v>
      </c>
      <c r="AK50" s="154">
        <f t="shared" si="30"/>
        <v>1046315</v>
      </c>
    </row>
    <row r="51" spans="2:37" s="2" customFormat="1" ht="71.25" customHeight="1">
      <c r="B51" s="59">
        <v>10</v>
      </c>
      <c r="C51" s="67" t="s">
        <v>1155</v>
      </c>
      <c r="D51" s="196" t="s">
        <v>1156</v>
      </c>
      <c r="E51" s="196"/>
      <c r="F51" s="76">
        <f>30+2+3+1</f>
        <v>36</v>
      </c>
      <c r="G51" s="54">
        <v>52151</v>
      </c>
      <c r="H51" s="39">
        <f t="shared" si="9"/>
        <v>1877436</v>
      </c>
      <c r="I51" s="142">
        <f t="shared" si="10"/>
        <v>4693590</v>
      </c>
      <c r="J51" s="151">
        <v>49666.666666666664</v>
      </c>
      <c r="K51" s="39">
        <f t="shared" si="11"/>
        <v>1788000</v>
      </c>
      <c r="L51" s="142">
        <f t="shared" si="12"/>
        <v>4470000</v>
      </c>
      <c r="M51" s="151">
        <v>60983</v>
      </c>
      <c r="N51" s="39">
        <f t="shared" si="13"/>
        <v>2195388</v>
      </c>
      <c r="O51" s="81">
        <f t="shared" si="14"/>
        <v>5488470</v>
      </c>
      <c r="Q51" s="153">
        <f t="shared" si="15"/>
        <v>54267</v>
      </c>
      <c r="R51" s="39">
        <f t="shared" si="16"/>
        <v>1953612</v>
      </c>
      <c r="S51" s="81">
        <f t="shared" si="17"/>
        <v>4884030</v>
      </c>
      <c r="T51" s="153">
        <f t="shared" si="7"/>
        <v>54056</v>
      </c>
      <c r="U51" s="39">
        <f t="shared" si="18"/>
        <v>1946016</v>
      </c>
      <c r="V51" s="81">
        <f t="shared" si="19"/>
        <v>4865040</v>
      </c>
      <c r="W51" s="153">
        <f t="shared" si="8"/>
        <v>53853</v>
      </c>
      <c r="X51" s="39">
        <f t="shared" si="20"/>
        <v>1938708</v>
      </c>
      <c r="Y51" s="81">
        <f t="shared" si="21"/>
        <v>4846770</v>
      </c>
      <c r="Z51" s="153" cm="1">
        <f t="array" ref="Z51">ROUND(AVERAGE((SMALL(($G51,$J51,$M51),{1;2}))),0)</f>
        <v>50909</v>
      </c>
      <c r="AA51" s="39">
        <f t="shared" si="22"/>
        <v>1832724</v>
      </c>
      <c r="AB51" s="81">
        <f t="shared" si="23"/>
        <v>4581810</v>
      </c>
      <c r="AC51" s="153" cm="1">
        <f t="array" ref="AC51">ROUND(GEOMEAN((SMALL(($G51,$J51,$M51),{1;2}))),0)</f>
        <v>50894</v>
      </c>
      <c r="AD51" s="39">
        <f t="shared" si="24"/>
        <v>1832184</v>
      </c>
      <c r="AE51" s="81">
        <f t="shared" si="25"/>
        <v>4580460</v>
      </c>
      <c r="AF51" s="153" cm="1">
        <f t="array" ref="AF51">ROUND(HARMEAN((SMALL(($G51,$J51,$M51),{1;2}))),0)</f>
        <v>50879</v>
      </c>
      <c r="AG51" s="39">
        <f t="shared" si="26"/>
        <v>1831644</v>
      </c>
      <c r="AH51" s="81">
        <f t="shared" si="27"/>
        <v>4579110</v>
      </c>
      <c r="AI51" s="155">
        <f t="shared" si="28"/>
        <v>50879</v>
      </c>
      <c r="AJ51" s="154">
        <f t="shared" si="29"/>
        <v>1831644</v>
      </c>
      <c r="AK51" s="154">
        <f t="shared" si="30"/>
        <v>4579110</v>
      </c>
    </row>
    <row r="52" spans="2:37" s="2" customFormat="1" ht="71.25" customHeight="1">
      <c r="B52" s="59">
        <v>11</v>
      </c>
      <c r="C52" s="67" t="s">
        <v>1155</v>
      </c>
      <c r="D52" s="196" t="s">
        <v>1157</v>
      </c>
      <c r="E52" s="196" t="s">
        <v>127</v>
      </c>
      <c r="F52" s="76">
        <f>5+1+1+1+1</f>
        <v>9</v>
      </c>
      <c r="G52" s="54">
        <v>434965</v>
      </c>
      <c r="H52" s="39">
        <f t="shared" si="9"/>
        <v>3914685</v>
      </c>
      <c r="I52" s="142">
        <f t="shared" si="10"/>
        <v>9786712.5</v>
      </c>
      <c r="J52" s="151">
        <v>69166.666666666672</v>
      </c>
      <c r="K52" s="39">
        <f t="shared" si="11"/>
        <v>622500</v>
      </c>
      <c r="L52" s="142">
        <f t="shared" si="12"/>
        <v>1556250</v>
      </c>
      <c r="M52" s="151">
        <v>252793</v>
      </c>
      <c r="N52" s="39">
        <f t="shared" si="13"/>
        <v>2275137</v>
      </c>
      <c r="O52" s="81">
        <f t="shared" si="14"/>
        <v>5687842.5</v>
      </c>
      <c r="Q52" s="153">
        <f t="shared" si="15"/>
        <v>252308</v>
      </c>
      <c r="R52" s="39">
        <f t="shared" si="16"/>
        <v>2270772</v>
      </c>
      <c r="S52" s="81">
        <f t="shared" si="17"/>
        <v>5676930</v>
      </c>
      <c r="T52" s="153">
        <f t="shared" si="7"/>
        <v>196655</v>
      </c>
      <c r="U52" s="39">
        <f t="shared" si="18"/>
        <v>1769895</v>
      </c>
      <c r="V52" s="81">
        <f t="shared" si="19"/>
        <v>4424737.5</v>
      </c>
      <c r="W52" s="153">
        <f t="shared" si="8"/>
        <v>144839</v>
      </c>
      <c r="X52" s="39">
        <f t="shared" si="20"/>
        <v>1303551</v>
      </c>
      <c r="Y52" s="81">
        <f t="shared" si="21"/>
        <v>3258877.5</v>
      </c>
      <c r="Z52" s="153" cm="1">
        <f t="array" ref="Z52">ROUND(AVERAGE((SMALL(($G52,$J52,$M52),{1;2}))),0)</f>
        <v>160980</v>
      </c>
      <c r="AA52" s="39">
        <f t="shared" si="22"/>
        <v>1448820</v>
      </c>
      <c r="AB52" s="81">
        <f t="shared" si="23"/>
        <v>3622050</v>
      </c>
      <c r="AC52" s="153" cm="1">
        <f t="array" ref="AC52">ROUND(GEOMEAN((SMALL(($G52,$J52,$M52),{1;2}))),0)</f>
        <v>132230</v>
      </c>
      <c r="AD52" s="39">
        <f t="shared" si="24"/>
        <v>1190070</v>
      </c>
      <c r="AE52" s="81">
        <f t="shared" si="25"/>
        <v>2975175</v>
      </c>
      <c r="AF52" s="153" cm="1">
        <f t="array" ref="AF52">ROUND(HARMEAN((SMALL(($G52,$J52,$M52),{1;2}))),0)</f>
        <v>108615</v>
      </c>
      <c r="AG52" s="39">
        <f t="shared" si="26"/>
        <v>977535</v>
      </c>
      <c r="AH52" s="81">
        <f t="shared" si="27"/>
        <v>2443837.5</v>
      </c>
      <c r="AI52" s="155">
        <f t="shared" si="28"/>
        <v>108615</v>
      </c>
      <c r="AJ52" s="154">
        <f t="shared" si="29"/>
        <v>977535</v>
      </c>
      <c r="AK52" s="154">
        <f t="shared" si="30"/>
        <v>2443837.5</v>
      </c>
    </row>
    <row r="53" spans="2:37" s="2" customFormat="1" ht="71.25" customHeight="1">
      <c r="B53" s="59">
        <v>12</v>
      </c>
      <c r="C53" s="67" t="s">
        <v>1155</v>
      </c>
      <c r="D53" s="196" t="s">
        <v>1158</v>
      </c>
      <c r="E53" s="196" t="s">
        <v>128</v>
      </c>
      <c r="F53" s="76">
        <f>4+1+1</f>
        <v>6</v>
      </c>
      <c r="G53" s="54">
        <v>123678</v>
      </c>
      <c r="H53" s="39">
        <f t="shared" si="9"/>
        <v>742068</v>
      </c>
      <c r="I53" s="142">
        <f t="shared" si="10"/>
        <v>1855170</v>
      </c>
      <c r="J53" s="151">
        <v>43000</v>
      </c>
      <c r="K53" s="39">
        <f t="shared" si="11"/>
        <v>258000</v>
      </c>
      <c r="L53" s="142">
        <f t="shared" si="12"/>
        <v>645000</v>
      </c>
      <c r="M53" s="151">
        <v>85561</v>
      </c>
      <c r="N53" s="39">
        <f t="shared" si="13"/>
        <v>513366</v>
      </c>
      <c r="O53" s="81">
        <f t="shared" si="14"/>
        <v>1283415</v>
      </c>
      <c r="Q53" s="153">
        <f t="shared" si="15"/>
        <v>84080</v>
      </c>
      <c r="R53" s="39">
        <f t="shared" si="16"/>
        <v>504480</v>
      </c>
      <c r="S53" s="81">
        <f t="shared" si="17"/>
        <v>1261200</v>
      </c>
      <c r="T53" s="153">
        <f t="shared" si="7"/>
        <v>76915</v>
      </c>
      <c r="U53" s="39">
        <f t="shared" si="18"/>
        <v>461490</v>
      </c>
      <c r="V53" s="81">
        <f t="shared" si="19"/>
        <v>1153725</v>
      </c>
      <c r="W53" s="153">
        <f t="shared" si="8"/>
        <v>69721</v>
      </c>
      <c r="X53" s="39">
        <f t="shared" si="20"/>
        <v>418326</v>
      </c>
      <c r="Y53" s="81">
        <f t="shared" si="21"/>
        <v>1045815</v>
      </c>
      <c r="Z53" s="153" cm="1">
        <f t="array" ref="Z53">ROUND(AVERAGE((SMALL(($G53,$J53,$M53),{1;2}))),0)</f>
        <v>64281</v>
      </c>
      <c r="AA53" s="39">
        <f t="shared" si="22"/>
        <v>385686</v>
      </c>
      <c r="AB53" s="81">
        <f t="shared" si="23"/>
        <v>964215</v>
      </c>
      <c r="AC53" s="153" cm="1">
        <f t="array" ref="AC53">ROUND(GEOMEAN((SMALL(($G53,$J53,$M53),{1;2}))),0)</f>
        <v>60656</v>
      </c>
      <c r="AD53" s="39">
        <f t="shared" si="24"/>
        <v>363936</v>
      </c>
      <c r="AE53" s="81">
        <f t="shared" si="25"/>
        <v>909840</v>
      </c>
      <c r="AF53" s="153" cm="1">
        <f t="array" ref="AF53">ROUND(HARMEAN((SMALL(($G53,$J53,$M53),{1;2}))),0)</f>
        <v>57235</v>
      </c>
      <c r="AG53" s="39">
        <f t="shared" si="26"/>
        <v>343410</v>
      </c>
      <c r="AH53" s="81">
        <f t="shared" si="27"/>
        <v>858525</v>
      </c>
      <c r="AI53" s="155">
        <f t="shared" si="28"/>
        <v>57235</v>
      </c>
      <c r="AJ53" s="154">
        <f t="shared" si="29"/>
        <v>343410</v>
      </c>
      <c r="AK53" s="154">
        <f t="shared" si="30"/>
        <v>858525</v>
      </c>
    </row>
    <row r="54" spans="2:37" s="2" customFormat="1" ht="71.25" customHeight="1">
      <c r="B54" s="59">
        <v>13</v>
      </c>
      <c r="C54" s="67" t="s">
        <v>1155</v>
      </c>
      <c r="D54" s="196" t="s">
        <v>1159</v>
      </c>
      <c r="E54" s="196" t="s">
        <v>1178</v>
      </c>
      <c r="F54" s="76">
        <f>5+1+1+1+1</f>
        <v>9</v>
      </c>
      <c r="G54" s="54">
        <v>51014</v>
      </c>
      <c r="H54" s="39">
        <f t="shared" si="9"/>
        <v>459126</v>
      </c>
      <c r="I54" s="142">
        <f t="shared" si="10"/>
        <v>1147815</v>
      </c>
      <c r="J54" s="151">
        <v>69166.666666666672</v>
      </c>
      <c r="K54" s="39">
        <f t="shared" si="11"/>
        <v>622500</v>
      </c>
      <c r="L54" s="142">
        <f t="shared" si="12"/>
        <v>1556250</v>
      </c>
      <c r="M54" s="151">
        <v>101678</v>
      </c>
      <c r="N54" s="39">
        <f t="shared" si="13"/>
        <v>915102</v>
      </c>
      <c r="O54" s="81">
        <f t="shared" si="14"/>
        <v>2287755</v>
      </c>
      <c r="Q54" s="153">
        <f t="shared" si="15"/>
        <v>73953</v>
      </c>
      <c r="R54" s="39">
        <f t="shared" si="16"/>
        <v>665577</v>
      </c>
      <c r="S54" s="81">
        <f t="shared" si="17"/>
        <v>1663942.5</v>
      </c>
      <c r="T54" s="153">
        <f t="shared" si="7"/>
        <v>71057</v>
      </c>
      <c r="U54" s="39">
        <f t="shared" si="18"/>
        <v>639513</v>
      </c>
      <c r="V54" s="81">
        <f t="shared" si="19"/>
        <v>1598782.5</v>
      </c>
      <c r="W54" s="153">
        <f t="shared" si="8"/>
        <v>68345</v>
      </c>
      <c r="X54" s="39">
        <f t="shared" si="20"/>
        <v>615105</v>
      </c>
      <c r="Y54" s="81">
        <f t="shared" si="21"/>
        <v>1537762.5</v>
      </c>
      <c r="Z54" s="153" cm="1">
        <f t="array" ref="Z54">ROUND(AVERAGE((SMALL(($G54,$J54,$M54),{1;2}))),0)</f>
        <v>60090</v>
      </c>
      <c r="AA54" s="39">
        <f t="shared" si="22"/>
        <v>540810</v>
      </c>
      <c r="AB54" s="81">
        <f t="shared" si="23"/>
        <v>1352025</v>
      </c>
      <c r="AC54" s="153" cm="1">
        <f t="array" ref="AC54">ROUND(GEOMEAN((SMALL(($G54,$J54,$M54),{1;2}))),0)</f>
        <v>59401</v>
      </c>
      <c r="AD54" s="39">
        <f t="shared" si="24"/>
        <v>534609</v>
      </c>
      <c r="AE54" s="81">
        <f t="shared" si="25"/>
        <v>1336522.5</v>
      </c>
      <c r="AF54" s="153" cm="1">
        <f t="array" ref="AF54">ROUND(HARMEAN((SMALL(($G54,$J54,$M54),{1;2}))),0)</f>
        <v>58719</v>
      </c>
      <c r="AG54" s="39">
        <f t="shared" si="26"/>
        <v>528471</v>
      </c>
      <c r="AH54" s="81">
        <f t="shared" si="27"/>
        <v>1321177.5</v>
      </c>
      <c r="AI54" s="155">
        <f t="shared" si="28"/>
        <v>58719</v>
      </c>
      <c r="AJ54" s="154">
        <f t="shared" si="29"/>
        <v>528471</v>
      </c>
      <c r="AK54" s="154">
        <f t="shared" si="30"/>
        <v>1321177.5</v>
      </c>
    </row>
    <row r="55" spans="2:37" s="2" customFormat="1" ht="71.25" customHeight="1">
      <c r="B55" s="59">
        <v>14</v>
      </c>
      <c r="C55" s="67" t="s">
        <v>1155</v>
      </c>
      <c r="D55" s="196" t="s">
        <v>1160</v>
      </c>
      <c r="E55" s="196" t="s">
        <v>1178</v>
      </c>
      <c r="F55" s="76">
        <f>5+1+1+1</f>
        <v>8</v>
      </c>
      <c r="G55" s="54">
        <v>142633</v>
      </c>
      <c r="H55" s="39">
        <f t="shared" si="9"/>
        <v>1141064</v>
      </c>
      <c r="I55" s="142">
        <f t="shared" si="10"/>
        <v>2852660</v>
      </c>
      <c r="J55" s="151">
        <v>96333.333333333328</v>
      </c>
      <c r="K55" s="39">
        <f t="shared" si="11"/>
        <v>770667</v>
      </c>
      <c r="L55" s="142">
        <f t="shared" si="12"/>
        <v>1926667.5</v>
      </c>
      <c r="M55" s="151">
        <v>66996</v>
      </c>
      <c r="N55" s="39">
        <f t="shared" si="13"/>
        <v>535968</v>
      </c>
      <c r="O55" s="81">
        <f t="shared" si="14"/>
        <v>1339920</v>
      </c>
      <c r="Q55" s="153">
        <f t="shared" si="15"/>
        <v>101987</v>
      </c>
      <c r="R55" s="39">
        <f t="shared" si="16"/>
        <v>815896</v>
      </c>
      <c r="S55" s="81">
        <f t="shared" si="17"/>
        <v>2039740</v>
      </c>
      <c r="T55" s="153">
        <f t="shared" si="7"/>
        <v>97278</v>
      </c>
      <c r="U55" s="39">
        <f t="shared" si="18"/>
        <v>778224</v>
      </c>
      <c r="V55" s="81">
        <f t="shared" si="19"/>
        <v>1945560</v>
      </c>
      <c r="W55" s="153">
        <f t="shared" si="8"/>
        <v>92828</v>
      </c>
      <c r="X55" s="39">
        <f t="shared" si="20"/>
        <v>742624</v>
      </c>
      <c r="Y55" s="81">
        <f t="shared" si="21"/>
        <v>1856560</v>
      </c>
      <c r="Z55" s="153" cm="1">
        <f t="array" ref="Z55">ROUND(AVERAGE((SMALL(($G55,$J55,$M55),{1;2}))),0)</f>
        <v>81665</v>
      </c>
      <c r="AA55" s="39">
        <f t="shared" si="22"/>
        <v>653320</v>
      </c>
      <c r="AB55" s="81">
        <f t="shared" si="23"/>
        <v>1633300</v>
      </c>
      <c r="AC55" s="153" cm="1">
        <f t="array" ref="AC55">ROUND(GEOMEAN((SMALL(($G55,$J55,$M55),{1;2}))),0)</f>
        <v>80336</v>
      </c>
      <c r="AD55" s="39">
        <f t="shared" si="24"/>
        <v>642688</v>
      </c>
      <c r="AE55" s="81">
        <f t="shared" si="25"/>
        <v>1606720</v>
      </c>
      <c r="AF55" s="153" cm="1">
        <f t="array" ref="AF55">ROUND(HARMEAN((SMALL(($G55,$J55,$M55),{1;2}))),0)</f>
        <v>79030</v>
      </c>
      <c r="AG55" s="39">
        <f t="shared" si="26"/>
        <v>632240</v>
      </c>
      <c r="AH55" s="81">
        <f t="shared" si="27"/>
        <v>1580600</v>
      </c>
      <c r="AI55" s="155">
        <f t="shared" si="28"/>
        <v>79030</v>
      </c>
      <c r="AJ55" s="154">
        <f t="shared" si="29"/>
        <v>632240</v>
      </c>
      <c r="AK55" s="154">
        <f t="shared" si="30"/>
        <v>1580600</v>
      </c>
    </row>
    <row r="56" spans="2:37" s="2" customFormat="1" ht="44.25" customHeight="1">
      <c r="B56" s="59">
        <v>15</v>
      </c>
      <c r="C56" s="67" t="s">
        <v>1155</v>
      </c>
      <c r="D56" s="196" t="s">
        <v>1161</v>
      </c>
      <c r="E56" s="196" t="s">
        <v>1178</v>
      </c>
      <c r="F56" s="76">
        <f>76+1+3</f>
        <v>80</v>
      </c>
      <c r="G56" s="54">
        <v>43329</v>
      </c>
      <c r="H56" s="39">
        <f t="shared" si="9"/>
        <v>3466320</v>
      </c>
      <c r="I56" s="142">
        <f t="shared" si="10"/>
        <v>8665800</v>
      </c>
      <c r="J56" s="151">
        <v>24166.666666666668</v>
      </c>
      <c r="K56" s="39">
        <f t="shared" si="11"/>
        <v>1933333</v>
      </c>
      <c r="L56" s="142">
        <f t="shared" si="12"/>
        <v>4833332.5</v>
      </c>
      <c r="M56" s="151">
        <v>41449</v>
      </c>
      <c r="N56" s="39">
        <f t="shared" si="13"/>
        <v>3315920</v>
      </c>
      <c r="O56" s="81">
        <f t="shared" si="14"/>
        <v>8289800</v>
      </c>
      <c r="Q56" s="153">
        <f t="shared" si="15"/>
        <v>36315</v>
      </c>
      <c r="R56" s="39">
        <f t="shared" si="16"/>
        <v>2905200</v>
      </c>
      <c r="S56" s="81">
        <f t="shared" si="17"/>
        <v>7263000</v>
      </c>
      <c r="T56" s="153">
        <f t="shared" si="7"/>
        <v>35143</v>
      </c>
      <c r="U56" s="39">
        <f t="shared" si="18"/>
        <v>2811440</v>
      </c>
      <c r="V56" s="81">
        <f t="shared" si="19"/>
        <v>7028600</v>
      </c>
      <c r="W56" s="153">
        <f t="shared" si="8"/>
        <v>33866</v>
      </c>
      <c r="X56" s="39">
        <f t="shared" si="20"/>
        <v>2709280</v>
      </c>
      <c r="Y56" s="81">
        <f t="shared" si="21"/>
        <v>6773200</v>
      </c>
      <c r="Z56" s="153" cm="1">
        <f t="array" ref="Z56">ROUND(AVERAGE((SMALL(($G56,$J56,$M56),{1;2}))),0)</f>
        <v>32808</v>
      </c>
      <c r="AA56" s="39">
        <f t="shared" si="22"/>
        <v>2624640</v>
      </c>
      <c r="AB56" s="81">
        <f t="shared" si="23"/>
        <v>6561600</v>
      </c>
      <c r="AC56" s="153" cm="1">
        <f t="array" ref="AC56">ROUND(GEOMEAN((SMALL(($G56,$J56,$M56),{1;2}))),0)</f>
        <v>31649</v>
      </c>
      <c r="AD56" s="39">
        <f t="shared" si="24"/>
        <v>2531920</v>
      </c>
      <c r="AE56" s="81">
        <f t="shared" si="25"/>
        <v>6329800</v>
      </c>
      <c r="AF56" s="153" cm="1">
        <f t="array" ref="AF56">ROUND(HARMEAN((SMALL(($G56,$J56,$M56),{1;2}))),0)</f>
        <v>30532</v>
      </c>
      <c r="AG56" s="39">
        <f t="shared" si="26"/>
        <v>2442560</v>
      </c>
      <c r="AH56" s="81">
        <f t="shared" si="27"/>
        <v>6106400</v>
      </c>
      <c r="AI56" s="155">
        <f t="shared" si="28"/>
        <v>30532</v>
      </c>
      <c r="AJ56" s="154">
        <f t="shared" si="29"/>
        <v>2442560</v>
      </c>
      <c r="AK56" s="154">
        <f t="shared" si="30"/>
        <v>6106400</v>
      </c>
    </row>
    <row r="57" spans="2:37" s="2" customFormat="1" ht="44.25" customHeight="1">
      <c r="B57" s="59">
        <v>16</v>
      </c>
      <c r="C57" s="67" t="s">
        <v>1155</v>
      </c>
      <c r="D57" s="196" t="s">
        <v>1162</v>
      </c>
      <c r="E57" s="196" t="s">
        <v>1179</v>
      </c>
      <c r="F57" s="76">
        <f>12+1+1+1</f>
        <v>15</v>
      </c>
      <c r="G57" s="54">
        <v>112790</v>
      </c>
      <c r="H57" s="39">
        <f t="shared" si="9"/>
        <v>1691850</v>
      </c>
      <c r="I57" s="142">
        <f t="shared" si="10"/>
        <v>4229625</v>
      </c>
      <c r="J57" s="151">
        <v>40833.333333333336</v>
      </c>
      <c r="K57" s="39">
        <f t="shared" si="11"/>
        <v>612500</v>
      </c>
      <c r="L57" s="142">
        <f t="shared" si="12"/>
        <v>1531250</v>
      </c>
      <c r="M57" s="151">
        <v>62984</v>
      </c>
      <c r="N57" s="39">
        <f t="shared" si="13"/>
        <v>944760</v>
      </c>
      <c r="O57" s="81">
        <f t="shared" si="14"/>
        <v>2361900</v>
      </c>
      <c r="Q57" s="153">
        <f t="shared" si="15"/>
        <v>72202</v>
      </c>
      <c r="R57" s="39">
        <f t="shared" si="16"/>
        <v>1083030</v>
      </c>
      <c r="S57" s="81">
        <f t="shared" si="17"/>
        <v>2707575</v>
      </c>
      <c r="T57" s="153">
        <f t="shared" si="7"/>
        <v>66197</v>
      </c>
      <c r="U57" s="39">
        <f t="shared" si="18"/>
        <v>992955</v>
      </c>
      <c r="V57" s="81">
        <f t="shared" si="19"/>
        <v>2482387.5</v>
      </c>
      <c r="W57" s="153">
        <f t="shared" si="8"/>
        <v>60935</v>
      </c>
      <c r="X57" s="39">
        <f t="shared" si="20"/>
        <v>914025</v>
      </c>
      <c r="Y57" s="81">
        <f t="shared" si="21"/>
        <v>2285062.5</v>
      </c>
      <c r="Z57" s="153" cm="1">
        <f t="array" ref="Z57">ROUND(AVERAGE((SMALL(($G57,$J57,$M57),{1;2}))),0)</f>
        <v>51909</v>
      </c>
      <c r="AA57" s="39">
        <f t="shared" si="22"/>
        <v>778635</v>
      </c>
      <c r="AB57" s="81">
        <f t="shared" si="23"/>
        <v>1946587.5</v>
      </c>
      <c r="AC57" s="153" cm="1">
        <f t="array" ref="AC57">ROUND(GEOMEAN((SMALL(($G57,$J57,$M57),{1;2}))),0)</f>
        <v>50713</v>
      </c>
      <c r="AD57" s="39">
        <f t="shared" si="24"/>
        <v>760695</v>
      </c>
      <c r="AE57" s="81">
        <f t="shared" si="25"/>
        <v>1901737.5</v>
      </c>
      <c r="AF57" s="153" cm="1">
        <f t="array" ref="AF57">ROUND(HARMEAN((SMALL(($G57,$J57,$M57),{1;2}))),0)</f>
        <v>49546</v>
      </c>
      <c r="AG57" s="39">
        <f t="shared" si="26"/>
        <v>743190</v>
      </c>
      <c r="AH57" s="81">
        <f t="shared" si="27"/>
        <v>1857975</v>
      </c>
      <c r="AI57" s="155">
        <f t="shared" si="28"/>
        <v>49546</v>
      </c>
      <c r="AJ57" s="154">
        <f t="shared" si="29"/>
        <v>743190</v>
      </c>
      <c r="AK57" s="154">
        <f t="shared" si="30"/>
        <v>1857975</v>
      </c>
    </row>
    <row r="58" spans="2:37" s="2" customFormat="1" ht="44.25" customHeight="1">
      <c r="B58" s="59">
        <v>17</v>
      </c>
      <c r="C58" s="67" t="s">
        <v>1155</v>
      </c>
      <c r="D58" s="196" t="s">
        <v>1163</v>
      </c>
      <c r="E58" s="196" t="s">
        <v>129</v>
      </c>
      <c r="F58" s="76">
        <f>12</f>
        <v>12</v>
      </c>
      <c r="G58" s="54">
        <v>102763</v>
      </c>
      <c r="H58" s="39">
        <f t="shared" si="9"/>
        <v>1233156</v>
      </c>
      <c r="I58" s="142">
        <f t="shared" si="10"/>
        <v>3082890</v>
      </c>
      <c r="J58" s="151">
        <v>135333.33333333334</v>
      </c>
      <c r="K58" s="39">
        <f t="shared" si="11"/>
        <v>1624000</v>
      </c>
      <c r="L58" s="142">
        <f t="shared" si="12"/>
        <v>4060000</v>
      </c>
      <c r="M58" s="151">
        <v>125675</v>
      </c>
      <c r="N58" s="39">
        <f t="shared" si="13"/>
        <v>1508100</v>
      </c>
      <c r="O58" s="81">
        <f t="shared" si="14"/>
        <v>3770250</v>
      </c>
      <c r="Q58" s="153">
        <f t="shared" si="15"/>
        <v>121257</v>
      </c>
      <c r="R58" s="39">
        <f t="shared" si="16"/>
        <v>1455084</v>
      </c>
      <c r="S58" s="81">
        <f t="shared" si="17"/>
        <v>3637710</v>
      </c>
      <c r="T58" s="153">
        <f t="shared" si="7"/>
        <v>120456</v>
      </c>
      <c r="U58" s="39">
        <f t="shared" si="18"/>
        <v>1445472</v>
      </c>
      <c r="V58" s="81">
        <f t="shared" si="19"/>
        <v>3613680</v>
      </c>
      <c r="W58" s="153">
        <f t="shared" si="8"/>
        <v>119630</v>
      </c>
      <c r="X58" s="39">
        <f t="shared" si="20"/>
        <v>1435560</v>
      </c>
      <c r="Y58" s="81">
        <f t="shared" si="21"/>
        <v>3588900</v>
      </c>
      <c r="Z58" s="153" cm="1">
        <f t="array" ref="Z58">ROUND(AVERAGE((SMALL(($G58,$J58,$M58),{1;2}))),0)</f>
        <v>114219</v>
      </c>
      <c r="AA58" s="39">
        <f t="shared" si="22"/>
        <v>1370628</v>
      </c>
      <c r="AB58" s="81">
        <f t="shared" si="23"/>
        <v>3426570</v>
      </c>
      <c r="AC58" s="153" cm="1">
        <f t="array" ref="AC58">ROUND(GEOMEAN((SMALL(($G58,$J58,$M58),{1;2}))),0)</f>
        <v>113643</v>
      </c>
      <c r="AD58" s="39">
        <f t="shared" si="24"/>
        <v>1363716</v>
      </c>
      <c r="AE58" s="81">
        <f t="shared" si="25"/>
        <v>3409290</v>
      </c>
      <c r="AF58" s="153" cm="1">
        <f t="array" ref="AF58">ROUND(HARMEAN((SMALL(($G58,$J58,$M58),{1;2}))),0)</f>
        <v>113070</v>
      </c>
      <c r="AG58" s="39">
        <f t="shared" si="26"/>
        <v>1356840</v>
      </c>
      <c r="AH58" s="81">
        <f t="shared" si="27"/>
        <v>3392100</v>
      </c>
      <c r="AI58" s="155">
        <f t="shared" si="28"/>
        <v>113070</v>
      </c>
      <c r="AJ58" s="154">
        <f t="shared" si="29"/>
        <v>1356840</v>
      </c>
      <c r="AK58" s="154">
        <f t="shared" si="30"/>
        <v>3392100</v>
      </c>
    </row>
    <row r="59" spans="2:37" s="2" customFormat="1" ht="44.25" customHeight="1">
      <c r="B59" s="59">
        <v>18</v>
      </c>
      <c r="C59" s="67" t="s">
        <v>1155</v>
      </c>
      <c r="D59" s="196" t="s">
        <v>1164</v>
      </c>
      <c r="E59" s="196" t="s">
        <v>130</v>
      </c>
      <c r="F59" s="76">
        <f>13</f>
        <v>13</v>
      </c>
      <c r="G59" s="54">
        <v>19910</v>
      </c>
      <c r="H59" s="39">
        <f t="shared" si="9"/>
        <v>258830</v>
      </c>
      <c r="I59" s="142">
        <f t="shared" si="10"/>
        <v>647075</v>
      </c>
      <c r="J59" s="151">
        <v>19500</v>
      </c>
      <c r="K59" s="39">
        <f t="shared" si="11"/>
        <v>253500</v>
      </c>
      <c r="L59" s="142">
        <f t="shared" si="12"/>
        <v>633750</v>
      </c>
      <c r="M59" s="151">
        <v>19612</v>
      </c>
      <c r="N59" s="39">
        <f t="shared" si="13"/>
        <v>254956</v>
      </c>
      <c r="O59" s="81">
        <f t="shared" si="14"/>
        <v>637390</v>
      </c>
      <c r="Q59" s="153">
        <f t="shared" si="15"/>
        <v>19674</v>
      </c>
      <c r="R59" s="39">
        <f t="shared" si="16"/>
        <v>255762</v>
      </c>
      <c r="S59" s="81">
        <f t="shared" si="17"/>
        <v>639405</v>
      </c>
      <c r="T59" s="153">
        <f t="shared" si="7"/>
        <v>19673</v>
      </c>
      <c r="U59" s="39">
        <f t="shared" si="18"/>
        <v>255749</v>
      </c>
      <c r="V59" s="81">
        <f t="shared" si="19"/>
        <v>639372.5</v>
      </c>
      <c r="W59" s="153">
        <f t="shared" si="8"/>
        <v>19672</v>
      </c>
      <c r="X59" s="39">
        <f t="shared" si="20"/>
        <v>255736</v>
      </c>
      <c r="Y59" s="81">
        <f t="shared" si="21"/>
        <v>639340</v>
      </c>
      <c r="Z59" s="153" cm="1">
        <f t="array" ref="Z59">ROUND(AVERAGE((SMALL(($G59,$J59,$M59),{1;2}))),0)</f>
        <v>19556</v>
      </c>
      <c r="AA59" s="39">
        <f t="shared" si="22"/>
        <v>254228</v>
      </c>
      <c r="AB59" s="81">
        <f t="shared" si="23"/>
        <v>635570</v>
      </c>
      <c r="AC59" s="153" cm="1">
        <f t="array" ref="AC59">ROUND(GEOMEAN((SMALL(($G59,$J59,$M59),{1;2}))),0)</f>
        <v>19556</v>
      </c>
      <c r="AD59" s="39">
        <f t="shared" si="24"/>
        <v>254228</v>
      </c>
      <c r="AE59" s="81">
        <f t="shared" si="25"/>
        <v>635570</v>
      </c>
      <c r="AF59" s="153" cm="1">
        <f t="array" ref="AF59">ROUND(HARMEAN((SMALL(($G59,$J59,$M59),{1;2}))),0)</f>
        <v>19556</v>
      </c>
      <c r="AG59" s="39">
        <f t="shared" si="26"/>
        <v>254228</v>
      </c>
      <c r="AH59" s="81">
        <f t="shared" si="27"/>
        <v>635570</v>
      </c>
      <c r="AI59" s="155">
        <f t="shared" si="28"/>
        <v>19556</v>
      </c>
      <c r="AJ59" s="154">
        <f t="shared" si="29"/>
        <v>254228</v>
      </c>
      <c r="AK59" s="154">
        <f t="shared" si="30"/>
        <v>635570</v>
      </c>
    </row>
    <row r="60" spans="2:37" s="2" customFormat="1" ht="44.25" customHeight="1">
      <c r="B60" s="59">
        <v>19</v>
      </c>
      <c r="C60" s="67" t="s">
        <v>1155</v>
      </c>
      <c r="D60" s="196" t="s">
        <v>1165</v>
      </c>
      <c r="E60" s="196" t="s">
        <v>131</v>
      </c>
      <c r="F60" s="76">
        <f>1</f>
        <v>1</v>
      </c>
      <c r="G60" s="54">
        <v>31121</v>
      </c>
      <c r="H60" s="39">
        <f t="shared" si="9"/>
        <v>31121</v>
      </c>
      <c r="I60" s="142">
        <f t="shared" si="10"/>
        <v>77802.5</v>
      </c>
      <c r="J60" s="151">
        <v>29666.666666666668</v>
      </c>
      <c r="K60" s="39">
        <f t="shared" si="11"/>
        <v>29667</v>
      </c>
      <c r="L60" s="142">
        <f t="shared" si="12"/>
        <v>74167.5</v>
      </c>
      <c r="M60" s="151">
        <v>43845</v>
      </c>
      <c r="N60" s="39">
        <f t="shared" si="13"/>
        <v>43845</v>
      </c>
      <c r="O60" s="81">
        <f t="shared" si="14"/>
        <v>109612.5</v>
      </c>
      <c r="Q60" s="153">
        <f t="shared" si="15"/>
        <v>34878</v>
      </c>
      <c r="R60" s="39">
        <f t="shared" si="16"/>
        <v>34878</v>
      </c>
      <c r="S60" s="81">
        <f t="shared" si="17"/>
        <v>87195</v>
      </c>
      <c r="T60" s="153">
        <f t="shared" si="7"/>
        <v>34336</v>
      </c>
      <c r="U60" s="39">
        <f t="shared" si="18"/>
        <v>34336</v>
      </c>
      <c r="V60" s="81">
        <f t="shared" si="19"/>
        <v>85840</v>
      </c>
      <c r="W60" s="153">
        <f t="shared" si="8"/>
        <v>33842</v>
      </c>
      <c r="X60" s="39">
        <f t="shared" si="20"/>
        <v>33842</v>
      </c>
      <c r="Y60" s="81">
        <f t="shared" si="21"/>
        <v>84605</v>
      </c>
      <c r="Z60" s="153" cm="1">
        <f t="array" ref="Z60">ROUND(AVERAGE((SMALL(($G60,$J60,$M60),{1;2}))),0)</f>
        <v>30394</v>
      </c>
      <c r="AA60" s="39">
        <f t="shared" si="22"/>
        <v>30394</v>
      </c>
      <c r="AB60" s="81">
        <f t="shared" si="23"/>
        <v>75985</v>
      </c>
      <c r="AC60" s="153" cm="1">
        <f t="array" ref="AC60">ROUND(GEOMEAN((SMALL(($G60,$J60,$M60),{1;2}))),0)</f>
        <v>30385</v>
      </c>
      <c r="AD60" s="39">
        <f t="shared" si="24"/>
        <v>30385</v>
      </c>
      <c r="AE60" s="81">
        <f t="shared" si="25"/>
        <v>75962.5</v>
      </c>
      <c r="AF60" s="153" cm="1">
        <f t="array" ref="AF60">ROUND(HARMEAN((SMALL(($G60,$J60,$M60),{1;2}))),0)</f>
        <v>30376</v>
      </c>
      <c r="AG60" s="39">
        <f t="shared" si="26"/>
        <v>30376</v>
      </c>
      <c r="AH60" s="81">
        <f t="shared" si="27"/>
        <v>75940</v>
      </c>
      <c r="AI60" s="155">
        <f t="shared" si="28"/>
        <v>30376</v>
      </c>
      <c r="AJ60" s="154">
        <f t="shared" si="29"/>
        <v>30376</v>
      </c>
      <c r="AK60" s="154">
        <f t="shared" si="30"/>
        <v>75940</v>
      </c>
    </row>
    <row r="61" spans="2:37" s="2" customFormat="1" ht="61.5" customHeight="1">
      <c r="B61" s="59">
        <v>20</v>
      </c>
      <c r="C61" s="67" t="s">
        <v>1155</v>
      </c>
      <c r="D61" s="196" t="s">
        <v>1166</v>
      </c>
      <c r="E61" s="196" t="s">
        <v>132</v>
      </c>
      <c r="F61" s="76">
        <f>3</f>
        <v>3</v>
      </c>
      <c r="G61" s="54">
        <v>50000</v>
      </c>
      <c r="H61" s="39">
        <f t="shared" si="9"/>
        <v>150000</v>
      </c>
      <c r="I61" s="142">
        <f t="shared" si="10"/>
        <v>375000</v>
      </c>
      <c r="J61" s="151">
        <v>224166.66666666666</v>
      </c>
      <c r="K61" s="39">
        <f t="shared" si="11"/>
        <v>672500</v>
      </c>
      <c r="L61" s="142">
        <f t="shared" si="12"/>
        <v>1681250</v>
      </c>
      <c r="M61" s="151">
        <v>467981</v>
      </c>
      <c r="N61" s="39">
        <f t="shared" si="13"/>
        <v>1403943</v>
      </c>
      <c r="O61" s="81">
        <f t="shared" si="14"/>
        <v>3509857.5</v>
      </c>
      <c r="Q61" s="153">
        <f t="shared" si="15"/>
        <v>247383</v>
      </c>
      <c r="R61" s="39">
        <f t="shared" si="16"/>
        <v>742149</v>
      </c>
      <c r="S61" s="81">
        <f t="shared" si="17"/>
        <v>1855372.5</v>
      </c>
      <c r="T61" s="153">
        <f t="shared" si="7"/>
        <v>173749</v>
      </c>
      <c r="U61" s="39">
        <f t="shared" si="18"/>
        <v>521247</v>
      </c>
      <c r="V61" s="81">
        <f t="shared" si="19"/>
        <v>1303117.5</v>
      </c>
      <c r="W61" s="153">
        <f t="shared" si="8"/>
        <v>112791</v>
      </c>
      <c r="X61" s="39">
        <f t="shared" si="20"/>
        <v>338373</v>
      </c>
      <c r="Y61" s="81">
        <f t="shared" si="21"/>
        <v>845932.5</v>
      </c>
      <c r="Z61" s="153" cm="1">
        <f t="array" ref="Z61">ROUND(AVERAGE((SMALL(($G61,$J61,$M61),{1;2}))),0)</f>
        <v>137083</v>
      </c>
      <c r="AA61" s="39">
        <f t="shared" si="22"/>
        <v>411249</v>
      </c>
      <c r="AB61" s="81">
        <f t="shared" si="23"/>
        <v>1028122.5</v>
      </c>
      <c r="AC61" s="153" cm="1">
        <f t="array" ref="AC61">ROUND(GEOMEAN((SMALL(($G61,$J61,$M61),{1;2}))),0)</f>
        <v>105869</v>
      </c>
      <c r="AD61" s="39">
        <f t="shared" si="24"/>
        <v>317607</v>
      </c>
      <c r="AE61" s="81">
        <f t="shared" si="25"/>
        <v>794017.5</v>
      </c>
      <c r="AF61" s="153" cm="1">
        <f t="array" ref="AF61">ROUND(HARMEAN((SMALL(($G61,$J61,$M61),{1;2}))),0)</f>
        <v>81763</v>
      </c>
      <c r="AG61" s="39">
        <f t="shared" si="26"/>
        <v>245289</v>
      </c>
      <c r="AH61" s="81">
        <f t="shared" si="27"/>
        <v>613222.5</v>
      </c>
      <c r="AI61" s="155">
        <f t="shared" si="28"/>
        <v>81763</v>
      </c>
      <c r="AJ61" s="154">
        <f t="shared" si="29"/>
        <v>245289</v>
      </c>
      <c r="AK61" s="154">
        <f t="shared" si="30"/>
        <v>613222.5</v>
      </c>
    </row>
    <row r="62" spans="2:37" s="2" customFormat="1" ht="44.25" customHeight="1">
      <c r="B62" s="59">
        <v>21</v>
      </c>
      <c r="C62" s="67" t="s">
        <v>1167</v>
      </c>
      <c r="D62" s="196" t="s">
        <v>1168</v>
      </c>
      <c r="E62" s="196"/>
      <c r="F62" s="76">
        <f>4</f>
        <v>4</v>
      </c>
      <c r="G62" s="54">
        <v>183917</v>
      </c>
      <c r="H62" s="39">
        <f t="shared" si="9"/>
        <v>735668</v>
      </c>
      <c r="I62" s="142">
        <f t="shared" si="10"/>
        <v>1839170</v>
      </c>
      <c r="J62" s="151">
        <v>113150</v>
      </c>
      <c r="K62" s="39">
        <f t="shared" si="11"/>
        <v>452600</v>
      </c>
      <c r="L62" s="142">
        <f t="shared" si="12"/>
        <v>1131500</v>
      </c>
      <c r="M62" s="151">
        <v>235980</v>
      </c>
      <c r="N62" s="39">
        <f t="shared" si="13"/>
        <v>943920</v>
      </c>
      <c r="O62" s="81">
        <f t="shared" si="14"/>
        <v>2359800</v>
      </c>
      <c r="Q62" s="153">
        <f t="shared" si="15"/>
        <v>177682</v>
      </c>
      <c r="R62" s="39">
        <f t="shared" si="16"/>
        <v>710728</v>
      </c>
      <c r="S62" s="81">
        <f t="shared" si="17"/>
        <v>1776820</v>
      </c>
      <c r="T62" s="153">
        <f t="shared" si="7"/>
        <v>169975</v>
      </c>
      <c r="U62" s="39">
        <f t="shared" si="18"/>
        <v>679900</v>
      </c>
      <c r="V62" s="81">
        <f t="shared" si="19"/>
        <v>1699750</v>
      </c>
      <c r="W62" s="153">
        <f t="shared" si="8"/>
        <v>162051</v>
      </c>
      <c r="X62" s="39">
        <f t="shared" si="20"/>
        <v>648204</v>
      </c>
      <c r="Y62" s="81">
        <f t="shared" si="21"/>
        <v>1620510</v>
      </c>
      <c r="Z62" s="153" cm="1">
        <f t="array" ref="Z62">ROUND(AVERAGE((SMALL(($G62,$J62,$M62),{1;2}))),0)</f>
        <v>148534</v>
      </c>
      <c r="AA62" s="39">
        <f t="shared" si="22"/>
        <v>594136</v>
      </c>
      <c r="AB62" s="81">
        <f t="shared" si="23"/>
        <v>1485340</v>
      </c>
      <c r="AC62" s="153" cm="1">
        <f t="array" ref="AC62">ROUND(GEOMEAN((SMALL(($G62,$J62,$M62),{1;2}))),0)</f>
        <v>144257</v>
      </c>
      <c r="AD62" s="39">
        <f t="shared" si="24"/>
        <v>577028</v>
      </c>
      <c r="AE62" s="81">
        <f t="shared" si="25"/>
        <v>1442570</v>
      </c>
      <c r="AF62" s="153" cm="1">
        <f t="array" ref="AF62">ROUND(HARMEAN((SMALL(($G62,$J62,$M62),{1;2}))),0)</f>
        <v>140104</v>
      </c>
      <c r="AG62" s="39">
        <f t="shared" si="26"/>
        <v>560416</v>
      </c>
      <c r="AH62" s="81">
        <f t="shared" si="27"/>
        <v>1401040</v>
      </c>
      <c r="AI62" s="155">
        <f t="shared" si="28"/>
        <v>140104</v>
      </c>
      <c r="AJ62" s="154">
        <f t="shared" si="29"/>
        <v>560416</v>
      </c>
      <c r="AK62" s="154">
        <f t="shared" si="30"/>
        <v>1401040</v>
      </c>
    </row>
    <row r="63" spans="2:37" s="2" customFormat="1" ht="44.25" customHeight="1">
      <c r="B63" s="59">
        <v>22</v>
      </c>
      <c r="C63" s="67" t="s">
        <v>1167</v>
      </c>
      <c r="D63" s="196" t="s">
        <v>1169</v>
      </c>
      <c r="E63" s="196" t="s">
        <v>1169</v>
      </c>
      <c r="F63" s="76">
        <f>16+5+5+5+1+1</f>
        <v>33</v>
      </c>
      <c r="G63" s="54">
        <v>25000</v>
      </c>
      <c r="H63" s="39">
        <f t="shared" si="9"/>
        <v>825000</v>
      </c>
      <c r="I63" s="142">
        <f t="shared" si="10"/>
        <v>2062500</v>
      </c>
      <c r="J63" s="151">
        <v>57500</v>
      </c>
      <c r="K63" s="39">
        <f t="shared" si="11"/>
        <v>1897500</v>
      </c>
      <c r="L63" s="142">
        <f t="shared" si="12"/>
        <v>4743750</v>
      </c>
      <c r="M63" s="151">
        <v>57608</v>
      </c>
      <c r="N63" s="39">
        <f t="shared" si="13"/>
        <v>1901064</v>
      </c>
      <c r="O63" s="81">
        <f t="shared" si="14"/>
        <v>4752660</v>
      </c>
      <c r="Q63" s="153">
        <f t="shared" si="15"/>
        <v>46703</v>
      </c>
      <c r="R63" s="39">
        <f t="shared" si="16"/>
        <v>1541199</v>
      </c>
      <c r="S63" s="81">
        <f t="shared" si="17"/>
        <v>3852997.5</v>
      </c>
      <c r="T63" s="153">
        <f t="shared" si="7"/>
        <v>43588</v>
      </c>
      <c r="U63" s="39">
        <f t="shared" si="18"/>
        <v>1438404</v>
      </c>
      <c r="V63" s="81">
        <f t="shared" si="19"/>
        <v>3596010</v>
      </c>
      <c r="W63" s="153">
        <f t="shared" si="8"/>
        <v>40134</v>
      </c>
      <c r="X63" s="39">
        <f t="shared" si="20"/>
        <v>1324422</v>
      </c>
      <c r="Y63" s="81">
        <f t="shared" si="21"/>
        <v>3311055</v>
      </c>
      <c r="Z63" s="153" cm="1">
        <f t="array" ref="Z63">ROUND(AVERAGE((SMALL(($G63,$J63,$M63),{1;2}))),0)</f>
        <v>41250</v>
      </c>
      <c r="AA63" s="39">
        <f t="shared" si="22"/>
        <v>1361250</v>
      </c>
      <c r="AB63" s="81">
        <f t="shared" si="23"/>
        <v>3403125</v>
      </c>
      <c r="AC63" s="153" cm="1">
        <f t="array" ref="AC63">ROUND(GEOMEAN((SMALL(($G63,$J63,$M63),{1;2}))),0)</f>
        <v>37914</v>
      </c>
      <c r="AD63" s="39">
        <f t="shared" si="24"/>
        <v>1251162</v>
      </c>
      <c r="AE63" s="81">
        <f t="shared" si="25"/>
        <v>3127905</v>
      </c>
      <c r="AF63" s="153" cm="1">
        <f t="array" ref="AF63">ROUND(HARMEAN((SMALL(($G63,$J63,$M63),{1;2}))),0)</f>
        <v>34848</v>
      </c>
      <c r="AG63" s="39">
        <f t="shared" si="26"/>
        <v>1149984</v>
      </c>
      <c r="AH63" s="81">
        <f t="shared" si="27"/>
        <v>2874960</v>
      </c>
      <c r="AI63" s="155">
        <f t="shared" si="28"/>
        <v>34848</v>
      </c>
      <c r="AJ63" s="154">
        <f t="shared" si="29"/>
        <v>1149984</v>
      </c>
      <c r="AK63" s="154">
        <f t="shared" si="30"/>
        <v>2874960</v>
      </c>
    </row>
    <row r="64" spans="2:37" s="2" customFormat="1" ht="44.25" customHeight="1">
      <c r="B64" s="59">
        <v>23</v>
      </c>
      <c r="C64" s="67" t="s">
        <v>1170</v>
      </c>
      <c r="D64" s="196" t="s">
        <v>1171</v>
      </c>
      <c r="E64" s="196"/>
      <c r="F64" s="76">
        <f>5+4+3+3+2+2</f>
        <v>19</v>
      </c>
      <c r="G64" s="54">
        <v>219500</v>
      </c>
      <c r="H64" s="39">
        <f t="shared" si="9"/>
        <v>4170500</v>
      </c>
      <c r="I64" s="142">
        <f t="shared" si="10"/>
        <v>10426250</v>
      </c>
      <c r="J64" s="151">
        <v>250000</v>
      </c>
      <c r="K64" s="39">
        <f t="shared" si="11"/>
        <v>4750000</v>
      </c>
      <c r="L64" s="142">
        <f t="shared" si="12"/>
        <v>11875000</v>
      </c>
      <c r="M64" s="151">
        <v>142913</v>
      </c>
      <c r="N64" s="39">
        <f t="shared" si="13"/>
        <v>2715347</v>
      </c>
      <c r="O64" s="81">
        <f t="shared" si="14"/>
        <v>6788367.5</v>
      </c>
      <c r="Q64" s="153">
        <f t="shared" si="15"/>
        <v>204138</v>
      </c>
      <c r="R64" s="39">
        <f t="shared" si="16"/>
        <v>3878622</v>
      </c>
      <c r="S64" s="81">
        <f t="shared" si="17"/>
        <v>9696555</v>
      </c>
      <c r="T64" s="153">
        <f t="shared" si="7"/>
        <v>198678</v>
      </c>
      <c r="U64" s="39">
        <f t="shared" si="18"/>
        <v>3774882</v>
      </c>
      <c r="V64" s="81">
        <f t="shared" si="19"/>
        <v>9437205</v>
      </c>
      <c r="W64" s="153">
        <f t="shared" si="8"/>
        <v>192888</v>
      </c>
      <c r="X64" s="39">
        <f t="shared" si="20"/>
        <v>3664872</v>
      </c>
      <c r="Y64" s="81">
        <f t="shared" si="21"/>
        <v>9162180</v>
      </c>
      <c r="Z64" s="153" cm="1">
        <f t="array" ref="Z64">ROUND(AVERAGE((SMALL(($G64,$J64,$M64),{1;2}))),0)</f>
        <v>181207</v>
      </c>
      <c r="AA64" s="39">
        <f t="shared" si="22"/>
        <v>3442933</v>
      </c>
      <c r="AB64" s="81">
        <f t="shared" si="23"/>
        <v>8607332.5</v>
      </c>
      <c r="AC64" s="153" cm="1">
        <f t="array" ref="AC64">ROUND(GEOMEAN((SMALL(($G64,$J64,$M64),{1;2}))),0)</f>
        <v>177114</v>
      </c>
      <c r="AD64" s="39">
        <f t="shared" si="24"/>
        <v>3365166</v>
      </c>
      <c r="AE64" s="81">
        <f t="shared" si="25"/>
        <v>8412915</v>
      </c>
      <c r="AF64" s="153" cm="1">
        <f t="array" ref="AF64">ROUND(HARMEAN((SMALL(($G64,$J64,$M64),{1;2}))),0)</f>
        <v>173114</v>
      </c>
      <c r="AG64" s="39">
        <f t="shared" si="26"/>
        <v>3289166</v>
      </c>
      <c r="AH64" s="81">
        <f t="shared" si="27"/>
        <v>8222915</v>
      </c>
      <c r="AI64" s="155">
        <f t="shared" si="28"/>
        <v>173114</v>
      </c>
      <c r="AJ64" s="154">
        <f t="shared" si="29"/>
        <v>3289166</v>
      </c>
      <c r="AK64" s="154">
        <f t="shared" si="30"/>
        <v>8222915</v>
      </c>
    </row>
    <row r="65" spans="2:37" s="2" customFormat="1" ht="44.25" customHeight="1">
      <c r="B65" s="59">
        <v>24</v>
      </c>
      <c r="C65" s="67" t="s">
        <v>1170</v>
      </c>
      <c r="D65" s="196" t="s">
        <v>1172</v>
      </c>
      <c r="E65" s="196" t="s">
        <v>1172</v>
      </c>
      <c r="F65" s="76">
        <f>2+1+1+1+1+1</f>
        <v>7</v>
      </c>
      <c r="G65" s="54">
        <v>219500</v>
      </c>
      <c r="H65" s="39">
        <f t="shared" si="9"/>
        <v>1536500</v>
      </c>
      <c r="I65" s="142">
        <f t="shared" si="10"/>
        <v>3841250</v>
      </c>
      <c r="J65" s="151">
        <v>250000</v>
      </c>
      <c r="K65" s="39">
        <f t="shared" si="11"/>
        <v>1750000</v>
      </c>
      <c r="L65" s="142">
        <f t="shared" si="12"/>
        <v>4375000</v>
      </c>
      <c r="M65" s="151">
        <v>139856</v>
      </c>
      <c r="N65" s="39">
        <f t="shared" si="13"/>
        <v>978992</v>
      </c>
      <c r="O65" s="81">
        <f t="shared" si="14"/>
        <v>2447480</v>
      </c>
      <c r="Q65" s="153">
        <f t="shared" si="15"/>
        <v>203119</v>
      </c>
      <c r="R65" s="39">
        <f t="shared" si="16"/>
        <v>1421833</v>
      </c>
      <c r="S65" s="81">
        <f t="shared" si="17"/>
        <v>3554582.5</v>
      </c>
      <c r="T65" s="153">
        <f t="shared" si="7"/>
        <v>197251</v>
      </c>
      <c r="U65" s="39">
        <f t="shared" si="18"/>
        <v>1380757</v>
      </c>
      <c r="V65" s="81">
        <f t="shared" si="19"/>
        <v>3451892.5</v>
      </c>
      <c r="W65" s="153">
        <f t="shared" si="8"/>
        <v>191010</v>
      </c>
      <c r="X65" s="39">
        <f t="shared" si="20"/>
        <v>1337070</v>
      </c>
      <c r="Y65" s="81">
        <f t="shared" si="21"/>
        <v>3342675</v>
      </c>
      <c r="Z65" s="153" cm="1">
        <f t="array" ref="Z65">ROUND(AVERAGE((SMALL(($G65,$J65,$M65),{1;2}))),0)</f>
        <v>179678</v>
      </c>
      <c r="AA65" s="39">
        <f t="shared" si="22"/>
        <v>1257746</v>
      </c>
      <c r="AB65" s="81">
        <f t="shared" si="23"/>
        <v>3144365</v>
      </c>
      <c r="AC65" s="153" cm="1">
        <f t="array" ref="AC65">ROUND(GEOMEAN((SMALL(($G65,$J65,$M65),{1;2}))),0)</f>
        <v>175210</v>
      </c>
      <c r="AD65" s="39">
        <f t="shared" si="24"/>
        <v>1226470</v>
      </c>
      <c r="AE65" s="81">
        <f t="shared" si="25"/>
        <v>3066175</v>
      </c>
      <c r="AF65" s="153" cm="1">
        <f t="array" ref="AF65">ROUND(HARMEAN((SMALL(($G65,$J65,$M65),{1;2}))),0)</f>
        <v>170852</v>
      </c>
      <c r="AG65" s="39">
        <f t="shared" si="26"/>
        <v>1195964</v>
      </c>
      <c r="AH65" s="81">
        <f t="shared" si="27"/>
        <v>2989910</v>
      </c>
      <c r="AI65" s="155">
        <f t="shared" si="28"/>
        <v>170852</v>
      </c>
      <c r="AJ65" s="154">
        <f t="shared" si="29"/>
        <v>1195964</v>
      </c>
      <c r="AK65" s="154">
        <f t="shared" si="30"/>
        <v>2989910</v>
      </c>
    </row>
    <row r="66" spans="2:37" s="2" customFormat="1" ht="44.25" customHeight="1">
      <c r="B66" s="59">
        <v>25</v>
      </c>
      <c r="C66" s="67" t="s">
        <v>1170</v>
      </c>
      <c r="D66" s="196" t="s">
        <v>1173</v>
      </c>
      <c r="E66" s="196" t="s">
        <v>1173</v>
      </c>
      <c r="F66" s="76">
        <f>3+3+3+3+1+1</f>
        <v>14</v>
      </c>
      <c r="G66" s="54">
        <v>20000</v>
      </c>
      <c r="H66" s="39">
        <f t="shared" si="9"/>
        <v>280000</v>
      </c>
      <c r="I66" s="142">
        <f t="shared" si="10"/>
        <v>700000</v>
      </c>
      <c r="J66" s="151">
        <v>14166.666666666666</v>
      </c>
      <c r="K66" s="39">
        <f t="shared" si="11"/>
        <v>198333</v>
      </c>
      <c r="L66" s="142">
        <f t="shared" si="12"/>
        <v>495832.5</v>
      </c>
      <c r="M66" s="151">
        <v>60124</v>
      </c>
      <c r="N66" s="39">
        <f t="shared" si="13"/>
        <v>841736</v>
      </c>
      <c r="O66" s="81">
        <f t="shared" si="14"/>
        <v>2104340</v>
      </c>
      <c r="Q66" s="153">
        <f t="shared" si="15"/>
        <v>31430</v>
      </c>
      <c r="R66" s="39">
        <f t="shared" si="16"/>
        <v>440020</v>
      </c>
      <c r="S66" s="81">
        <f t="shared" si="17"/>
        <v>1100050</v>
      </c>
      <c r="T66" s="153">
        <f t="shared" si="7"/>
        <v>25731</v>
      </c>
      <c r="U66" s="39">
        <f t="shared" si="18"/>
        <v>360234</v>
      </c>
      <c r="V66" s="81">
        <f t="shared" si="19"/>
        <v>900585</v>
      </c>
      <c r="W66" s="153">
        <f t="shared" si="8"/>
        <v>21863</v>
      </c>
      <c r="X66" s="39">
        <f t="shared" si="20"/>
        <v>306082</v>
      </c>
      <c r="Y66" s="81">
        <f t="shared" si="21"/>
        <v>765205</v>
      </c>
      <c r="Z66" s="153" cm="1">
        <f t="array" ref="Z66">ROUND(AVERAGE((SMALL(($G66,$J66,$M66),{1;2}))),0)</f>
        <v>17083</v>
      </c>
      <c r="AA66" s="39">
        <f t="shared" si="22"/>
        <v>239162</v>
      </c>
      <c r="AB66" s="81">
        <f t="shared" si="23"/>
        <v>597905</v>
      </c>
      <c r="AC66" s="153" cm="1">
        <f t="array" ref="AC66">ROUND(GEOMEAN((SMALL(($G66,$J66,$M66),{1;2}))),0)</f>
        <v>16833</v>
      </c>
      <c r="AD66" s="39">
        <f t="shared" si="24"/>
        <v>235662</v>
      </c>
      <c r="AE66" s="81">
        <f t="shared" si="25"/>
        <v>589155</v>
      </c>
      <c r="AF66" s="153" cm="1">
        <f t="array" ref="AF66">ROUND(HARMEAN((SMALL(($G66,$J66,$M66),{1;2}))),0)</f>
        <v>16585</v>
      </c>
      <c r="AG66" s="39">
        <f t="shared" si="26"/>
        <v>232190</v>
      </c>
      <c r="AH66" s="81">
        <f t="shared" si="27"/>
        <v>580475</v>
      </c>
      <c r="AI66" s="155">
        <f t="shared" si="28"/>
        <v>16585</v>
      </c>
      <c r="AJ66" s="154">
        <f t="shared" si="29"/>
        <v>232190</v>
      </c>
      <c r="AK66" s="154">
        <f t="shared" si="30"/>
        <v>580475</v>
      </c>
    </row>
    <row r="67" spans="2:37" s="2" customFormat="1" ht="44.25" customHeight="1">
      <c r="B67" s="59">
        <v>26</v>
      </c>
      <c r="C67" s="67" t="s">
        <v>1170</v>
      </c>
      <c r="D67" s="196" t="s">
        <v>1174</v>
      </c>
      <c r="E67" s="196" t="s">
        <v>1174</v>
      </c>
      <c r="F67" s="76">
        <f>3+1+1+1+1</f>
        <v>7</v>
      </c>
      <c r="G67" s="54">
        <v>18505</v>
      </c>
      <c r="H67" s="39">
        <f t="shared" si="9"/>
        <v>129535</v>
      </c>
      <c r="I67" s="142">
        <f t="shared" si="10"/>
        <v>323837.5</v>
      </c>
      <c r="J67" s="151">
        <v>49166.666666666664</v>
      </c>
      <c r="K67" s="39">
        <f t="shared" si="11"/>
        <v>344167</v>
      </c>
      <c r="L67" s="142">
        <f t="shared" si="12"/>
        <v>860417.5</v>
      </c>
      <c r="M67" s="151">
        <v>55727</v>
      </c>
      <c r="N67" s="39">
        <f t="shared" si="13"/>
        <v>390089</v>
      </c>
      <c r="O67" s="81">
        <f t="shared" si="14"/>
        <v>975222.5</v>
      </c>
      <c r="Q67" s="153">
        <f t="shared" si="15"/>
        <v>41133</v>
      </c>
      <c r="R67" s="39">
        <f t="shared" si="16"/>
        <v>287931</v>
      </c>
      <c r="S67" s="81">
        <f t="shared" si="17"/>
        <v>719827.5</v>
      </c>
      <c r="T67" s="153">
        <f t="shared" si="7"/>
        <v>37012</v>
      </c>
      <c r="U67" s="39">
        <f t="shared" si="18"/>
        <v>259084</v>
      </c>
      <c r="V67" s="81">
        <f t="shared" si="19"/>
        <v>647710</v>
      </c>
      <c r="W67" s="153">
        <f t="shared" si="8"/>
        <v>32495</v>
      </c>
      <c r="X67" s="39">
        <f t="shared" si="20"/>
        <v>227465</v>
      </c>
      <c r="Y67" s="81">
        <f t="shared" si="21"/>
        <v>568662.5</v>
      </c>
      <c r="Z67" s="153" cm="1">
        <f t="array" ref="Z67">ROUND(AVERAGE((SMALL(($G67,$J67,$M67),{1;2}))),0)</f>
        <v>33836</v>
      </c>
      <c r="AA67" s="39">
        <f t="shared" si="22"/>
        <v>236852</v>
      </c>
      <c r="AB67" s="81">
        <f t="shared" si="23"/>
        <v>592130</v>
      </c>
      <c r="AC67" s="153" cm="1">
        <f t="array" ref="AC67">ROUND(GEOMEAN((SMALL(($G67,$J67,$M67),{1;2}))),0)</f>
        <v>30163</v>
      </c>
      <c r="AD67" s="39">
        <f t="shared" si="24"/>
        <v>211141</v>
      </c>
      <c r="AE67" s="81">
        <f t="shared" si="25"/>
        <v>527852.5</v>
      </c>
      <c r="AF67" s="153" cm="1">
        <f t="array" ref="AF67">ROUND(HARMEAN((SMALL(($G67,$J67,$M67),{1;2}))),0)</f>
        <v>26890</v>
      </c>
      <c r="AG67" s="39">
        <f t="shared" si="26"/>
        <v>188230</v>
      </c>
      <c r="AH67" s="81">
        <f t="shared" si="27"/>
        <v>470575</v>
      </c>
      <c r="AI67" s="155">
        <f t="shared" si="28"/>
        <v>26890</v>
      </c>
      <c r="AJ67" s="154">
        <f t="shared" si="29"/>
        <v>188230</v>
      </c>
      <c r="AK67" s="154">
        <f t="shared" si="30"/>
        <v>470575</v>
      </c>
    </row>
    <row r="68" spans="2:37" s="2" customFormat="1" ht="44.25" customHeight="1">
      <c r="B68" s="59">
        <v>27</v>
      </c>
      <c r="C68" s="67" t="s">
        <v>1170</v>
      </c>
      <c r="D68" s="196" t="s">
        <v>1175</v>
      </c>
      <c r="E68" s="196"/>
      <c r="F68" s="76">
        <f>1</f>
        <v>1</v>
      </c>
      <c r="G68" s="54">
        <v>96200</v>
      </c>
      <c r="H68" s="39">
        <f t="shared" si="9"/>
        <v>96200</v>
      </c>
      <c r="I68" s="142">
        <f t="shared" si="10"/>
        <v>240500</v>
      </c>
      <c r="J68" s="151">
        <v>108333.33333333333</v>
      </c>
      <c r="K68" s="39">
        <f t="shared" si="11"/>
        <v>108333</v>
      </c>
      <c r="L68" s="142">
        <f t="shared" si="12"/>
        <v>270832.5</v>
      </c>
      <c r="M68" s="151">
        <v>186992</v>
      </c>
      <c r="N68" s="39">
        <f t="shared" si="13"/>
        <v>186992</v>
      </c>
      <c r="O68" s="81">
        <f t="shared" si="14"/>
        <v>467480</v>
      </c>
      <c r="Q68" s="153">
        <f t="shared" si="15"/>
        <v>130508</v>
      </c>
      <c r="R68" s="39">
        <f t="shared" si="16"/>
        <v>130508</v>
      </c>
      <c r="S68" s="81">
        <f t="shared" si="17"/>
        <v>326270</v>
      </c>
      <c r="T68" s="153">
        <f t="shared" si="7"/>
        <v>124907</v>
      </c>
      <c r="U68" s="39">
        <f t="shared" si="18"/>
        <v>124907</v>
      </c>
      <c r="V68" s="81">
        <f t="shared" si="19"/>
        <v>312267.5</v>
      </c>
      <c r="W68" s="153">
        <f t="shared" si="8"/>
        <v>120127</v>
      </c>
      <c r="X68" s="39">
        <f t="shared" si="20"/>
        <v>120127</v>
      </c>
      <c r="Y68" s="81">
        <f t="shared" si="21"/>
        <v>300317.5</v>
      </c>
      <c r="Z68" s="153" cm="1">
        <f t="array" ref="Z68">ROUND(AVERAGE((SMALL(($G68,$J68,$M68),{1;2}))),0)</f>
        <v>102267</v>
      </c>
      <c r="AA68" s="39">
        <f t="shared" si="22"/>
        <v>102267</v>
      </c>
      <c r="AB68" s="81">
        <f t="shared" si="23"/>
        <v>255667.5</v>
      </c>
      <c r="AC68" s="153" cm="1">
        <f t="array" ref="AC68">ROUND(GEOMEAN((SMALL(($G68,$J68,$M68),{1;2}))),0)</f>
        <v>102087</v>
      </c>
      <c r="AD68" s="39">
        <f t="shared" si="24"/>
        <v>102087</v>
      </c>
      <c r="AE68" s="81">
        <f t="shared" si="25"/>
        <v>255217.5</v>
      </c>
      <c r="AF68" s="153" cm="1">
        <f t="array" ref="AF68">ROUND(HARMEAN((SMALL(($G68,$J68,$M68),{1;2}))),0)</f>
        <v>101907</v>
      </c>
      <c r="AG68" s="39">
        <f t="shared" si="26"/>
        <v>101907</v>
      </c>
      <c r="AH68" s="81">
        <f t="shared" si="27"/>
        <v>254767.5</v>
      </c>
      <c r="AI68" s="155">
        <f t="shared" si="28"/>
        <v>101907</v>
      </c>
      <c r="AJ68" s="154">
        <f t="shared" si="29"/>
        <v>101907</v>
      </c>
      <c r="AK68" s="154">
        <f t="shared" si="30"/>
        <v>254767.5</v>
      </c>
    </row>
    <row r="69" spans="2:37" s="2" customFormat="1" ht="24.75" customHeight="1">
      <c r="B69" s="175" t="s">
        <v>1224</v>
      </c>
      <c r="C69" s="176"/>
      <c r="D69" s="176"/>
      <c r="E69" s="176"/>
      <c r="F69" s="176"/>
      <c r="G69" s="176"/>
      <c r="H69" s="177"/>
      <c r="I69" s="81">
        <f>SUM(I42:I68)</f>
        <v>373118527.5</v>
      </c>
      <c r="J69" s="149"/>
      <c r="K69" s="150"/>
      <c r="L69" s="81">
        <f>SUM(L42:L68)</f>
        <v>83528582.5</v>
      </c>
      <c r="M69" s="152"/>
      <c r="N69" s="152"/>
      <c r="O69" s="81">
        <f>SUM(O42:O68)</f>
        <v>114525715</v>
      </c>
      <c r="Q69" s="152"/>
      <c r="R69" s="152"/>
      <c r="S69" s="81">
        <f>SUM(S42:S68)</f>
        <v>190390940</v>
      </c>
      <c r="T69" s="152"/>
      <c r="U69" s="152"/>
      <c r="V69" s="81">
        <f>SUM(V42:V68)</f>
        <v>128913672.5</v>
      </c>
      <c r="W69" s="152"/>
      <c r="X69" s="152"/>
      <c r="Y69" s="81">
        <f>SUM(Y42:Y68)</f>
        <v>102008697.5</v>
      </c>
      <c r="Z69" s="152"/>
      <c r="AA69" s="152"/>
      <c r="AB69" s="81">
        <f>SUM(AB42:AB68)</f>
        <v>88095010</v>
      </c>
      <c r="AC69" s="152"/>
      <c r="AD69" s="152"/>
      <c r="AE69" s="81">
        <f>SUM(AE42:AE68)</f>
        <v>84826707.5</v>
      </c>
      <c r="AF69" s="152"/>
      <c r="AG69" s="152"/>
      <c r="AH69" s="81">
        <f>SUM(AH42:AH68)</f>
        <v>81832882.5</v>
      </c>
      <c r="AI69" s="37"/>
      <c r="AJ69" s="37"/>
      <c r="AK69" s="154">
        <f>SUM(AK42:AK68)</f>
        <v>81832882.5</v>
      </c>
    </row>
    <row r="70" spans="2:37" s="2" customFormat="1">
      <c r="C70" s="4"/>
      <c r="D70" s="4"/>
      <c r="E70" s="4"/>
      <c r="F70" s="4"/>
      <c r="G70" s="4"/>
      <c r="H70" s="4"/>
    </row>
    <row r="71" spans="2:37" s="2" customFormat="1" ht="29.25" customHeight="1">
      <c r="B71" s="171" t="s">
        <v>1184</v>
      </c>
      <c r="C71" s="172"/>
      <c r="D71" s="172"/>
      <c r="E71" s="172"/>
      <c r="F71" s="172"/>
      <c r="G71" s="172"/>
      <c r="H71" s="172"/>
      <c r="I71" s="172"/>
      <c r="J71" s="197"/>
    </row>
    <row r="72" spans="2:37" s="2" customFormat="1" ht="9" customHeight="1">
      <c r="C72" s="4"/>
      <c r="D72" s="4"/>
      <c r="E72" s="4"/>
      <c r="F72" s="4"/>
      <c r="G72" s="4"/>
      <c r="H72" s="4"/>
    </row>
    <row r="73" spans="2:37" s="2" customFormat="1" ht="29.25" customHeight="1">
      <c r="B73" s="198" t="s">
        <v>1185</v>
      </c>
      <c r="C73" s="198"/>
      <c r="D73" s="198"/>
      <c r="E73" s="198"/>
      <c r="F73" s="198"/>
      <c r="G73"/>
      <c r="H73"/>
      <c r="I73"/>
      <c r="J73"/>
    </row>
    <row r="74" spans="2:37" s="2" customFormat="1" ht="13" customHeight="1">
      <c r="C74" s="4"/>
      <c r="D74" s="4"/>
      <c r="E74" s="4"/>
      <c r="F74" s="4"/>
      <c r="G74" s="4"/>
      <c r="H74" s="4"/>
    </row>
    <row r="75" spans="2:37" s="2" customFormat="1" ht="29.25" customHeight="1">
      <c r="B75" s="199" t="s">
        <v>133</v>
      </c>
      <c r="C75" s="199"/>
      <c r="D75" s="199"/>
      <c r="E75" s="77" t="s">
        <v>1341</v>
      </c>
    </row>
    <row r="76" spans="2:37" s="2" customFormat="1" ht="29.25" customHeight="1">
      <c r="B76" s="180" t="s">
        <v>134</v>
      </c>
      <c r="C76" s="181"/>
      <c r="D76" s="182"/>
      <c r="E76" s="78">
        <f>SUM(J28:J33)</f>
        <v>702219246</v>
      </c>
    </row>
    <row r="77" spans="2:37" s="2" customFormat="1" ht="29.25" customHeight="1">
      <c r="B77" s="180" t="s">
        <v>135</v>
      </c>
      <c r="C77" s="181"/>
      <c r="D77" s="182"/>
      <c r="E77" s="78">
        <f>AK69</f>
        <v>81832882.5</v>
      </c>
    </row>
    <row r="78" spans="2:37" s="2" customFormat="1" ht="29.25" customHeight="1">
      <c r="B78" s="180" t="s">
        <v>136</v>
      </c>
      <c r="C78" s="181"/>
      <c r="D78" s="182"/>
      <c r="E78" s="78">
        <f>E76+E77</f>
        <v>784052128.5</v>
      </c>
    </row>
    <row r="79" spans="2:37" s="2" customFormat="1" ht="29.25" customHeight="1">
      <c r="B79" s="183" t="s">
        <v>1342</v>
      </c>
      <c r="C79" s="183"/>
      <c r="D79" s="55">
        <v>0.1</v>
      </c>
      <c r="E79" s="78">
        <f>ROUND((E78)*D79,0)</f>
        <v>78405213</v>
      </c>
      <c r="G79" s="70"/>
    </row>
    <row r="80" spans="2:37" s="2" customFormat="1" ht="29.25" customHeight="1">
      <c r="B80" s="183" t="s">
        <v>137</v>
      </c>
      <c r="C80" s="183"/>
      <c r="D80" s="56">
        <v>0.19</v>
      </c>
      <c r="E80" s="78">
        <f>ROUND(E79*D80,0)</f>
        <v>14896990</v>
      </c>
      <c r="G80" s="70"/>
    </row>
    <row r="81" spans="2:8" s="2" customFormat="1" ht="29.25" customHeight="1">
      <c r="B81" s="173" t="s">
        <v>1343</v>
      </c>
      <c r="C81" s="184"/>
      <c r="D81" s="185"/>
      <c r="E81" s="79">
        <f>E78+E80</f>
        <v>798949118.5</v>
      </c>
      <c r="G81" s="70"/>
    </row>
    <row r="82" spans="2:8" s="2" customFormat="1">
      <c r="C82" s="4"/>
      <c r="D82" s="4"/>
      <c r="E82" s="4"/>
      <c r="G82" s="4"/>
    </row>
    <row r="83" spans="2:8" s="2" customFormat="1">
      <c r="C83" s="4"/>
      <c r="D83" s="4"/>
      <c r="E83" s="4"/>
      <c r="F83" s="4"/>
      <c r="G83" s="4"/>
      <c r="H83" s="4"/>
    </row>
    <row r="84" spans="2:8"/>
    <row r="85" spans="2:8"/>
    <row r="86" spans="2:8"/>
  </sheetData>
  <sheetProtection algorithmName="SHA-512" hashValue="2rCzyjEtWkacxz2GPV4OF4k9oDBvkhL1C1MoeDFuj5tBaNl4MHwJD21rNEjXA/+I3QFzdNcSva5Awvc/y6xx/g==" saltValue="ZkhhyqXph2ek1KwHmmF2jg==" spinCount="100000" sheet="1" objects="1" scenarios="1"/>
  <mergeCells count="72">
    <mergeCell ref="B7:B13"/>
    <mergeCell ref="C7:F7"/>
    <mergeCell ref="F18:G18"/>
    <mergeCell ref="F19:G19"/>
    <mergeCell ref="D48:E48"/>
    <mergeCell ref="B37:V37"/>
    <mergeCell ref="B40:E40"/>
    <mergeCell ref="F40:I40"/>
    <mergeCell ref="D41:E41"/>
    <mergeCell ref="D42:E42"/>
    <mergeCell ref="M40:O40"/>
    <mergeCell ref="M39:O39"/>
    <mergeCell ref="Q39:S39"/>
    <mergeCell ref="Q40:S40"/>
    <mergeCell ref="D43:E43"/>
    <mergeCell ref="D44:E44"/>
    <mergeCell ref="D45:E45"/>
    <mergeCell ref="D46:E46"/>
    <mergeCell ref="D47:E47"/>
    <mergeCell ref="D66:E66"/>
    <mergeCell ref="D60:E60"/>
    <mergeCell ref="D49:E49"/>
    <mergeCell ref="D50:E50"/>
    <mergeCell ref="D51:E51"/>
    <mergeCell ref="D52:E52"/>
    <mergeCell ref="D53:E53"/>
    <mergeCell ref="D54:E54"/>
    <mergeCell ref="D55:E55"/>
    <mergeCell ref="D56:E56"/>
    <mergeCell ref="D57:E57"/>
    <mergeCell ref="D58:E58"/>
    <mergeCell ref="D59:E59"/>
    <mergeCell ref="B2:L4"/>
    <mergeCell ref="J40:L40"/>
    <mergeCell ref="F39:I39"/>
    <mergeCell ref="J39:L39"/>
    <mergeCell ref="B76:D76"/>
    <mergeCell ref="D67:E67"/>
    <mergeCell ref="D68:E68"/>
    <mergeCell ref="B69:H69"/>
    <mergeCell ref="B71:J71"/>
    <mergeCell ref="B73:F73"/>
    <mergeCell ref="B75:D75"/>
    <mergeCell ref="D61:E61"/>
    <mergeCell ref="D62:E62"/>
    <mergeCell ref="D63:E63"/>
    <mergeCell ref="D64:E64"/>
    <mergeCell ref="D65:E65"/>
    <mergeCell ref="B77:D77"/>
    <mergeCell ref="B78:D78"/>
    <mergeCell ref="B79:C79"/>
    <mergeCell ref="B80:C80"/>
    <mergeCell ref="B81:D81"/>
    <mergeCell ref="AI39:AK39"/>
    <mergeCell ref="AI40:AK40"/>
    <mergeCell ref="Z39:AB39"/>
    <mergeCell ref="AC39:AE39"/>
    <mergeCell ref="AF39:AH39"/>
    <mergeCell ref="Z40:AB40"/>
    <mergeCell ref="AC40:AE40"/>
    <mergeCell ref="AF40:AH40"/>
    <mergeCell ref="T39:V39"/>
    <mergeCell ref="T40:V40"/>
    <mergeCell ref="W39:Y39"/>
    <mergeCell ref="W40:Y40"/>
    <mergeCell ref="B15:I15"/>
    <mergeCell ref="F26:G26"/>
    <mergeCell ref="B34:I34"/>
    <mergeCell ref="B21:Q21"/>
    <mergeCell ref="B24:Q24"/>
    <mergeCell ref="B26:E26"/>
    <mergeCell ref="H26:I26"/>
  </mergeCells>
  <pageMargins left="0.70866141732283472" right="0.70866141732283472" top="0.74803149606299213" bottom="0.74803149606299213" header="0.31496062992125984" footer="0.31496062992125984"/>
  <pageSetup scale="43" orientation="portrait" r:id="rId1"/>
  <headerFooter>
    <oddFooter xml:space="preserve">&amp;C&amp;P/&amp;N
</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777D1E-358F-4917-9D29-183584A6DF7F}">
  <sheetPr>
    <tabColor rgb="FFFFFFCC"/>
  </sheetPr>
  <dimension ref="A1:X59"/>
  <sheetViews>
    <sheetView showGridLines="0" tabSelected="1" topLeftCell="E21" zoomScale="80" zoomScaleNormal="80" zoomScaleSheetLayoutView="90" workbookViewId="0">
      <selection activeCell="B6" sqref="B6:P6"/>
    </sheetView>
  </sheetViews>
  <sheetFormatPr baseColWidth="10" defaultColWidth="0" defaultRowHeight="12.5" customHeight="1" zeroHeight="1"/>
  <cols>
    <col min="1" max="1" width="2" style="4" customWidth="1"/>
    <col min="2" max="2" width="21.7265625" style="4" customWidth="1"/>
    <col min="3" max="3" width="19.453125" style="4" customWidth="1"/>
    <col min="4" max="4" width="16.26953125" style="4" customWidth="1"/>
    <col min="5" max="5" width="21.453125" style="4" customWidth="1"/>
    <col min="6" max="6" width="18.7265625" style="4" customWidth="1"/>
    <col min="7" max="7" width="19.81640625" style="4" customWidth="1"/>
    <col min="8" max="8" width="19.7265625" style="5" customWidth="1"/>
    <col min="9" max="9" width="18.54296875" style="5" customWidth="1"/>
    <col min="10" max="11" width="20.453125" style="5" customWidth="1"/>
    <col min="12" max="12" width="18.1796875" style="5" customWidth="1"/>
    <col min="13" max="13" width="20.1796875" style="5" customWidth="1"/>
    <col min="14" max="14" width="19.1796875" style="4" customWidth="1"/>
    <col min="15" max="15" width="14.7265625" style="4" customWidth="1"/>
    <col min="16" max="16" width="20" style="4" customWidth="1"/>
    <col min="17" max="17" width="20.1796875" style="4" customWidth="1"/>
    <col min="18" max="18" width="14.54296875" style="4" customWidth="1"/>
    <col min="19" max="19" width="20.453125" style="4" customWidth="1"/>
    <col min="20" max="20" width="19.7265625" style="4" customWidth="1"/>
    <col min="21" max="21" width="14.1796875" style="4" bestFit="1" customWidth="1"/>
    <col min="22" max="22" width="14.1796875" style="4" customWidth="1"/>
    <col min="23" max="23" width="14.54296875" style="4" customWidth="1"/>
    <col min="24" max="24" width="2.54296875" style="4" customWidth="1"/>
    <col min="25" max="16384" width="11.453125" style="4" hidden="1"/>
  </cols>
  <sheetData>
    <row r="1" spans="2:19" s="2" customFormat="1" ht="12.75" customHeight="1">
      <c r="H1" s="3"/>
      <c r="I1" s="3"/>
      <c r="J1" s="3"/>
      <c r="K1" s="3"/>
      <c r="L1" s="3"/>
      <c r="M1" s="3"/>
    </row>
    <row r="2" spans="2:19" s="2" customFormat="1" ht="21.75" customHeight="1">
      <c r="B2" s="251" t="s">
        <v>81</v>
      </c>
      <c r="C2" s="252"/>
      <c r="D2" s="252"/>
      <c r="E2" s="252"/>
      <c r="F2" s="252"/>
      <c r="G2" s="252"/>
      <c r="H2" s="252"/>
      <c r="I2" s="252"/>
      <c r="J2" s="252"/>
      <c r="K2" s="252"/>
      <c r="L2" s="252"/>
      <c r="M2" s="252"/>
      <c r="N2" s="252"/>
      <c r="O2" s="30"/>
      <c r="P2" s="257" t="s">
        <v>0</v>
      </c>
    </row>
    <row r="3" spans="2:19" s="2" customFormat="1" ht="21.75" customHeight="1">
      <c r="B3" s="253"/>
      <c r="C3" s="254"/>
      <c r="D3" s="254"/>
      <c r="E3" s="254"/>
      <c r="F3" s="254"/>
      <c r="G3" s="254"/>
      <c r="H3" s="254"/>
      <c r="I3" s="254"/>
      <c r="J3" s="254"/>
      <c r="K3" s="254"/>
      <c r="L3" s="254"/>
      <c r="M3" s="254"/>
      <c r="N3" s="254"/>
      <c r="O3" s="31"/>
      <c r="P3" s="257"/>
    </row>
    <row r="4" spans="2:19" s="2" customFormat="1" ht="21.75" customHeight="1">
      <c r="B4" s="255"/>
      <c r="C4" s="256"/>
      <c r="D4" s="256"/>
      <c r="E4" s="256"/>
      <c r="F4" s="256"/>
      <c r="G4" s="256"/>
      <c r="H4" s="256"/>
      <c r="I4" s="256"/>
      <c r="J4" s="256"/>
      <c r="K4" s="256"/>
      <c r="L4" s="256"/>
      <c r="M4" s="256"/>
      <c r="N4" s="256"/>
      <c r="O4" s="32"/>
      <c r="P4" s="257"/>
    </row>
    <row r="5" spans="2:19" s="2" customFormat="1" ht="5.25" customHeight="1">
      <c r="H5" s="3"/>
      <c r="I5" s="3"/>
      <c r="J5" s="3"/>
      <c r="K5" s="3"/>
      <c r="L5" s="3"/>
      <c r="M5" s="3"/>
    </row>
    <row r="6" spans="2:19" s="2" customFormat="1" ht="37.5" customHeight="1">
      <c r="B6" s="169" t="s">
        <v>1308</v>
      </c>
      <c r="C6" s="169"/>
      <c r="D6" s="169"/>
      <c r="E6" s="169"/>
      <c r="F6" s="169"/>
      <c r="G6" s="169"/>
      <c r="H6" s="169"/>
      <c r="I6" s="169"/>
      <c r="J6" s="169"/>
      <c r="K6" s="169"/>
      <c r="L6" s="169"/>
      <c r="M6" s="169"/>
      <c r="N6" s="169"/>
      <c r="O6" s="169"/>
      <c r="P6" s="169"/>
    </row>
    <row r="7" spans="2:19" s="2" customFormat="1" ht="15" customHeight="1"/>
    <row r="8" spans="2:19" ht="20.25" customHeight="1">
      <c r="B8" s="222" t="s">
        <v>84</v>
      </c>
      <c r="C8" s="222"/>
      <c r="D8" s="222"/>
      <c r="E8" s="222"/>
      <c r="F8" s="222"/>
      <c r="G8" s="222"/>
      <c r="H8" s="222"/>
      <c r="I8" s="222"/>
      <c r="J8" s="222"/>
      <c r="K8" s="222"/>
      <c r="L8" s="222"/>
      <c r="M8" s="222"/>
      <c r="N8" s="222"/>
      <c r="O8" s="222"/>
      <c r="P8" s="222"/>
    </row>
    <row r="9" spans="2:19"/>
    <row r="10" spans="2:19" ht="25.5" customHeight="1">
      <c r="B10" s="258" t="s">
        <v>85</v>
      </c>
      <c r="C10" s="258"/>
      <c r="D10" s="258"/>
      <c r="E10" s="258"/>
      <c r="G10" s="258" t="s">
        <v>86</v>
      </c>
      <c r="H10" s="258"/>
      <c r="I10" s="258"/>
      <c r="J10" s="258"/>
      <c r="K10" s="29" t="s">
        <v>87</v>
      </c>
      <c r="M10" s="258" t="s">
        <v>88</v>
      </c>
      <c r="N10" s="258"/>
      <c r="O10" s="258"/>
      <c r="P10" s="258"/>
      <c r="Q10" s="5"/>
    </row>
    <row r="11" spans="2:19" ht="21" customHeight="1">
      <c r="B11" s="230" t="s">
        <v>89</v>
      </c>
      <c r="C11" s="230"/>
      <c r="D11" s="230"/>
      <c r="E11" s="45">
        <v>20</v>
      </c>
      <c r="G11" s="226" t="s">
        <v>1309</v>
      </c>
      <c r="H11" s="227"/>
      <c r="I11" s="245">
        <v>13</v>
      </c>
      <c r="J11" s="246"/>
      <c r="K11" s="249">
        <v>0.47589999999999999</v>
      </c>
      <c r="M11" s="230" t="s">
        <v>90</v>
      </c>
      <c r="N11" s="230"/>
      <c r="O11" s="230"/>
      <c r="P11" s="48">
        <v>0.08</v>
      </c>
      <c r="Q11" s="5"/>
      <c r="S11" s="50"/>
    </row>
    <row r="12" spans="2:19" ht="21" customHeight="1">
      <c r="B12" s="230" t="s">
        <v>91</v>
      </c>
      <c r="C12" s="230"/>
      <c r="D12" s="230"/>
      <c r="E12" s="45">
        <v>22</v>
      </c>
      <c r="G12" s="243"/>
      <c r="H12" s="244"/>
      <c r="I12" s="247"/>
      <c r="J12" s="248"/>
      <c r="K12" s="250"/>
      <c r="M12" s="230" t="s">
        <v>92</v>
      </c>
      <c r="N12" s="230"/>
      <c r="O12" s="230"/>
      <c r="P12" s="48">
        <v>0.1</v>
      </c>
      <c r="Q12" s="5"/>
    </row>
    <row r="13" spans="2:19" ht="21" customHeight="1">
      <c r="B13" s="223" t="s">
        <v>93</v>
      </c>
      <c r="C13" s="224"/>
      <c r="D13" s="225"/>
      <c r="E13" s="45">
        <v>24</v>
      </c>
      <c r="G13" s="226" t="s">
        <v>1310</v>
      </c>
      <c r="H13" s="227" t="s">
        <v>94</v>
      </c>
      <c r="I13" s="228">
        <v>11</v>
      </c>
      <c r="J13" s="229"/>
      <c r="K13" s="106">
        <v>0.52410000000000001</v>
      </c>
      <c r="M13" s="230" t="s">
        <v>95</v>
      </c>
      <c r="N13" s="230"/>
      <c r="O13" s="230"/>
      <c r="P13" s="48">
        <v>0.11</v>
      </c>
      <c r="Q13" s="5"/>
    </row>
    <row r="14" spans="2:19" ht="21" customHeight="1">
      <c r="B14" s="223" t="s">
        <v>96</v>
      </c>
      <c r="C14" s="224"/>
      <c r="D14" s="225"/>
      <c r="E14" s="45">
        <v>26</v>
      </c>
      <c r="G14" s="231"/>
      <c r="H14" s="231"/>
      <c r="I14" s="232"/>
      <c r="J14" s="232"/>
      <c r="K14" s="109"/>
      <c r="Q14" s="5"/>
    </row>
    <row r="15" spans="2:19" ht="21" customHeight="1">
      <c r="B15" s="223" t="s">
        <v>97</v>
      </c>
      <c r="C15" s="224"/>
      <c r="D15" s="225"/>
      <c r="E15" s="45">
        <v>2</v>
      </c>
      <c r="F15" s="36"/>
      <c r="G15" s="233" t="s">
        <v>1311</v>
      </c>
      <c r="H15" s="234"/>
      <c r="I15" s="234"/>
      <c r="J15" s="234"/>
      <c r="K15" s="234"/>
      <c r="L15" s="234"/>
      <c r="M15" s="234"/>
      <c r="N15" s="234"/>
      <c r="O15" s="234"/>
      <c r="P15" s="235"/>
      <c r="Q15" s="5"/>
    </row>
    <row r="16" spans="2:19" ht="21" customHeight="1">
      <c r="B16" s="223" t="s">
        <v>98</v>
      </c>
      <c r="C16" s="224"/>
      <c r="D16" s="225"/>
      <c r="E16" s="45">
        <v>8</v>
      </c>
      <c r="F16" s="36"/>
      <c r="G16" s="236"/>
      <c r="H16" s="237"/>
      <c r="I16" s="237"/>
      <c r="J16" s="237"/>
      <c r="K16" s="237"/>
      <c r="L16" s="237"/>
      <c r="M16" s="237"/>
      <c r="N16" s="237"/>
      <c r="O16" s="237"/>
      <c r="P16" s="238"/>
    </row>
    <row r="17" spans="2:17" s="47" customFormat="1" ht="21" customHeight="1">
      <c r="B17" s="230" t="s">
        <v>99</v>
      </c>
      <c r="C17" s="230"/>
      <c r="D17" s="230"/>
      <c r="E17" s="45">
        <v>10</v>
      </c>
      <c r="F17" s="46"/>
      <c r="G17" s="239"/>
      <c r="H17" s="240"/>
      <c r="I17" s="240"/>
      <c r="J17" s="240"/>
      <c r="K17" s="240"/>
      <c r="L17" s="240"/>
      <c r="M17" s="240"/>
      <c r="N17" s="240"/>
      <c r="O17" s="240"/>
      <c r="P17" s="241"/>
      <c r="Q17" s="5"/>
    </row>
    <row r="18" spans="2:17" s="47" customFormat="1" ht="21" customHeight="1">
      <c r="F18" s="46"/>
      <c r="Q18" s="5"/>
    </row>
    <row r="19" spans="2:17" s="47" customFormat="1" ht="32.5" customHeight="1">
      <c r="B19" s="29" t="s">
        <v>1312</v>
      </c>
      <c r="C19" s="29" t="s">
        <v>1313</v>
      </c>
      <c r="D19" s="29" t="s">
        <v>1314</v>
      </c>
      <c r="E19" s="29" t="s">
        <v>1315</v>
      </c>
      <c r="F19" s="46"/>
      <c r="G19" s="242" t="s">
        <v>1316</v>
      </c>
      <c r="H19" s="242"/>
      <c r="I19" s="242"/>
      <c r="J19" s="242"/>
      <c r="K19" s="242"/>
      <c r="L19" s="242"/>
      <c r="M19" s="242"/>
      <c r="N19" s="242"/>
      <c r="O19" s="242"/>
      <c r="P19" s="242"/>
      <c r="Q19" s="5"/>
    </row>
    <row r="20" spans="2:17" s="47" customFormat="1" ht="21" customHeight="1">
      <c r="B20" s="111">
        <v>45839</v>
      </c>
      <c r="C20" s="111">
        <v>46015</v>
      </c>
      <c r="D20" s="112">
        <v>0.8</v>
      </c>
      <c r="E20" s="63" t="s">
        <v>1317</v>
      </c>
      <c r="F20" s="46"/>
      <c r="G20" s="242"/>
      <c r="H20" s="242"/>
      <c r="I20" s="242"/>
      <c r="J20" s="242"/>
      <c r="K20" s="242"/>
      <c r="L20" s="242"/>
      <c r="M20" s="242"/>
      <c r="N20" s="242"/>
      <c r="O20" s="242"/>
      <c r="P20" s="242"/>
      <c r="Q20" s="5"/>
    </row>
    <row r="21" spans="2:17" s="47" customFormat="1" ht="21" customHeight="1">
      <c r="B21" s="111">
        <v>46016</v>
      </c>
      <c r="C21" s="111">
        <v>46203</v>
      </c>
      <c r="D21" s="112">
        <v>0.8</v>
      </c>
      <c r="E21" s="63" t="s">
        <v>1318</v>
      </c>
      <c r="F21" s="46"/>
      <c r="G21" s="110"/>
      <c r="H21" s="110"/>
      <c r="I21" s="110"/>
      <c r="J21" s="110"/>
      <c r="K21" s="110"/>
      <c r="L21" s="110"/>
      <c r="M21" s="110"/>
      <c r="N21" s="110"/>
      <c r="O21" s="110"/>
      <c r="P21" s="110"/>
      <c r="Q21" s="5"/>
    </row>
    <row r="22" spans="2:17" s="47" customFormat="1" ht="21" customHeight="1">
      <c r="B22" s="111">
        <v>46204</v>
      </c>
      <c r="C22" s="111">
        <v>46568</v>
      </c>
      <c r="D22" s="112">
        <v>0.9</v>
      </c>
      <c r="E22" s="63" t="s">
        <v>1318</v>
      </c>
      <c r="F22" s="46"/>
      <c r="G22" s="110"/>
      <c r="H22" s="110"/>
      <c r="I22" s="110"/>
      <c r="J22" s="110"/>
      <c r="K22" s="110"/>
      <c r="L22" s="110"/>
      <c r="M22" s="110"/>
      <c r="N22" s="110"/>
      <c r="O22" s="110"/>
      <c r="P22" s="110"/>
      <c r="Q22" s="5"/>
    </row>
    <row r="23" spans="2:17" s="47" customFormat="1" ht="21" customHeight="1">
      <c r="B23" s="111">
        <v>46569</v>
      </c>
      <c r="C23" s="63" t="s">
        <v>1319</v>
      </c>
      <c r="D23" s="112">
        <v>1</v>
      </c>
      <c r="E23" s="63" t="s">
        <v>1318</v>
      </c>
      <c r="F23" s="46"/>
      <c r="G23" s="110"/>
      <c r="H23" s="110"/>
      <c r="I23" s="110"/>
      <c r="J23" s="110"/>
      <c r="K23" s="110"/>
      <c r="L23" s="110"/>
      <c r="M23" s="110"/>
      <c r="N23" s="110"/>
      <c r="O23" s="110"/>
      <c r="P23" s="110"/>
      <c r="Q23" s="5"/>
    </row>
    <row r="24" spans="2:17" s="47" customFormat="1" ht="21" customHeight="1">
      <c r="F24" s="46"/>
      <c r="G24" s="110"/>
      <c r="H24" s="110"/>
      <c r="I24" s="110"/>
      <c r="J24" s="110"/>
      <c r="K24" s="110"/>
      <c r="L24" s="110"/>
      <c r="M24" s="110"/>
      <c r="N24" s="110"/>
      <c r="O24" s="110"/>
      <c r="P24" s="110"/>
      <c r="Q24" s="5"/>
    </row>
    <row r="25" spans="2:17" ht="18.75" customHeight="1">
      <c r="B25" s="222" t="s">
        <v>1145</v>
      </c>
      <c r="C25" s="222"/>
      <c r="D25" s="222"/>
      <c r="E25" s="222"/>
      <c r="F25" s="222"/>
      <c r="G25" s="222"/>
      <c r="H25" s="222"/>
      <c r="I25" s="222"/>
      <c r="J25" s="222"/>
      <c r="K25" s="222"/>
      <c r="L25" s="222"/>
      <c r="M25" s="222"/>
      <c r="N25" s="222"/>
      <c r="O25" s="222"/>
      <c r="P25" s="222"/>
    </row>
    <row r="26" spans="2:17" ht="15" customHeight="1"/>
    <row r="27" spans="2:17" ht="19.5" customHeight="1">
      <c r="B27" s="169" t="s">
        <v>1146</v>
      </c>
      <c r="C27" s="169"/>
      <c r="D27" s="169"/>
      <c r="E27" s="169"/>
      <c r="F27" s="218" t="s">
        <v>87</v>
      </c>
      <c r="G27" s="218" t="s">
        <v>100</v>
      </c>
      <c r="H27" s="218" t="s">
        <v>101</v>
      </c>
      <c r="I27" s="220" t="s">
        <v>1320</v>
      </c>
      <c r="J27" s="208"/>
      <c r="L27" s="173" t="s">
        <v>102</v>
      </c>
      <c r="M27" s="207"/>
      <c r="N27" s="207"/>
      <c r="O27" s="174"/>
      <c r="P27" s="29" t="s">
        <v>103</v>
      </c>
    </row>
    <row r="28" spans="2:17" ht="37.5" customHeight="1">
      <c r="B28" s="29" t="s">
        <v>104</v>
      </c>
      <c r="C28" s="29" t="s">
        <v>105</v>
      </c>
      <c r="D28" s="29" t="s">
        <v>106</v>
      </c>
      <c r="E28" s="37" t="s">
        <v>107</v>
      </c>
      <c r="F28" s="219"/>
      <c r="G28" s="219"/>
      <c r="H28" s="219"/>
      <c r="I28" s="221"/>
      <c r="J28" s="208"/>
      <c r="L28" s="210" t="s">
        <v>1321</v>
      </c>
      <c r="M28" s="211"/>
      <c r="N28" s="211"/>
      <c r="O28" s="212"/>
      <c r="P28" s="114">
        <v>10.210000000000001</v>
      </c>
    </row>
    <row r="29" spans="2:17" s="2" customFormat="1" ht="31.5" customHeight="1">
      <c r="B29" s="62">
        <v>24</v>
      </c>
      <c r="C29" s="63" t="s">
        <v>108</v>
      </c>
      <c r="D29" s="63" t="s">
        <v>109</v>
      </c>
      <c r="E29" s="63" t="s">
        <v>90</v>
      </c>
      <c r="F29" s="64">
        <v>1</v>
      </c>
      <c r="G29" s="59">
        <v>30</v>
      </c>
      <c r="H29" s="65">
        <v>0.08</v>
      </c>
      <c r="I29" s="100">
        <v>6613</v>
      </c>
      <c r="J29" s="113"/>
      <c r="L29" s="211"/>
      <c r="M29" s="211"/>
      <c r="N29" s="211"/>
      <c r="O29" s="211"/>
      <c r="P29" s="108"/>
    </row>
    <row r="30" spans="2:17" s="2" customFormat="1" ht="31.5" customHeight="1">
      <c r="B30" s="62">
        <v>24</v>
      </c>
      <c r="C30" s="63" t="s">
        <v>108</v>
      </c>
      <c r="D30" s="63" t="s">
        <v>109</v>
      </c>
      <c r="E30" s="63" t="s">
        <v>92</v>
      </c>
      <c r="F30" s="64">
        <v>1</v>
      </c>
      <c r="G30" s="59">
        <v>30</v>
      </c>
      <c r="H30" s="65">
        <v>0.1</v>
      </c>
      <c r="I30" s="100">
        <v>6613</v>
      </c>
      <c r="J30" s="113"/>
      <c r="L30" s="213"/>
      <c r="M30" s="213"/>
      <c r="N30" s="213"/>
      <c r="O30" s="213"/>
      <c r="P30" s="163"/>
    </row>
    <row r="31" spans="2:17" s="2" customFormat="1" ht="31.5" customHeight="1">
      <c r="B31" s="62">
        <v>24</v>
      </c>
      <c r="C31" s="63" t="s">
        <v>1143</v>
      </c>
      <c r="D31" s="63" t="s">
        <v>1322</v>
      </c>
      <c r="E31" s="63" t="s">
        <v>92</v>
      </c>
      <c r="F31" s="64">
        <v>1</v>
      </c>
      <c r="G31" s="59">
        <v>10</v>
      </c>
      <c r="H31" s="65">
        <v>0.08</v>
      </c>
      <c r="I31" s="100">
        <v>4667</v>
      </c>
      <c r="J31" s="113"/>
    </row>
    <row r="32" spans="2:17" s="2" customFormat="1" ht="31.5" customHeight="1">
      <c r="B32" s="115">
        <v>12</v>
      </c>
      <c r="C32" s="116" t="s">
        <v>108</v>
      </c>
      <c r="D32" s="117" t="s">
        <v>1323</v>
      </c>
      <c r="E32" s="116" t="s">
        <v>90</v>
      </c>
      <c r="F32" s="64">
        <f>K13</f>
        <v>0.52410000000000001</v>
      </c>
      <c r="G32" s="59">
        <v>30</v>
      </c>
      <c r="H32" s="65">
        <v>0.08</v>
      </c>
      <c r="I32" s="100">
        <v>3532</v>
      </c>
      <c r="J32" s="113"/>
      <c r="L32" s="86"/>
      <c r="M32" s="82"/>
    </row>
    <row r="33" spans="2:19" s="2" customFormat="1" ht="31.5" customHeight="1">
      <c r="B33" s="115">
        <v>12</v>
      </c>
      <c r="C33" s="116" t="s">
        <v>110</v>
      </c>
      <c r="D33" s="117" t="s">
        <v>1323</v>
      </c>
      <c r="E33" s="116" t="s">
        <v>90</v>
      </c>
      <c r="F33" s="118">
        <f>K13</f>
        <v>0.52410000000000001</v>
      </c>
      <c r="G33" s="105">
        <v>20</v>
      </c>
      <c r="H33" s="119">
        <v>0.08</v>
      </c>
      <c r="I33" s="100">
        <v>2931</v>
      </c>
      <c r="J33" s="113"/>
      <c r="L33" s="120"/>
      <c r="M33" s="121"/>
      <c r="N33" s="122"/>
      <c r="O33" s="122"/>
      <c r="P33" s="122"/>
      <c r="Q33" s="122"/>
      <c r="R33" s="122"/>
      <c r="S33" s="122"/>
    </row>
    <row r="34" spans="2:19" s="2" customFormat="1" ht="31.5" customHeight="1">
      <c r="B34" s="62">
        <v>9</v>
      </c>
      <c r="C34" s="63" t="s">
        <v>110</v>
      </c>
      <c r="D34" s="165" t="s">
        <v>1368</v>
      </c>
      <c r="E34" s="63" t="s">
        <v>90</v>
      </c>
      <c r="F34" s="64">
        <f>K11</f>
        <v>0.47589999999999999</v>
      </c>
      <c r="G34" s="59">
        <v>20</v>
      </c>
      <c r="H34" s="65">
        <v>0.08</v>
      </c>
      <c r="I34" s="164">
        <v>1453</v>
      </c>
      <c r="J34" s="82"/>
      <c r="L34" s="123" t="s">
        <v>1324</v>
      </c>
      <c r="M34" s="124">
        <v>1750905</v>
      </c>
      <c r="N34" s="214" t="s">
        <v>1325</v>
      </c>
      <c r="O34" s="215"/>
      <c r="P34" s="215"/>
      <c r="Q34" s="215"/>
      <c r="R34" s="215"/>
      <c r="S34" s="216"/>
    </row>
    <row r="35" spans="2:19" s="2" customFormat="1" ht="31.5" customHeight="1">
      <c r="B35" s="93"/>
      <c r="F35" s="125"/>
      <c r="G35" s="70"/>
      <c r="H35" s="126"/>
      <c r="I35" s="82"/>
      <c r="J35" s="82"/>
      <c r="L35" s="86"/>
      <c r="M35" s="82"/>
      <c r="N35" s="70"/>
      <c r="O35" s="70"/>
      <c r="P35" s="70"/>
      <c r="Q35" s="70"/>
      <c r="R35" s="70"/>
      <c r="S35" s="70"/>
    </row>
    <row r="36" spans="2:19" ht="45" hidden="1" customHeight="1">
      <c r="B36" s="217" t="s">
        <v>1326</v>
      </c>
      <c r="C36" s="217"/>
      <c r="D36" s="217"/>
      <c r="E36" s="217"/>
      <c r="F36" s="217"/>
      <c r="G36" s="217"/>
      <c r="H36" s="217"/>
      <c r="I36" s="217"/>
      <c r="J36" s="217"/>
      <c r="N36" s="5"/>
      <c r="O36" s="5"/>
    </row>
    <row r="37" spans="2:19" hidden="1">
      <c r="B37" s="127"/>
      <c r="C37" s="127"/>
      <c r="D37" s="127"/>
      <c r="E37" s="127"/>
      <c r="F37" s="127"/>
      <c r="G37" s="127"/>
      <c r="H37" s="127"/>
      <c r="I37" s="127"/>
      <c r="J37" s="127"/>
      <c r="N37" s="5"/>
      <c r="O37" s="5"/>
    </row>
    <row r="38" spans="2:19" ht="34.5" hidden="1">
      <c r="B38" s="206" t="s">
        <v>97</v>
      </c>
      <c r="C38" s="128" t="s">
        <v>1327</v>
      </c>
      <c r="D38" s="129" t="s">
        <v>1328</v>
      </c>
      <c r="E38" s="130"/>
      <c r="F38" s="131"/>
      <c r="G38" s="127"/>
      <c r="H38" s="127"/>
      <c r="I38" s="127"/>
      <c r="J38" s="127"/>
      <c r="N38" s="5"/>
      <c r="O38" s="5"/>
    </row>
    <row r="39" spans="2:19" ht="92" hidden="1">
      <c r="B39" s="206"/>
      <c r="C39" s="132" t="s">
        <v>1329</v>
      </c>
      <c r="D39" s="133">
        <v>8</v>
      </c>
      <c r="E39" s="134"/>
      <c r="F39" s="110"/>
      <c r="G39" s="127"/>
      <c r="H39" s="127"/>
      <c r="I39" s="127"/>
      <c r="J39" s="127"/>
      <c r="N39" s="5"/>
      <c r="O39" s="5"/>
    </row>
    <row r="40" spans="2:19" ht="11.25" customHeight="1">
      <c r="N40" s="5"/>
      <c r="O40" s="5"/>
    </row>
    <row r="41" spans="2:19" ht="36.75" customHeight="1">
      <c r="B41" s="169" t="s">
        <v>1146</v>
      </c>
      <c r="C41" s="169"/>
      <c r="D41" s="169"/>
      <c r="E41" s="169"/>
      <c r="F41" s="173" t="s">
        <v>1369</v>
      </c>
      <c r="G41" s="207"/>
      <c r="H41" s="207"/>
      <c r="I41" s="208"/>
      <c r="J41" s="209"/>
      <c r="K41" s="209"/>
      <c r="L41" s="209"/>
      <c r="M41" s="209"/>
      <c r="N41" s="209"/>
    </row>
    <row r="42" spans="2:19" ht="60.75" customHeight="1">
      <c r="B42" s="29" t="s">
        <v>104</v>
      </c>
      <c r="C42" s="29" t="s">
        <v>105</v>
      </c>
      <c r="D42" s="29" t="s">
        <v>106</v>
      </c>
      <c r="E42" s="37" t="s">
        <v>107</v>
      </c>
      <c r="F42" s="29" t="s">
        <v>112</v>
      </c>
      <c r="G42" s="29" t="s">
        <v>113</v>
      </c>
      <c r="H42" s="58" t="s">
        <v>114</v>
      </c>
      <c r="I42" s="156"/>
      <c r="J42" s="86"/>
      <c r="K42" s="86"/>
      <c r="L42" s="86"/>
      <c r="M42" s="86"/>
      <c r="N42" s="86"/>
    </row>
    <row r="43" spans="2:19" ht="25.5" customHeight="1">
      <c r="B43" s="62">
        <v>24</v>
      </c>
      <c r="C43" s="63" t="s">
        <v>108</v>
      </c>
      <c r="D43" s="63" t="s">
        <v>109</v>
      </c>
      <c r="E43" s="63" t="s">
        <v>90</v>
      </c>
      <c r="F43" s="39">
        <f>ROUND($M$34*$P$28,0)</f>
        <v>17876740</v>
      </c>
      <c r="G43" s="39">
        <f>ROUND((F43+$I$29)*$H$29,0)</f>
        <v>1430668</v>
      </c>
      <c r="H43" s="104">
        <f>G43+F43+I29</f>
        <v>19314021</v>
      </c>
      <c r="I43" s="166"/>
      <c r="J43" s="103"/>
      <c r="K43" s="103"/>
      <c r="L43" s="103"/>
      <c r="M43" s="103"/>
      <c r="N43" s="103"/>
    </row>
    <row r="44" spans="2:19" ht="25.5" customHeight="1">
      <c r="B44" s="62">
        <v>24</v>
      </c>
      <c r="C44" s="63" t="s">
        <v>108</v>
      </c>
      <c r="D44" s="63" t="s">
        <v>109</v>
      </c>
      <c r="E44" s="63" t="s">
        <v>92</v>
      </c>
      <c r="F44" s="39">
        <f>ROUND($M$34*$P$28,0)</f>
        <v>17876740</v>
      </c>
      <c r="G44" s="39">
        <f>ROUND((F44+$I$30)*$H$30,0)</f>
        <v>1788335</v>
      </c>
      <c r="H44" s="104">
        <f>G44+F44+I30</f>
        <v>19671688</v>
      </c>
      <c r="I44" s="166"/>
      <c r="J44" s="103"/>
      <c r="K44" s="103"/>
      <c r="L44" s="103"/>
      <c r="M44" s="103"/>
      <c r="N44" s="103"/>
    </row>
    <row r="45" spans="2:19" ht="25.5" customHeight="1">
      <c r="B45" s="62">
        <v>24</v>
      </c>
      <c r="C45" s="63" t="s">
        <v>1143</v>
      </c>
      <c r="D45" s="63" t="s">
        <v>109</v>
      </c>
      <c r="E45" s="63" t="s">
        <v>92</v>
      </c>
      <c r="F45" s="39">
        <f>ROUND(($M$34*$P$28)/30*G31,0)</f>
        <v>5958913</v>
      </c>
      <c r="G45" s="39">
        <f>ROUND((F45+$I$31)*$H$31,0)</f>
        <v>477086</v>
      </c>
      <c r="H45" s="104">
        <f>G45+F45+I31</f>
        <v>6440666</v>
      </c>
      <c r="I45" s="166"/>
      <c r="J45" s="103"/>
      <c r="K45" s="103"/>
      <c r="L45" s="103"/>
      <c r="M45" s="103"/>
      <c r="N45" s="103"/>
    </row>
    <row r="46" spans="2:19" ht="25.5" customHeight="1">
      <c r="B46" s="62">
        <v>12</v>
      </c>
      <c r="C46" s="63" t="s">
        <v>108</v>
      </c>
      <c r="D46" s="66" t="s">
        <v>1323</v>
      </c>
      <c r="E46" s="63" t="s">
        <v>90</v>
      </c>
      <c r="F46" s="39">
        <f>ROUND((($M$34*$P$28)*$F$32)+(((($M$34*$P$28)*$K$11)/$I$11)*1),0)</f>
        <v>10023626</v>
      </c>
      <c r="G46" s="39">
        <f>ROUND((F46+$I$32)*$H$32,0)</f>
        <v>802173</v>
      </c>
      <c r="H46" s="104">
        <f>G46+F46+I32</f>
        <v>10829331</v>
      </c>
      <c r="I46" s="166"/>
      <c r="J46" s="103"/>
      <c r="K46" s="103"/>
      <c r="L46" s="103"/>
      <c r="M46" s="103"/>
      <c r="N46" s="103"/>
    </row>
    <row r="47" spans="2:19" ht="25.5" customHeight="1">
      <c r="B47" s="62">
        <v>12</v>
      </c>
      <c r="C47" s="63" t="s">
        <v>110</v>
      </c>
      <c r="D47" s="66" t="s">
        <v>1323</v>
      </c>
      <c r="E47" s="63" t="s">
        <v>90</v>
      </c>
      <c r="F47" s="39">
        <f>ROUND(((((($M$34*$P$28*$F33)/30)*$G33)))+((((($M$34*$P$28*$K11)/30)*$G33)/13)*1),0)</f>
        <v>6682417</v>
      </c>
      <c r="G47" s="39">
        <f>ROUND((F47+$I$33)*$H$33,0)</f>
        <v>534828</v>
      </c>
      <c r="H47" s="104">
        <f>G47+F47+I33</f>
        <v>7220176</v>
      </c>
      <c r="I47" s="166"/>
      <c r="J47" s="103"/>
      <c r="K47" s="103"/>
      <c r="L47" s="103"/>
      <c r="M47" s="103"/>
      <c r="N47" s="103"/>
    </row>
    <row r="48" spans="2:19" ht="25">
      <c r="B48" s="62">
        <v>9</v>
      </c>
      <c r="C48" s="63" t="s">
        <v>110</v>
      </c>
      <c r="D48" s="63" t="s">
        <v>1368</v>
      </c>
      <c r="E48" s="63" t="s">
        <v>1370</v>
      </c>
      <c r="F48" s="39">
        <f>ROUND((((((M34*P28)*F34)/30)*G34)/I11)*B48,0)</f>
        <v>3926557</v>
      </c>
      <c r="G48" s="39">
        <f>ROUND((F48+I34)*H34,0)</f>
        <v>314241</v>
      </c>
      <c r="H48" s="39">
        <f t="shared" ref="H48" si="0">G48+F48+I34</f>
        <v>4242251</v>
      </c>
    </row>
    <row r="49" spans="6:7"/>
    <row r="50" spans="6:7" hidden="1">
      <c r="F50" s="61"/>
      <c r="G50" s="57"/>
    </row>
    <row r="51" spans="6:7"/>
    <row r="52" spans="6:7"/>
    <row r="53" spans="6:7"/>
    <row r="54" spans="6:7"/>
    <row r="55" spans="6:7"/>
    <row r="56" spans="6:7"/>
    <row r="57" spans="6:7"/>
    <row r="58" spans="6:7"/>
    <row r="59" spans="6:7"/>
  </sheetData>
  <sheetProtection algorithmName="SHA-512" hashValue="23QFIq9UiWOHpUtcBwtUPJ6JStZKh/Q/76RN+y1pTI4w7zArt2oftCIvO4iN5PjM8LBAP0BsYHrmE+pyOmceVw==" saltValue="8k2oJIx+pRNzspl1lW9Adw==" spinCount="100000" sheet="1" objects="1" scenarios="1"/>
  <mergeCells count="44">
    <mergeCell ref="B2:N4"/>
    <mergeCell ref="P2:P4"/>
    <mergeCell ref="B6:P6"/>
    <mergeCell ref="B8:P8"/>
    <mergeCell ref="B10:E10"/>
    <mergeCell ref="G10:J10"/>
    <mergeCell ref="M10:P10"/>
    <mergeCell ref="B11:D11"/>
    <mergeCell ref="G11:H12"/>
    <mergeCell ref="I11:J12"/>
    <mergeCell ref="K11:K12"/>
    <mergeCell ref="M11:O11"/>
    <mergeCell ref="B12:D12"/>
    <mergeCell ref="M12:O12"/>
    <mergeCell ref="B25:P25"/>
    <mergeCell ref="B13:D13"/>
    <mergeCell ref="G13:H13"/>
    <mergeCell ref="I13:J13"/>
    <mergeCell ref="M13:O13"/>
    <mergeCell ref="B14:D14"/>
    <mergeCell ref="G14:H14"/>
    <mergeCell ref="I14:J14"/>
    <mergeCell ref="B15:D15"/>
    <mergeCell ref="G15:P17"/>
    <mergeCell ref="B16:D16"/>
    <mergeCell ref="B17:D17"/>
    <mergeCell ref="G19:P20"/>
    <mergeCell ref="B36:J36"/>
    <mergeCell ref="B27:E27"/>
    <mergeCell ref="F27:F28"/>
    <mergeCell ref="G27:G28"/>
    <mergeCell ref="H27:H28"/>
    <mergeCell ref="I27:I28"/>
    <mergeCell ref="J27:J28"/>
    <mergeCell ref="L27:O27"/>
    <mergeCell ref="L28:O28"/>
    <mergeCell ref="L29:O29"/>
    <mergeCell ref="L30:O30"/>
    <mergeCell ref="N34:S34"/>
    <mergeCell ref="B38:B39"/>
    <mergeCell ref="B41:E41"/>
    <mergeCell ref="F41:H41"/>
    <mergeCell ref="I41:K41"/>
    <mergeCell ref="L41:N41"/>
  </mergeCells>
  <pageMargins left="0.70866141732283472" right="0.70866141732283472" top="0.74803149606299213" bottom="0.74803149606299213" header="0.31496062992125984" footer="0.31496062992125984"/>
  <pageSetup scale="43" orientation="portrait" r:id="rId1"/>
  <headerFooter>
    <oddFooter xml:space="preserve">&amp;C&amp;P/&amp;N
</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CC"/>
  </sheetPr>
  <dimension ref="A1:Y109"/>
  <sheetViews>
    <sheetView showGridLines="0" zoomScale="85" zoomScaleNormal="85" zoomScaleSheetLayoutView="90" workbookViewId="0">
      <selection activeCell="G45" sqref="G45:K50"/>
    </sheetView>
  </sheetViews>
  <sheetFormatPr baseColWidth="10" defaultColWidth="0" defaultRowHeight="12.5" zeroHeight="1"/>
  <cols>
    <col min="1" max="1" width="2" style="4" customWidth="1"/>
    <col min="2" max="2" width="13.81640625" style="4" customWidth="1"/>
    <col min="3" max="3" width="30" style="4" customWidth="1"/>
    <col min="4" max="4" width="25.81640625" style="4" customWidth="1"/>
    <col min="5" max="5" width="32.1796875" style="5" customWidth="1"/>
    <col min="6" max="6" width="15.7265625" style="5" customWidth="1"/>
    <col min="7" max="7" width="24.1796875" style="4" customWidth="1"/>
    <col min="8" max="8" width="23.54296875" style="4" customWidth="1"/>
    <col min="9" max="9" width="22.26953125" style="4" customWidth="1"/>
    <col min="10" max="10" width="21.54296875" style="4" customWidth="1"/>
    <col min="11" max="11" width="23.1796875" style="4" customWidth="1"/>
    <col min="12" max="12" width="20.81640625" style="4" customWidth="1"/>
    <col min="13" max="13" width="23.7265625" style="4" customWidth="1"/>
    <col min="14" max="14" width="21" style="4" customWidth="1"/>
    <col min="15" max="15" width="22.81640625" style="4" customWidth="1"/>
    <col min="16" max="16" width="23.7265625" style="4" customWidth="1"/>
    <col min="17" max="21" width="18.1796875" style="4" customWidth="1"/>
    <col min="22" max="23" width="18.54296875" style="4" customWidth="1"/>
    <col min="24" max="25" width="18.54296875" style="4" hidden="1" customWidth="1"/>
    <col min="26" max="16384" width="11.453125" style="4" hidden="1"/>
  </cols>
  <sheetData>
    <row r="1" spans="2:16" s="2" customFormat="1" ht="12.75" customHeight="1">
      <c r="E1" s="3"/>
      <c r="F1" s="3"/>
    </row>
    <row r="2" spans="2:16" s="2" customFormat="1" ht="21.75" customHeight="1">
      <c r="B2" s="268" t="s">
        <v>81</v>
      </c>
      <c r="C2" s="269"/>
      <c r="D2" s="269"/>
      <c r="E2" s="269"/>
      <c r="F2" s="269"/>
      <c r="G2" s="269"/>
      <c r="H2" s="269"/>
      <c r="I2" s="269"/>
      <c r="J2" s="269"/>
      <c r="K2" s="270"/>
      <c r="L2" s="257" t="s">
        <v>0</v>
      </c>
      <c r="M2" s="94"/>
      <c r="N2" s="94"/>
      <c r="O2" s="94"/>
      <c r="P2" s="257"/>
    </row>
    <row r="3" spans="2:16" s="2" customFormat="1" ht="21.75" customHeight="1">
      <c r="B3" s="271"/>
      <c r="C3" s="272"/>
      <c r="D3" s="272"/>
      <c r="E3" s="272"/>
      <c r="F3" s="272"/>
      <c r="G3" s="272"/>
      <c r="H3" s="272"/>
      <c r="I3" s="272"/>
      <c r="J3" s="272"/>
      <c r="K3" s="273"/>
      <c r="L3" s="257"/>
      <c r="M3" s="94"/>
      <c r="N3" s="94"/>
      <c r="O3" s="94"/>
      <c r="P3" s="257"/>
    </row>
    <row r="4" spans="2:16" s="2" customFormat="1" ht="21.75" customHeight="1">
      <c r="B4" s="274"/>
      <c r="C4" s="275"/>
      <c r="D4" s="275"/>
      <c r="E4" s="275"/>
      <c r="F4" s="275"/>
      <c r="G4" s="275"/>
      <c r="H4" s="275"/>
      <c r="I4" s="275"/>
      <c r="J4" s="275"/>
      <c r="K4" s="276"/>
      <c r="L4" s="257"/>
      <c r="M4" s="94"/>
      <c r="N4" s="94"/>
      <c r="O4" s="94"/>
      <c r="P4" s="257"/>
    </row>
    <row r="5" spans="2:16" s="2" customFormat="1" ht="6" customHeight="1">
      <c r="E5" s="3"/>
      <c r="F5" s="3"/>
      <c r="M5" s="37"/>
      <c r="N5" s="37"/>
      <c r="O5" s="37"/>
      <c r="P5" s="37"/>
    </row>
    <row r="6" spans="2:16" s="2" customFormat="1" ht="13">
      <c r="B6" s="169" t="s">
        <v>81</v>
      </c>
      <c r="C6" s="169"/>
      <c r="D6" s="169"/>
      <c r="E6" s="169"/>
      <c r="F6" s="169"/>
      <c r="G6" s="169"/>
      <c r="H6" s="169"/>
      <c r="I6" s="169"/>
      <c r="J6" s="169"/>
      <c r="K6" s="169"/>
      <c r="L6" s="169"/>
      <c r="M6" s="86"/>
      <c r="N6" s="86"/>
      <c r="O6" s="86"/>
      <c r="P6" s="86"/>
    </row>
    <row r="7" spans="2:16" s="2" customFormat="1" ht="32.25" customHeight="1">
      <c r="B7" s="201" t="s">
        <v>82</v>
      </c>
      <c r="C7" s="201"/>
      <c r="D7" s="265" t="s">
        <v>1147</v>
      </c>
      <c r="E7" s="266"/>
      <c r="F7" s="266"/>
      <c r="G7" s="266"/>
      <c r="H7" s="266"/>
      <c r="I7" s="266"/>
      <c r="J7" s="266"/>
      <c r="K7" s="266"/>
      <c r="L7" s="267"/>
    </row>
    <row r="8" spans="2:16" s="2" customFormat="1" ht="43.5" customHeight="1">
      <c r="B8" s="87" t="s">
        <v>1229</v>
      </c>
      <c r="C8" s="277" t="s">
        <v>1299</v>
      </c>
      <c r="D8" s="278"/>
      <c r="E8" s="88" t="s">
        <v>1231</v>
      </c>
      <c r="F8" s="52" t="s">
        <v>1300</v>
      </c>
      <c r="G8" s="88" t="s">
        <v>1233</v>
      </c>
      <c r="H8" s="52" t="s">
        <v>1301</v>
      </c>
      <c r="I8" s="279" t="s">
        <v>1235</v>
      </c>
      <c r="J8" s="279"/>
      <c r="K8" s="280" t="s">
        <v>1302</v>
      </c>
      <c r="L8" s="281"/>
    </row>
    <row r="9" spans="2:16" s="2" customFormat="1" ht="43.5" customHeight="1">
      <c r="B9" s="89" t="s">
        <v>1237</v>
      </c>
      <c r="C9" s="280" t="s">
        <v>1304</v>
      </c>
      <c r="D9" s="282"/>
      <c r="E9" s="281"/>
      <c r="F9" s="88" t="s">
        <v>1239</v>
      </c>
      <c r="G9" s="277" t="s">
        <v>1303</v>
      </c>
      <c r="H9" s="278"/>
      <c r="I9" s="90" t="s">
        <v>1241</v>
      </c>
      <c r="J9" s="52">
        <v>31579390.050000001</v>
      </c>
      <c r="K9" s="91" t="s">
        <v>1243</v>
      </c>
      <c r="L9" s="95">
        <v>45503</v>
      </c>
    </row>
    <row r="10" spans="2:16" s="2" customFormat="1" ht="9" customHeight="1">
      <c r="B10" s="68"/>
      <c r="C10" s="68"/>
      <c r="D10" s="68"/>
      <c r="E10" s="68"/>
      <c r="F10" s="68"/>
      <c r="G10" s="68"/>
      <c r="H10" s="68"/>
      <c r="I10" s="68"/>
      <c r="J10" s="68"/>
      <c r="K10" s="68"/>
      <c r="L10" s="68"/>
    </row>
    <row r="11" spans="2:16" s="2" customFormat="1" ht="8.25" customHeight="1">
      <c r="B11" s="68"/>
      <c r="C11" s="68"/>
      <c r="D11" s="68"/>
      <c r="E11" s="68"/>
      <c r="F11" s="68"/>
      <c r="G11" s="68"/>
      <c r="H11" s="68"/>
      <c r="I11" s="68"/>
      <c r="J11" s="68"/>
      <c r="K11" s="68"/>
      <c r="L11" s="68"/>
    </row>
    <row r="12" spans="2:16" s="2" customFormat="1" ht="8.25" customHeight="1">
      <c r="B12" s="68"/>
      <c r="C12" s="68"/>
      <c r="D12" s="68"/>
      <c r="E12" s="68"/>
      <c r="F12" s="68"/>
      <c r="G12" s="68"/>
      <c r="H12" s="68"/>
      <c r="I12" s="68"/>
      <c r="J12" s="68"/>
      <c r="K12" s="68"/>
      <c r="L12" s="68"/>
    </row>
    <row r="13" spans="2:16" s="2" customFormat="1" ht="104.25" customHeight="1">
      <c r="B13" s="283" t="s">
        <v>1197</v>
      </c>
      <c r="C13" s="283"/>
      <c r="D13" s="283"/>
      <c r="E13" s="283"/>
      <c r="F13" s="283"/>
      <c r="G13" s="283"/>
      <c r="H13" s="283"/>
      <c r="I13" s="283"/>
      <c r="J13" s="283"/>
      <c r="K13" s="283"/>
      <c r="L13" s="283"/>
    </row>
    <row r="14" spans="2:16" s="2" customFormat="1" ht="8.25" customHeight="1">
      <c r="B14" s="68"/>
      <c r="C14" s="68"/>
      <c r="D14" s="68"/>
      <c r="E14" s="68"/>
      <c r="F14" s="68"/>
      <c r="G14" s="68"/>
      <c r="H14" s="68"/>
      <c r="I14" s="68"/>
      <c r="J14" s="68"/>
      <c r="K14" s="68"/>
      <c r="L14" s="68"/>
    </row>
    <row r="15" spans="2:16" s="2" customFormat="1" ht="180" customHeight="1">
      <c r="B15" s="284" t="s">
        <v>1226</v>
      </c>
      <c r="C15" s="284"/>
      <c r="D15" s="284"/>
      <c r="E15" s="284"/>
      <c r="F15" s="284"/>
      <c r="G15" s="284"/>
      <c r="H15" s="284"/>
      <c r="I15" s="284"/>
      <c r="J15" s="284"/>
      <c r="K15" s="284"/>
      <c r="L15" s="284"/>
    </row>
    <row r="16" spans="2:16" s="2" customFormat="1" ht="8.25" customHeight="1">
      <c r="B16" s="68"/>
      <c r="C16" s="68"/>
      <c r="D16" s="68"/>
      <c r="E16" s="68"/>
      <c r="F16" s="68"/>
      <c r="G16" s="68"/>
      <c r="H16" s="68"/>
      <c r="I16" s="68"/>
      <c r="J16" s="68"/>
      <c r="K16" s="68"/>
      <c r="L16" s="68"/>
    </row>
    <row r="17" spans="2:14" s="2" customFormat="1" ht="23.25" customHeight="1">
      <c r="B17" s="171" t="s">
        <v>115</v>
      </c>
      <c r="C17" s="172"/>
      <c r="D17" s="172"/>
      <c r="E17" s="172"/>
      <c r="F17" s="172"/>
      <c r="G17" s="172"/>
      <c r="H17" s="172"/>
      <c r="I17" s="172"/>
      <c r="J17" s="172"/>
      <c r="K17" s="172"/>
      <c r="L17" s="197"/>
    </row>
    <row r="18" spans="2:14" s="2" customFormat="1" ht="8.25" customHeight="1">
      <c r="B18" s="68"/>
      <c r="C18" s="68"/>
      <c r="D18" s="68"/>
      <c r="E18" s="68"/>
      <c r="F18" s="68"/>
      <c r="G18" s="68"/>
      <c r="H18" s="68"/>
      <c r="I18" s="68"/>
      <c r="J18" s="68"/>
      <c r="K18" s="68"/>
      <c r="L18" s="68"/>
    </row>
    <row r="19" spans="2:14" s="2" customFormat="1" ht="8.25" customHeight="1">
      <c r="B19" s="68"/>
      <c r="C19" s="68"/>
      <c r="D19" s="68"/>
      <c r="E19" s="68"/>
      <c r="F19" s="68"/>
      <c r="G19" s="68"/>
      <c r="H19" s="68"/>
      <c r="I19" s="68"/>
      <c r="J19" s="68"/>
      <c r="K19" s="68"/>
      <c r="L19" s="68"/>
    </row>
    <row r="20" spans="2:14" s="2" customFormat="1" ht="29.25" customHeight="1">
      <c r="B20" s="67">
        <v>1</v>
      </c>
      <c r="C20" s="264" t="s">
        <v>116</v>
      </c>
      <c r="D20" s="264"/>
      <c r="E20" s="264"/>
      <c r="F20" s="51" t="s">
        <v>1227</v>
      </c>
      <c r="G20" s="68"/>
      <c r="M20" s="263"/>
      <c r="N20" s="263"/>
    </row>
    <row r="21" spans="2:14" s="2" customFormat="1" ht="29.25" customHeight="1">
      <c r="B21" s="67">
        <v>2</v>
      </c>
      <c r="C21" s="264" t="s">
        <v>117</v>
      </c>
      <c r="D21" s="264"/>
      <c r="E21" s="264"/>
      <c r="F21" s="52"/>
      <c r="G21" s="68"/>
      <c r="M21" s="263"/>
      <c r="N21" s="263"/>
    </row>
    <row r="22" spans="2:14" s="2" customFormat="1" ht="29.25" customHeight="1">
      <c r="G22" s="68"/>
      <c r="M22" s="263"/>
      <c r="N22" s="263"/>
    </row>
    <row r="23" spans="2:14" s="2" customFormat="1" ht="43.5" customHeight="1">
      <c r="B23" s="201" t="s">
        <v>118</v>
      </c>
      <c r="C23" s="169" t="s">
        <v>1146</v>
      </c>
      <c r="D23" s="169"/>
      <c r="E23" s="169"/>
      <c r="F23" s="169"/>
      <c r="G23" s="29" t="s">
        <v>119</v>
      </c>
      <c r="H23" s="29" t="s">
        <v>119</v>
      </c>
      <c r="I23" s="29" t="s">
        <v>119</v>
      </c>
      <c r="L23" s="69"/>
      <c r="M23" s="69"/>
    </row>
    <row r="24" spans="2:14" s="2" customFormat="1" ht="29.25" customHeight="1">
      <c r="B24" s="201"/>
      <c r="C24" s="29" t="s">
        <v>104</v>
      </c>
      <c r="D24" s="29" t="s">
        <v>105</v>
      </c>
      <c r="E24" s="29" t="s">
        <v>106</v>
      </c>
      <c r="F24" s="37" t="s">
        <v>107</v>
      </c>
      <c r="G24" s="29">
        <v>2024</v>
      </c>
      <c r="H24" s="29">
        <v>2025</v>
      </c>
      <c r="I24" s="29">
        <v>2026</v>
      </c>
      <c r="L24" s="69"/>
      <c r="M24" s="69"/>
    </row>
    <row r="25" spans="2:14" s="2" customFormat="1" ht="33.75" customHeight="1">
      <c r="B25" s="201"/>
      <c r="C25" s="62">
        <v>24</v>
      </c>
      <c r="D25" s="63" t="s">
        <v>108</v>
      </c>
      <c r="E25" s="63" t="s">
        <v>109</v>
      </c>
      <c r="F25" s="63" t="s">
        <v>90</v>
      </c>
      <c r="G25" s="53">
        <v>20000</v>
      </c>
      <c r="H25" s="53">
        <v>20000</v>
      </c>
      <c r="I25" s="53">
        <v>20000</v>
      </c>
      <c r="M25" s="69"/>
    </row>
    <row r="26" spans="2:14" s="2" customFormat="1" ht="33.75" customHeight="1">
      <c r="B26" s="201"/>
      <c r="C26" s="62">
        <v>24</v>
      </c>
      <c r="D26" s="63" t="s">
        <v>108</v>
      </c>
      <c r="E26" s="63" t="s">
        <v>109</v>
      </c>
      <c r="F26" s="63" t="s">
        <v>92</v>
      </c>
      <c r="G26" s="53">
        <v>20000</v>
      </c>
      <c r="H26" s="53">
        <v>20000</v>
      </c>
      <c r="I26" s="53">
        <v>20000</v>
      </c>
      <c r="M26" s="69"/>
    </row>
    <row r="27" spans="2:14" s="2" customFormat="1" ht="33.75" customHeight="1">
      <c r="B27" s="201"/>
      <c r="C27" s="62">
        <v>24</v>
      </c>
      <c r="D27" s="63" t="s">
        <v>1143</v>
      </c>
      <c r="E27" s="63" t="s">
        <v>109</v>
      </c>
      <c r="F27" s="63" t="s">
        <v>92</v>
      </c>
      <c r="G27" s="53">
        <v>20000</v>
      </c>
      <c r="H27" s="53">
        <v>20000</v>
      </c>
      <c r="I27" s="53">
        <v>20000</v>
      </c>
      <c r="M27" s="69"/>
    </row>
    <row r="28" spans="2:14" s="2" customFormat="1" ht="33.75" customHeight="1">
      <c r="B28" s="201"/>
      <c r="C28" s="62">
        <v>12</v>
      </c>
      <c r="D28" s="63" t="s">
        <v>110</v>
      </c>
      <c r="E28" s="63" t="s">
        <v>111</v>
      </c>
      <c r="F28" s="63" t="s">
        <v>1144</v>
      </c>
      <c r="G28" s="53">
        <v>20000</v>
      </c>
      <c r="H28" s="53">
        <v>20000</v>
      </c>
      <c r="I28" s="53">
        <v>20000</v>
      </c>
      <c r="M28" s="69"/>
    </row>
    <row r="29" spans="2:14" s="2" customFormat="1" ht="33.75" customHeight="1">
      <c r="B29" s="201"/>
      <c r="C29" s="62">
        <v>12</v>
      </c>
      <c r="D29" s="63" t="s">
        <v>110</v>
      </c>
      <c r="E29" s="66" t="s">
        <v>1190</v>
      </c>
      <c r="F29" s="63" t="s">
        <v>90</v>
      </c>
      <c r="G29" s="53">
        <v>20000</v>
      </c>
      <c r="H29" s="53">
        <v>20000</v>
      </c>
      <c r="I29" s="53">
        <v>20000</v>
      </c>
      <c r="M29" s="69"/>
    </row>
    <row r="30" spans="2:14" s="2" customFormat="1" ht="33.75" customHeight="1">
      <c r="B30" s="201"/>
      <c r="C30" s="62">
        <v>12</v>
      </c>
      <c r="D30" s="63" t="s">
        <v>108</v>
      </c>
      <c r="E30" s="63" t="s">
        <v>111</v>
      </c>
      <c r="F30" s="63" t="s">
        <v>90</v>
      </c>
      <c r="G30" s="53">
        <v>20000</v>
      </c>
      <c r="H30" s="53">
        <v>20000</v>
      </c>
      <c r="I30" s="53">
        <v>20000</v>
      </c>
      <c r="M30" s="69"/>
    </row>
    <row r="31" spans="2:14" s="2" customFormat="1" ht="33.75" customHeight="1">
      <c r="B31" s="86"/>
      <c r="C31" s="93"/>
      <c r="G31" s="96">
        <f>SUM(G25:G30)</f>
        <v>120000</v>
      </c>
      <c r="H31" s="96">
        <f t="shared" ref="H31:I31" si="0">SUM(H25:H30)</f>
        <v>120000</v>
      </c>
      <c r="I31" s="96">
        <f t="shared" si="0"/>
        <v>120000</v>
      </c>
      <c r="M31" s="69"/>
    </row>
    <row r="32" spans="2:14" s="2" customFormat="1" ht="29.25" customHeight="1">
      <c r="B32" s="200" t="s">
        <v>120</v>
      </c>
      <c r="C32" s="200"/>
      <c r="D32" s="200"/>
      <c r="E32" s="200"/>
      <c r="F32" s="200"/>
      <c r="G32" s="200"/>
      <c r="H32" s="200"/>
      <c r="I32" s="200"/>
      <c r="J32" s="200"/>
      <c r="K32" s="200"/>
      <c r="L32" s="200"/>
      <c r="M32" s="200"/>
      <c r="N32" s="69"/>
    </row>
    <row r="33" spans="1:22" s="2" customFormat="1" ht="6.75" customHeight="1">
      <c r="A33" s="70"/>
      <c r="B33" s="70"/>
      <c r="C33" s="70"/>
      <c r="D33" s="70"/>
      <c r="E33" s="70"/>
      <c r="F33" s="70"/>
      <c r="G33" s="70"/>
      <c r="H33" s="70"/>
      <c r="I33" s="70"/>
      <c r="J33" s="70"/>
      <c r="K33" s="70"/>
      <c r="L33" s="70"/>
      <c r="M33" s="70"/>
      <c r="N33" s="69"/>
    </row>
    <row r="34" spans="1:22" s="2" customFormat="1" ht="61" customHeight="1">
      <c r="A34" s="70"/>
      <c r="B34" s="70"/>
      <c r="C34" s="70"/>
      <c r="D34" s="70"/>
      <c r="E34" s="70"/>
      <c r="F34" s="68"/>
      <c r="G34" s="68"/>
      <c r="H34" s="67" t="s">
        <v>1198</v>
      </c>
      <c r="I34" s="59" t="s">
        <v>1210</v>
      </c>
      <c r="J34" s="59" t="s">
        <v>1205</v>
      </c>
      <c r="K34" s="59" t="s">
        <v>1206</v>
      </c>
      <c r="L34" s="59" t="s">
        <v>1207</v>
      </c>
      <c r="M34" s="59" t="s">
        <v>1208</v>
      </c>
    </row>
    <row r="35" spans="1:22" s="2" customFormat="1" ht="29.25" customHeight="1">
      <c r="F35" s="202" t="s">
        <v>122</v>
      </c>
      <c r="G35" s="203"/>
      <c r="H35" s="71">
        <f>SUM(I35:M35)</f>
        <v>25</v>
      </c>
      <c r="I35" s="72">
        <v>1</v>
      </c>
      <c r="J35" s="80">
        <v>6.5</v>
      </c>
      <c r="K35" s="80">
        <v>5.5</v>
      </c>
      <c r="L35" s="80">
        <v>6.5</v>
      </c>
      <c r="M35" s="80">
        <v>5.5</v>
      </c>
    </row>
    <row r="36" spans="1:22" s="2" customFormat="1" ht="29.25" customHeight="1">
      <c r="B36" s="70"/>
      <c r="C36" s="70"/>
      <c r="D36" s="70"/>
      <c r="E36" s="70"/>
      <c r="F36" s="202" t="s">
        <v>1191</v>
      </c>
      <c r="G36" s="203"/>
      <c r="H36" s="38" t="s">
        <v>1211</v>
      </c>
      <c r="I36" s="38" t="e">
        <f>#REF!</f>
        <v>#REF!</v>
      </c>
      <c r="J36" s="38" t="e">
        <f>#REF!</f>
        <v>#REF!</v>
      </c>
      <c r="K36" s="38" t="e">
        <f>#REF!</f>
        <v>#REF!</v>
      </c>
      <c r="L36" s="38">
        <v>1504157.2</v>
      </c>
      <c r="M36" s="38">
        <v>1504157.2</v>
      </c>
    </row>
    <row r="37" spans="1:22" s="2" customFormat="1" ht="29.25" customHeight="1">
      <c r="B37" s="70"/>
      <c r="C37" s="70"/>
      <c r="D37" s="70"/>
      <c r="E37" s="70"/>
      <c r="F37" s="83"/>
      <c r="G37" s="83"/>
      <c r="H37" s="84"/>
      <c r="I37" s="84"/>
      <c r="J37" s="84"/>
      <c r="K37" s="84"/>
      <c r="L37" s="82"/>
      <c r="M37" s="82"/>
    </row>
    <row r="38" spans="1:22" s="2" customFormat="1" ht="24" customHeight="1">
      <c r="B38" s="200" t="s">
        <v>1192</v>
      </c>
      <c r="C38" s="200"/>
      <c r="D38" s="200"/>
      <c r="E38" s="200"/>
      <c r="F38" s="200"/>
      <c r="G38" s="200"/>
      <c r="H38" s="200"/>
      <c r="I38" s="200"/>
      <c r="J38" s="200"/>
      <c r="K38" s="200"/>
      <c r="L38" s="200"/>
      <c r="M38" s="200"/>
      <c r="N38" s="200"/>
      <c r="O38" s="200"/>
      <c r="P38" s="200"/>
      <c r="Q38" s="200"/>
      <c r="R38" s="200"/>
      <c r="S38" s="200"/>
      <c r="T38" s="200"/>
      <c r="U38" s="200"/>
      <c r="V38" s="200"/>
    </row>
    <row r="39" spans="1:22" s="2" customFormat="1" ht="11.25" customHeight="1">
      <c r="M39" s="69"/>
      <c r="N39" s="69"/>
    </row>
    <row r="40" spans="1:22" s="2" customFormat="1" ht="9.75" customHeight="1">
      <c r="C40" s="4"/>
      <c r="D40" s="4"/>
      <c r="E40" s="4"/>
      <c r="F40" s="4"/>
    </row>
    <row r="41" spans="1:22" s="2" customFormat="1" ht="26.25" customHeight="1">
      <c r="B41" s="200" t="s">
        <v>1148</v>
      </c>
      <c r="C41" s="200"/>
      <c r="D41" s="200"/>
      <c r="E41" s="200"/>
      <c r="F41" s="200"/>
      <c r="G41" s="200"/>
      <c r="H41" s="200"/>
      <c r="I41" s="200"/>
      <c r="J41" s="200"/>
      <c r="K41" s="200"/>
      <c r="L41" s="200"/>
      <c r="M41" s="200"/>
      <c r="N41" s="200"/>
      <c r="O41" s="200"/>
      <c r="P41" s="200"/>
      <c r="Q41" s="200"/>
      <c r="R41" s="200"/>
      <c r="S41" s="200"/>
      <c r="T41" s="200"/>
      <c r="U41" s="200"/>
      <c r="V41" s="200"/>
    </row>
    <row r="42" spans="1:22" s="2" customFormat="1">
      <c r="C42" s="4"/>
      <c r="D42" s="4"/>
      <c r="E42" s="4"/>
      <c r="F42" s="4"/>
      <c r="G42" s="4"/>
      <c r="H42" s="4"/>
    </row>
    <row r="43" spans="1:22" s="2" customFormat="1" ht="70.5" customHeight="1">
      <c r="B43" s="169" t="s">
        <v>123</v>
      </c>
      <c r="C43" s="169"/>
      <c r="D43" s="169"/>
      <c r="E43" s="169"/>
      <c r="F43" s="169" t="s">
        <v>1196</v>
      </c>
      <c r="G43" s="169"/>
      <c r="H43" s="169"/>
      <c r="I43" s="169"/>
      <c r="J43" s="169"/>
      <c r="K43" s="169"/>
      <c r="L43" s="261" t="s">
        <v>1204</v>
      </c>
      <c r="M43" s="262"/>
      <c r="N43" s="261" t="s">
        <v>1205</v>
      </c>
      <c r="O43" s="262"/>
      <c r="P43" s="261" t="s">
        <v>1206</v>
      </c>
      <c r="Q43" s="262"/>
      <c r="R43" s="261" t="s">
        <v>1207</v>
      </c>
      <c r="S43" s="262"/>
      <c r="T43" s="261" t="s">
        <v>1208</v>
      </c>
      <c r="U43" s="262"/>
      <c r="V43" s="29" t="s">
        <v>1198</v>
      </c>
    </row>
    <row r="44" spans="1:22" s="2" customFormat="1" ht="71.25" customHeight="1">
      <c r="B44" s="29" t="s">
        <v>104</v>
      </c>
      <c r="C44" s="29" t="s">
        <v>105</v>
      </c>
      <c r="D44" s="29" t="s">
        <v>106</v>
      </c>
      <c r="E44" s="29" t="s">
        <v>107</v>
      </c>
      <c r="F44" s="29" t="s">
        <v>124</v>
      </c>
      <c r="G44" s="29" t="s">
        <v>1209</v>
      </c>
      <c r="H44" s="29" t="s">
        <v>1199</v>
      </c>
      <c r="I44" s="29" t="s">
        <v>1200</v>
      </c>
      <c r="J44" s="29" t="s">
        <v>1201</v>
      </c>
      <c r="K44" s="29" t="s">
        <v>1202</v>
      </c>
      <c r="L44" s="73" t="s">
        <v>1180</v>
      </c>
      <c r="M44" s="58" t="s">
        <v>1181</v>
      </c>
      <c r="N44" s="73" t="s">
        <v>1182</v>
      </c>
      <c r="O44" s="58" t="s">
        <v>1183</v>
      </c>
      <c r="P44" s="73" t="s">
        <v>1182</v>
      </c>
      <c r="Q44" s="58" t="s">
        <v>1183</v>
      </c>
      <c r="R44" s="73" t="s">
        <v>1182</v>
      </c>
      <c r="S44" s="58" t="s">
        <v>1183</v>
      </c>
      <c r="T44" s="73" t="s">
        <v>1182</v>
      </c>
      <c r="U44" s="58" t="s">
        <v>1183</v>
      </c>
      <c r="V44" s="29" t="s">
        <v>1213</v>
      </c>
    </row>
    <row r="45" spans="1:22" s="2" customFormat="1" ht="30.75" customHeight="1">
      <c r="B45" s="62">
        <v>24</v>
      </c>
      <c r="C45" s="63" t="s">
        <v>108</v>
      </c>
      <c r="D45" s="63" t="s">
        <v>109</v>
      </c>
      <c r="E45" s="63" t="s">
        <v>90</v>
      </c>
      <c r="F45" s="59">
        <v>5</v>
      </c>
      <c r="G45" s="38">
        <v>12854160</v>
      </c>
      <c r="H45" s="38">
        <v>13944928</v>
      </c>
      <c r="I45" s="38">
        <v>14173429</v>
      </c>
      <c r="J45" s="38">
        <v>15113110</v>
      </c>
      <c r="K45" s="38">
        <v>15161845</v>
      </c>
      <c r="L45" s="39">
        <f t="shared" ref="L45:L50" si="1">G45*F45</f>
        <v>64270800</v>
      </c>
      <c r="M45" s="39">
        <f>ROUND(L45*$I$35,0)</f>
        <v>64270800</v>
      </c>
      <c r="N45" s="39">
        <f t="shared" ref="N45:N50" si="2">H45*F45</f>
        <v>69724640</v>
      </c>
      <c r="O45" s="39">
        <f>ROUND(N45*$J$35,0)</f>
        <v>453210160</v>
      </c>
      <c r="P45" s="39">
        <f>I45*F45</f>
        <v>70867145</v>
      </c>
      <c r="Q45" s="39">
        <f>ROUND(P45*$K$35,0)</f>
        <v>389769298</v>
      </c>
      <c r="R45" s="39">
        <f>J45*F45</f>
        <v>75565550</v>
      </c>
      <c r="S45" s="39">
        <f>ROUND(R45*$L$35,0)</f>
        <v>491176075</v>
      </c>
      <c r="T45" s="39">
        <f>K45*F45</f>
        <v>75809225</v>
      </c>
      <c r="U45" s="39">
        <f>ROUND(T45*$M$35,0)</f>
        <v>416950738</v>
      </c>
      <c r="V45" s="81">
        <f>O45+M45+Q45+S45+U45</f>
        <v>1815377071</v>
      </c>
    </row>
    <row r="46" spans="1:22" s="2" customFormat="1" ht="30.75" customHeight="1">
      <c r="B46" s="62">
        <v>24</v>
      </c>
      <c r="C46" s="63" t="s">
        <v>108</v>
      </c>
      <c r="D46" s="63" t="s">
        <v>109</v>
      </c>
      <c r="E46" s="63" t="s">
        <v>92</v>
      </c>
      <c r="F46" s="59">
        <v>11</v>
      </c>
      <c r="G46" s="38">
        <v>13092200</v>
      </c>
      <c r="H46" s="38">
        <v>14203167</v>
      </c>
      <c r="I46" s="38">
        <v>14435900</v>
      </c>
      <c r="J46" s="38">
        <v>15392982</v>
      </c>
      <c r="K46" s="38">
        <v>15442620</v>
      </c>
      <c r="L46" s="39">
        <f t="shared" si="1"/>
        <v>144014200</v>
      </c>
      <c r="M46" s="39">
        <f t="shared" ref="M46:M50" si="3">ROUND(L46*$I$35,0)</f>
        <v>144014200</v>
      </c>
      <c r="N46" s="39">
        <f t="shared" si="2"/>
        <v>156234837</v>
      </c>
      <c r="O46" s="39">
        <f t="shared" ref="O46:O50" si="4">ROUND(N46*$J$35,0)</f>
        <v>1015526441</v>
      </c>
      <c r="P46" s="39">
        <f t="shared" ref="P46:P50" si="5">I46*F46</f>
        <v>158794900</v>
      </c>
      <c r="Q46" s="39">
        <f t="shared" ref="Q46:Q50" si="6">ROUND(P46*$K$35,0)</f>
        <v>873371950</v>
      </c>
      <c r="R46" s="39">
        <f t="shared" ref="R46:R50" si="7">J46*F46</f>
        <v>169322802</v>
      </c>
      <c r="S46" s="39">
        <f t="shared" ref="S46:S50" si="8">ROUND(R46*$L$35,0)</f>
        <v>1100598213</v>
      </c>
      <c r="T46" s="39">
        <f t="shared" ref="T46:T50" si="9">K46*F46</f>
        <v>169868820</v>
      </c>
      <c r="U46" s="39">
        <f t="shared" ref="U46:U50" si="10">ROUND(T46*$M$35,0)</f>
        <v>934278510</v>
      </c>
      <c r="V46" s="81">
        <f t="shared" ref="V46:V50" si="11">O46+M46+Q46+S46+U46</f>
        <v>4067789314</v>
      </c>
    </row>
    <row r="47" spans="1:22" s="2" customFormat="1" ht="30.75" customHeight="1">
      <c r="B47" s="62">
        <v>24</v>
      </c>
      <c r="C47" s="63" t="s">
        <v>1143</v>
      </c>
      <c r="D47" s="63" t="s">
        <v>109</v>
      </c>
      <c r="E47" s="63" t="s">
        <v>92</v>
      </c>
      <c r="F47" s="59">
        <v>1</v>
      </c>
      <c r="G47" s="38">
        <v>4378734</v>
      </c>
      <c r="H47" s="38">
        <v>4749055</v>
      </c>
      <c r="I47" s="38">
        <v>4826633</v>
      </c>
      <c r="J47" s="38">
        <v>5145660</v>
      </c>
      <c r="K47" s="38">
        <v>5162207</v>
      </c>
      <c r="L47" s="39">
        <f t="shared" si="1"/>
        <v>4378734</v>
      </c>
      <c r="M47" s="39">
        <f t="shared" si="3"/>
        <v>4378734</v>
      </c>
      <c r="N47" s="39">
        <f t="shared" si="2"/>
        <v>4749055</v>
      </c>
      <c r="O47" s="39">
        <f t="shared" si="4"/>
        <v>30868858</v>
      </c>
      <c r="P47" s="39">
        <f t="shared" si="5"/>
        <v>4826633</v>
      </c>
      <c r="Q47" s="39">
        <f t="shared" si="6"/>
        <v>26546482</v>
      </c>
      <c r="R47" s="39">
        <f t="shared" si="7"/>
        <v>5145660</v>
      </c>
      <c r="S47" s="39">
        <f t="shared" si="8"/>
        <v>33446790</v>
      </c>
      <c r="T47" s="39">
        <f t="shared" si="9"/>
        <v>5162207</v>
      </c>
      <c r="U47" s="39">
        <f t="shared" si="10"/>
        <v>28392139</v>
      </c>
      <c r="V47" s="81">
        <f t="shared" si="11"/>
        <v>123633003</v>
      </c>
    </row>
    <row r="48" spans="1:22" s="2" customFormat="1" ht="30.75" customHeight="1">
      <c r="B48" s="62">
        <v>12</v>
      </c>
      <c r="C48" s="63" t="s">
        <v>110</v>
      </c>
      <c r="D48" s="63" t="s">
        <v>111</v>
      </c>
      <c r="E48" s="63" t="s">
        <v>1144</v>
      </c>
      <c r="F48" s="59">
        <v>1</v>
      </c>
      <c r="G48" s="38">
        <v>3923542</v>
      </c>
      <c r="H48" s="38">
        <v>4255173</v>
      </c>
      <c r="I48" s="38">
        <v>4324646</v>
      </c>
      <c r="J48" s="38">
        <v>4610341</v>
      </c>
      <c r="K48" s="38">
        <v>4625158</v>
      </c>
      <c r="L48" s="39">
        <f t="shared" si="1"/>
        <v>3923542</v>
      </c>
      <c r="M48" s="39">
        <f t="shared" si="3"/>
        <v>3923542</v>
      </c>
      <c r="N48" s="39">
        <f t="shared" si="2"/>
        <v>4255173</v>
      </c>
      <c r="O48" s="39">
        <f t="shared" si="4"/>
        <v>27658625</v>
      </c>
      <c r="P48" s="39">
        <f t="shared" si="5"/>
        <v>4324646</v>
      </c>
      <c r="Q48" s="39">
        <f t="shared" si="6"/>
        <v>23785553</v>
      </c>
      <c r="R48" s="39">
        <f t="shared" si="7"/>
        <v>4610341</v>
      </c>
      <c r="S48" s="39">
        <f t="shared" si="8"/>
        <v>29967217</v>
      </c>
      <c r="T48" s="39">
        <f t="shared" si="9"/>
        <v>4625158</v>
      </c>
      <c r="U48" s="39">
        <f t="shared" si="10"/>
        <v>25438369</v>
      </c>
      <c r="V48" s="81">
        <f t="shared" si="11"/>
        <v>110773306</v>
      </c>
    </row>
    <row r="49" spans="2:22" s="2" customFormat="1" ht="30.75" customHeight="1">
      <c r="B49" s="62">
        <v>12</v>
      </c>
      <c r="C49" s="63" t="s">
        <v>110</v>
      </c>
      <c r="D49" s="66" t="s">
        <v>1190</v>
      </c>
      <c r="E49" s="63" t="s">
        <v>90</v>
      </c>
      <c r="F49" s="59">
        <v>1</v>
      </c>
      <c r="G49" s="38">
        <v>4746035</v>
      </c>
      <c r="H49" s="38">
        <v>5147613</v>
      </c>
      <c r="I49" s="38">
        <v>5231737</v>
      </c>
      <c r="J49" s="38">
        <v>5577690</v>
      </c>
      <c r="K49" s="38">
        <v>5595632</v>
      </c>
      <c r="L49" s="39">
        <f t="shared" si="1"/>
        <v>4746035</v>
      </c>
      <c r="M49" s="39">
        <f t="shared" si="3"/>
        <v>4746035</v>
      </c>
      <c r="N49" s="39">
        <f t="shared" si="2"/>
        <v>5147613</v>
      </c>
      <c r="O49" s="39">
        <f t="shared" si="4"/>
        <v>33459485</v>
      </c>
      <c r="P49" s="39">
        <f t="shared" si="5"/>
        <v>5231737</v>
      </c>
      <c r="Q49" s="39">
        <f t="shared" si="6"/>
        <v>28774554</v>
      </c>
      <c r="R49" s="39">
        <f t="shared" si="7"/>
        <v>5577690</v>
      </c>
      <c r="S49" s="39">
        <f t="shared" si="8"/>
        <v>36254985</v>
      </c>
      <c r="T49" s="39">
        <f t="shared" si="9"/>
        <v>5595632</v>
      </c>
      <c r="U49" s="39">
        <f t="shared" si="10"/>
        <v>30775976</v>
      </c>
      <c r="V49" s="81">
        <f t="shared" si="11"/>
        <v>134011035</v>
      </c>
    </row>
    <row r="50" spans="2:22" s="2" customFormat="1" ht="30.75" customHeight="1">
      <c r="B50" s="62">
        <v>12</v>
      </c>
      <c r="C50" s="63" t="s">
        <v>108</v>
      </c>
      <c r="D50" s="63" t="s">
        <v>111</v>
      </c>
      <c r="E50" s="63" t="s">
        <v>90</v>
      </c>
      <c r="F50" s="59">
        <v>1</v>
      </c>
      <c r="G50" s="38">
        <v>5767507</v>
      </c>
      <c r="H50" s="38">
        <v>6255909</v>
      </c>
      <c r="I50" s="38">
        <v>6358222</v>
      </c>
      <c r="J50" s="38">
        <v>6778974</v>
      </c>
      <c r="K50" s="38">
        <v>6800796</v>
      </c>
      <c r="L50" s="39">
        <f t="shared" si="1"/>
        <v>5767507</v>
      </c>
      <c r="M50" s="39">
        <f t="shared" si="3"/>
        <v>5767507</v>
      </c>
      <c r="N50" s="39">
        <f t="shared" si="2"/>
        <v>6255909</v>
      </c>
      <c r="O50" s="39">
        <f t="shared" si="4"/>
        <v>40663409</v>
      </c>
      <c r="P50" s="39">
        <f t="shared" si="5"/>
        <v>6358222</v>
      </c>
      <c r="Q50" s="39">
        <f t="shared" si="6"/>
        <v>34970221</v>
      </c>
      <c r="R50" s="39">
        <f t="shared" si="7"/>
        <v>6778974</v>
      </c>
      <c r="S50" s="39">
        <f t="shared" si="8"/>
        <v>44063331</v>
      </c>
      <c r="T50" s="39">
        <f t="shared" si="9"/>
        <v>6800796</v>
      </c>
      <c r="U50" s="39">
        <f t="shared" si="10"/>
        <v>37404378</v>
      </c>
      <c r="V50" s="81">
        <f t="shared" si="11"/>
        <v>162868846</v>
      </c>
    </row>
    <row r="51" spans="2:22" s="2" customFormat="1" ht="27" customHeight="1">
      <c r="B51" s="201" t="s">
        <v>1212</v>
      </c>
      <c r="C51" s="201"/>
      <c r="D51" s="201"/>
      <c r="E51" s="201"/>
      <c r="F51" s="201"/>
      <c r="G51" s="201"/>
      <c r="H51" s="201"/>
      <c r="I51" s="201"/>
      <c r="J51" s="201"/>
      <c r="K51" s="201"/>
      <c r="L51" s="201"/>
      <c r="M51" s="201"/>
      <c r="N51" s="201"/>
      <c r="O51" s="201"/>
      <c r="P51" s="201"/>
      <c r="Q51" s="201"/>
      <c r="R51" s="201"/>
      <c r="S51" s="201"/>
      <c r="T51" s="201"/>
      <c r="U51" s="201"/>
      <c r="V51" s="81">
        <f>SUM(V45:V50)</f>
        <v>6414452575</v>
      </c>
    </row>
    <row r="52" spans="2:22" s="2" customFormat="1">
      <c r="C52" s="4"/>
      <c r="D52" s="4"/>
      <c r="E52" s="4"/>
      <c r="F52" s="4"/>
      <c r="G52" s="4"/>
      <c r="H52" s="4"/>
    </row>
    <row r="53" spans="2:22" s="2" customFormat="1">
      <c r="C53" s="4"/>
      <c r="D53" s="4"/>
      <c r="E53" s="4"/>
      <c r="F53" s="4"/>
      <c r="G53" s="4"/>
      <c r="H53" s="4"/>
    </row>
    <row r="54" spans="2:22" s="2" customFormat="1" ht="27.75" customHeight="1">
      <c r="B54" s="200" t="s">
        <v>1193</v>
      </c>
      <c r="C54" s="200"/>
      <c r="D54" s="200"/>
      <c r="E54" s="200"/>
      <c r="F54" s="200"/>
      <c r="G54" s="200"/>
      <c r="H54" s="200"/>
      <c r="I54" s="200"/>
      <c r="J54" s="200"/>
      <c r="K54" s="200"/>
      <c r="L54" s="200"/>
      <c r="M54" s="200"/>
      <c r="N54" s="200"/>
      <c r="O54" s="200"/>
      <c r="P54" s="200"/>
      <c r="Q54" s="200"/>
      <c r="R54" s="200"/>
      <c r="S54" s="200"/>
      <c r="T54" s="200"/>
      <c r="U54" s="200"/>
      <c r="V54" s="200"/>
    </row>
    <row r="55" spans="2:22" s="2" customFormat="1">
      <c r="C55" s="4"/>
      <c r="D55" s="4"/>
      <c r="E55" s="4"/>
      <c r="F55" s="4"/>
      <c r="G55" s="4"/>
      <c r="H55" s="4"/>
    </row>
    <row r="56" spans="2:22" s="2" customFormat="1" ht="61.5" customHeight="1">
      <c r="B56" s="169" t="s">
        <v>1194</v>
      </c>
      <c r="C56" s="169"/>
      <c r="D56" s="169"/>
      <c r="E56" s="169"/>
      <c r="F56" s="169" t="s">
        <v>1214</v>
      </c>
      <c r="G56" s="169"/>
      <c r="H56" s="169"/>
      <c r="I56" s="169"/>
      <c r="J56" s="169"/>
      <c r="K56" s="169"/>
      <c r="L56" s="169"/>
      <c r="M56" s="169"/>
      <c r="N56" s="169"/>
      <c r="O56" s="169"/>
      <c r="P56" s="169"/>
    </row>
    <row r="57" spans="2:22" s="2" customFormat="1" ht="60" customHeight="1">
      <c r="B57" s="74" t="s">
        <v>1176</v>
      </c>
      <c r="C57" s="29" t="s">
        <v>1177</v>
      </c>
      <c r="D57" s="173" t="s">
        <v>125</v>
      </c>
      <c r="E57" s="174"/>
      <c r="F57" s="60" t="s">
        <v>124</v>
      </c>
      <c r="G57" s="75" t="s">
        <v>126</v>
      </c>
      <c r="H57" s="75" t="s">
        <v>1215</v>
      </c>
      <c r="I57" s="75" t="s">
        <v>1216</v>
      </c>
      <c r="J57" s="85" t="s">
        <v>1217</v>
      </c>
      <c r="K57" s="85" t="s">
        <v>1218</v>
      </c>
      <c r="L57" s="85" t="s">
        <v>1219</v>
      </c>
      <c r="M57" s="85" t="s">
        <v>1220</v>
      </c>
      <c r="N57" s="85" t="s">
        <v>1221</v>
      </c>
      <c r="O57" s="85" t="s">
        <v>1222</v>
      </c>
      <c r="P57" s="60" t="s">
        <v>1223</v>
      </c>
    </row>
    <row r="58" spans="2:22" s="2" customFormat="1" ht="57.75" customHeight="1">
      <c r="B58" s="59">
        <v>1</v>
      </c>
      <c r="C58" s="67" t="s">
        <v>1149</v>
      </c>
      <c r="D58" s="196" t="s">
        <v>1150</v>
      </c>
      <c r="E58" s="196"/>
      <c r="F58" s="76">
        <v>8</v>
      </c>
      <c r="G58" s="54">
        <v>6200000</v>
      </c>
      <c r="H58" s="54">
        <v>6200000</v>
      </c>
      <c r="I58" s="54">
        <v>6200000</v>
      </c>
      <c r="J58" s="39">
        <f t="shared" ref="J58:J80" si="12">ROUND(G58*F58,0)</f>
        <v>49600000</v>
      </c>
      <c r="K58" s="39">
        <f>J58*$I$35</f>
        <v>49600000</v>
      </c>
      <c r="L58" s="39">
        <f>ROUND(H58*F58,0)</f>
        <v>49600000</v>
      </c>
      <c r="M58" s="39">
        <f>L58*(SUM($J$35:$K$35))</f>
        <v>595200000</v>
      </c>
      <c r="N58" s="39">
        <f>ROUND(I58*F58,0)</f>
        <v>49600000</v>
      </c>
      <c r="O58" s="39">
        <f>N58*(SUM($L$35:$M$35))</f>
        <v>595200000</v>
      </c>
      <c r="P58" s="81">
        <f>K58+M58+O58</f>
        <v>1240000000</v>
      </c>
    </row>
    <row r="59" spans="2:22" s="2" customFormat="1" ht="78" customHeight="1">
      <c r="B59" s="59">
        <v>2</v>
      </c>
      <c r="C59" s="67" t="s">
        <v>1149</v>
      </c>
      <c r="D59" s="196" t="s">
        <v>1151</v>
      </c>
      <c r="E59" s="196" t="s">
        <v>1151</v>
      </c>
      <c r="F59" s="76">
        <v>8</v>
      </c>
      <c r="G59" s="54">
        <v>4500000</v>
      </c>
      <c r="H59" s="54">
        <v>4500000</v>
      </c>
      <c r="I59" s="54">
        <v>4500000</v>
      </c>
      <c r="J59" s="39">
        <f t="shared" si="12"/>
        <v>36000000</v>
      </c>
      <c r="K59" s="39">
        <f t="shared" ref="K59:K80" si="13">J59*$I$35</f>
        <v>36000000</v>
      </c>
      <c r="L59" s="39">
        <f t="shared" ref="L59:L80" si="14">ROUND(H59*F59,0)</f>
        <v>36000000</v>
      </c>
      <c r="M59" s="39">
        <f t="shared" ref="M59:M80" si="15">L59*(SUM($J$35:$K$35))</f>
        <v>432000000</v>
      </c>
      <c r="N59" s="39">
        <f t="shared" ref="N59:N80" si="16">ROUND(I59*F59,0)</f>
        <v>36000000</v>
      </c>
      <c r="O59" s="39">
        <f t="shared" ref="O59:O80" si="17">N59*(SUM($L$35:$M$35))</f>
        <v>432000000</v>
      </c>
      <c r="P59" s="81">
        <f t="shared" ref="P59:P80" si="18">K59+M59+O59</f>
        <v>900000000</v>
      </c>
    </row>
    <row r="60" spans="2:22" s="2" customFormat="1" ht="78" customHeight="1">
      <c r="B60" s="59">
        <v>3</v>
      </c>
      <c r="C60" s="67" t="s">
        <v>1149</v>
      </c>
      <c r="D60" s="196" t="s">
        <v>1152</v>
      </c>
      <c r="E60" s="196" t="s">
        <v>1152</v>
      </c>
      <c r="F60" s="76">
        <v>41</v>
      </c>
      <c r="G60" s="54">
        <v>2500000</v>
      </c>
      <c r="H60" s="54">
        <v>2500000</v>
      </c>
      <c r="I60" s="54">
        <v>2500000</v>
      </c>
      <c r="J60" s="39">
        <f t="shared" si="12"/>
        <v>102500000</v>
      </c>
      <c r="K60" s="39">
        <f t="shared" si="13"/>
        <v>102500000</v>
      </c>
      <c r="L60" s="39">
        <f t="shared" si="14"/>
        <v>102500000</v>
      </c>
      <c r="M60" s="39">
        <f t="shared" si="15"/>
        <v>1230000000</v>
      </c>
      <c r="N60" s="39">
        <f t="shared" si="16"/>
        <v>102500000</v>
      </c>
      <c r="O60" s="39">
        <f t="shared" si="17"/>
        <v>1230000000</v>
      </c>
      <c r="P60" s="81">
        <f t="shared" si="18"/>
        <v>2562500000</v>
      </c>
    </row>
    <row r="61" spans="2:22" s="2" customFormat="1" ht="78" customHeight="1">
      <c r="B61" s="59">
        <v>4</v>
      </c>
      <c r="C61" s="67" t="s">
        <v>1149</v>
      </c>
      <c r="D61" s="196" t="s">
        <v>1153</v>
      </c>
      <c r="E61" s="196" t="s">
        <v>1153</v>
      </c>
      <c r="F61" s="76">
        <v>71</v>
      </c>
      <c r="G61" s="54">
        <v>2400000</v>
      </c>
      <c r="H61" s="54">
        <v>2400000</v>
      </c>
      <c r="I61" s="54">
        <v>2400000</v>
      </c>
      <c r="J61" s="39">
        <f t="shared" si="12"/>
        <v>170400000</v>
      </c>
      <c r="K61" s="39">
        <f t="shared" si="13"/>
        <v>170400000</v>
      </c>
      <c r="L61" s="39">
        <f t="shared" si="14"/>
        <v>170400000</v>
      </c>
      <c r="M61" s="39">
        <f t="shared" si="15"/>
        <v>2044800000</v>
      </c>
      <c r="N61" s="39">
        <f t="shared" si="16"/>
        <v>170400000</v>
      </c>
      <c r="O61" s="39">
        <f t="shared" si="17"/>
        <v>2044800000</v>
      </c>
      <c r="P61" s="81">
        <f t="shared" si="18"/>
        <v>4260000000</v>
      </c>
    </row>
    <row r="62" spans="2:22" s="2" customFormat="1" ht="78" customHeight="1">
      <c r="B62" s="59">
        <v>5</v>
      </c>
      <c r="C62" s="67" t="s">
        <v>1149</v>
      </c>
      <c r="D62" s="196" t="s">
        <v>1154</v>
      </c>
      <c r="E62" s="196" t="s">
        <v>1154</v>
      </c>
      <c r="F62" s="76">
        <v>4</v>
      </c>
      <c r="G62" s="54">
        <v>35420000</v>
      </c>
      <c r="H62" s="54">
        <v>35420000</v>
      </c>
      <c r="I62" s="54">
        <v>35420000</v>
      </c>
      <c r="J62" s="39">
        <f t="shared" si="12"/>
        <v>141680000</v>
      </c>
      <c r="K62" s="39">
        <f t="shared" si="13"/>
        <v>141680000</v>
      </c>
      <c r="L62" s="39">
        <f t="shared" si="14"/>
        <v>141680000</v>
      </c>
      <c r="M62" s="39">
        <f t="shared" si="15"/>
        <v>1700160000</v>
      </c>
      <c r="N62" s="39">
        <f t="shared" si="16"/>
        <v>141680000</v>
      </c>
      <c r="O62" s="39">
        <f t="shared" si="17"/>
        <v>1700160000</v>
      </c>
      <c r="P62" s="81">
        <f t="shared" si="18"/>
        <v>3542000000</v>
      </c>
    </row>
    <row r="63" spans="2:22" s="2" customFormat="1" ht="71.25" customHeight="1">
      <c r="B63" s="59">
        <v>6</v>
      </c>
      <c r="C63" s="67" t="s">
        <v>1155</v>
      </c>
      <c r="D63" s="196" t="s">
        <v>1156</v>
      </c>
      <c r="E63" s="196"/>
      <c r="F63" s="76">
        <v>34</v>
      </c>
      <c r="G63" s="54">
        <v>750000</v>
      </c>
      <c r="H63" s="54">
        <v>750000</v>
      </c>
      <c r="I63" s="54">
        <v>750000</v>
      </c>
      <c r="J63" s="39">
        <f t="shared" si="12"/>
        <v>25500000</v>
      </c>
      <c r="K63" s="39">
        <f t="shared" si="13"/>
        <v>25500000</v>
      </c>
      <c r="L63" s="39">
        <f t="shared" si="14"/>
        <v>25500000</v>
      </c>
      <c r="M63" s="39">
        <f t="shared" si="15"/>
        <v>306000000</v>
      </c>
      <c r="N63" s="39">
        <f t="shared" si="16"/>
        <v>25500000</v>
      </c>
      <c r="O63" s="39">
        <f t="shared" si="17"/>
        <v>306000000</v>
      </c>
      <c r="P63" s="81">
        <f t="shared" si="18"/>
        <v>637500000</v>
      </c>
    </row>
    <row r="64" spans="2:22" s="2" customFormat="1" ht="71.25" customHeight="1">
      <c r="B64" s="59">
        <v>7</v>
      </c>
      <c r="C64" s="67" t="s">
        <v>1155</v>
      </c>
      <c r="D64" s="196" t="s">
        <v>1157</v>
      </c>
      <c r="E64" s="196" t="s">
        <v>127</v>
      </c>
      <c r="F64" s="76">
        <v>8</v>
      </c>
      <c r="G64" s="54">
        <v>3120000</v>
      </c>
      <c r="H64" s="54">
        <v>3120000</v>
      </c>
      <c r="I64" s="54">
        <v>3120000</v>
      </c>
      <c r="J64" s="39">
        <f t="shared" si="12"/>
        <v>24960000</v>
      </c>
      <c r="K64" s="39">
        <f t="shared" si="13"/>
        <v>24960000</v>
      </c>
      <c r="L64" s="39">
        <f t="shared" si="14"/>
        <v>24960000</v>
      </c>
      <c r="M64" s="39">
        <f t="shared" si="15"/>
        <v>299520000</v>
      </c>
      <c r="N64" s="39">
        <f t="shared" si="16"/>
        <v>24960000</v>
      </c>
      <c r="O64" s="39">
        <f t="shared" si="17"/>
        <v>299520000</v>
      </c>
      <c r="P64" s="81">
        <f t="shared" si="18"/>
        <v>624000000</v>
      </c>
    </row>
    <row r="65" spans="2:16" s="2" customFormat="1" ht="71.25" customHeight="1">
      <c r="B65" s="59">
        <v>8</v>
      </c>
      <c r="C65" s="67" t="s">
        <v>1155</v>
      </c>
      <c r="D65" s="196" t="s">
        <v>1158</v>
      </c>
      <c r="E65" s="196" t="s">
        <v>128</v>
      </c>
      <c r="F65" s="76">
        <v>7</v>
      </c>
      <c r="G65" s="54">
        <v>1520000</v>
      </c>
      <c r="H65" s="54">
        <v>1520000</v>
      </c>
      <c r="I65" s="54">
        <v>1520000</v>
      </c>
      <c r="J65" s="39">
        <f t="shared" si="12"/>
        <v>10640000</v>
      </c>
      <c r="K65" s="39">
        <f t="shared" si="13"/>
        <v>10640000</v>
      </c>
      <c r="L65" s="39">
        <f t="shared" si="14"/>
        <v>10640000</v>
      </c>
      <c r="M65" s="39">
        <f t="shared" si="15"/>
        <v>127680000</v>
      </c>
      <c r="N65" s="39">
        <f t="shared" si="16"/>
        <v>10640000</v>
      </c>
      <c r="O65" s="39">
        <f t="shared" si="17"/>
        <v>127680000</v>
      </c>
      <c r="P65" s="81">
        <f t="shared" si="18"/>
        <v>266000000</v>
      </c>
    </row>
    <row r="66" spans="2:16" s="2" customFormat="1" ht="71.25" customHeight="1">
      <c r="B66" s="59">
        <v>9</v>
      </c>
      <c r="C66" s="67" t="s">
        <v>1155</v>
      </c>
      <c r="D66" s="196" t="s">
        <v>1159</v>
      </c>
      <c r="E66" s="196" t="s">
        <v>1178</v>
      </c>
      <c r="F66" s="76">
        <v>9</v>
      </c>
      <c r="G66" s="54">
        <v>1458000</v>
      </c>
      <c r="H66" s="54">
        <v>1458000</v>
      </c>
      <c r="I66" s="54">
        <v>1458000</v>
      </c>
      <c r="J66" s="39">
        <f t="shared" si="12"/>
        <v>13122000</v>
      </c>
      <c r="K66" s="39">
        <f t="shared" si="13"/>
        <v>13122000</v>
      </c>
      <c r="L66" s="39">
        <f t="shared" si="14"/>
        <v>13122000</v>
      </c>
      <c r="M66" s="39">
        <f t="shared" si="15"/>
        <v>157464000</v>
      </c>
      <c r="N66" s="39">
        <f t="shared" si="16"/>
        <v>13122000</v>
      </c>
      <c r="O66" s="39">
        <f t="shared" si="17"/>
        <v>157464000</v>
      </c>
      <c r="P66" s="81">
        <f t="shared" si="18"/>
        <v>328050000</v>
      </c>
    </row>
    <row r="67" spans="2:16" s="2" customFormat="1" ht="71.25" customHeight="1">
      <c r="B67" s="59">
        <v>10</v>
      </c>
      <c r="C67" s="67" t="s">
        <v>1155</v>
      </c>
      <c r="D67" s="196" t="s">
        <v>1160</v>
      </c>
      <c r="E67" s="196" t="s">
        <v>1178</v>
      </c>
      <c r="F67" s="76">
        <v>8</v>
      </c>
      <c r="G67" s="54">
        <v>4865000</v>
      </c>
      <c r="H67" s="54">
        <v>4865000</v>
      </c>
      <c r="I67" s="54">
        <v>4865000</v>
      </c>
      <c r="J67" s="39">
        <f t="shared" si="12"/>
        <v>38920000</v>
      </c>
      <c r="K67" s="39">
        <f t="shared" si="13"/>
        <v>38920000</v>
      </c>
      <c r="L67" s="39">
        <f t="shared" si="14"/>
        <v>38920000</v>
      </c>
      <c r="M67" s="39">
        <f t="shared" si="15"/>
        <v>467040000</v>
      </c>
      <c r="N67" s="39">
        <f t="shared" si="16"/>
        <v>38920000</v>
      </c>
      <c r="O67" s="39">
        <f t="shared" si="17"/>
        <v>467040000</v>
      </c>
      <c r="P67" s="81">
        <f t="shared" si="18"/>
        <v>973000000</v>
      </c>
    </row>
    <row r="68" spans="2:16" s="2" customFormat="1" ht="44.25" customHeight="1">
      <c r="B68" s="59">
        <v>11</v>
      </c>
      <c r="C68" s="67" t="s">
        <v>1155</v>
      </c>
      <c r="D68" s="196" t="s">
        <v>1161</v>
      </c>
      <c r="E68" s="196" t="s">
        <v>1178</v>
      </c>
      <c r="F68" s="76">
        <v>77</v>
      </c>
      <c r="G68" s="54">
        <v>1200000</v>
      </c>
      <c r="H68" s="54">
        <v>1200000</v>
      </c>
      <c r="I68" s="54">
        <v>1200000</v>
      </c>
      <c r="J68" s="39">
        <f t="shared" si="12"/>
        <v>92400000</v>
      </c>
      <c r="K68" s="39">
        <f t="shared" si="13"/>
        <v>92400000</v>
      </c>
      <c r="L68" s="39">
        <f t="shared" si="14"/>
        <v>92400000</v>
      </c>
      <c r="M68" s="39">
        <f t="shared" si="15"/>
        <v>1108800000</v>
      </c>
      <c r="N68" s="39">
        <f t="shared" si="16"/>
        <v>92400000</v>
      </c>
      <c r="O68" s="39">
        <f t="shared" si="17"/>
        <v>1108800000</v>
      </c>
      <c r="P68" s="81">
        <f t="shared" si="18"/>
        <v>2310000000</v>
      </c>
    </row>
    <row r="69" spans="2:16" s="2" customFormat="1" ht="44.25" customHeight="1">
      <c r="B69" s="59">
        <v>12</v>
      </c>
      <c r="C69" s="67" t="s">
        <v>1155</v>
      </c>
      <c r="D69" s="196" t="s">
        <v>1162</v>
      </c>
      <c r="E69" s="196" t="s">
        <v>1179</v>
      </c>
      <c r="F69" s="76">
        <v>17</v>
      </c>
      <c r="G69" s="54">
        <v>1145000</v>
      </c>
      <c r="H69" s="54">
        <v>1145000</v>
      </c>
      <c r="I69" s="54">
        <v>1145000</v>
      </c>
      <c r="J69" s="39">
        <f t="shared" si="12"/>
        <v>19465000</v>
      </c>
      <c r="K69" s="39">
        <f t="shared" si="13"/>
        <v>19465000</v>
      </c>
      <c r="L69" s="39">
        <f t="shared" si="14"/>
        <v>19465000</v>
      </c>
      <c r="M69" s="39">
        <f t="shared" si="15"/>
        <v>233580000</v>
      </c>
      <c r="N69" s="39">
        <f t="shared" si="16"/>
        <v>19465000</v>
      </c>
      <c r="O69" s="39">
        <f t="shared" si="17"/>
        <v>233580000</v>
      </c>
      <c r="P69" s="81">
        <f t="shared" si="18"/>
        <v>486625000</v>
      </c>
    </row>
    <row r="70" spans="2:16" s="2" customFormat="1" ht="44.25" customHeight="1">
      <c r="B70" s="59">
        <v>13</v>
      </c>
      <c r="C70" s="67" t="s">
        <v>1155</v>
      </c>
      <c r="D70" s="196" t="s">
        <v>1163</v>
      </c>
      <c r="E70" s="196" t="s">
        <v>129</v>
      </c>
      <c r="F70" s="76">
        <v>12</v>
      </c>
      <c r="G70" s="54">
        <v>1685000</v>
      </c>
      <c r="H70" s="54">
        <v>1685000</v>
      </c>
      <c r="I70" s="54">
        <v>1685000</v>
      </c>
      <c r="J70" s="39">
        <f t="shared" si="12"/>
        <v>20220000</v>
      </c>
      <c r="K70" s="39">
        <f t="shared" si="13"/>
        <v>20220000</v>
      </c>
      <c r="L70" s="39">
        <f t="shared" si="14"/>
        <v>20220000</v>
      </c>
      <c r="M70" s="39">
        <f t="shared" si="15"/>
        <v>242640000</v>
      </c>
      <c r="N70" s="39">
        <f t="shared" si="16"/>
        <v>20220000</v>
      </c>
      <c r="O70" s="39">
        <f t="shared" si="17"/>
        <v>242640000</v>
      </c>
      <c r="P70" s="81">
        <f t="shared" si="18"/>
        <v>505500000</v>
      </c>
    </row>
    <row r="71" spans="2:16" s="2" customFormat="1" ht="44.25" customHeight="1">
      <c r="B71" s="59">
        <v>14</v>
      </c>
      <c r="C71" s="67" t="s">
        <v>1155</v>
      </c>
      <c r="D71" s="196" t="s">
        <v>1164</v>
      </c>
      <c r="E71" s="196" t="s">
        <v>130</v>
      </c>
      <c r="F71" s="76">
        <v>14</v>
      </c>
      <c r="G71" s="54">
        <v>1050000</v>
      </c>
      <c r="H71" s="54">
        <v>1050000</v>
      </c>
      <c r="I71" s="54">
        <v>1050000</v>
      </c>
      <c r="J71" s="39">
        <f t="shared" si="12"/>
        <v>14700000</v>
      </c>
      <c r="K71" s="39">
        <f t="shared" si="13"/>
        <v>14700000</v>
      </c>
      <c r="L71" s="39">
        <f t="shared" si="14"/>
        <v>14700000</v>
      </c>
      <c r="M71" s="39">
        <f t="shared" si="15"/>
        <v>176400000</v>
      </c>
      <c r="N71" s="39">
        <f t="shared" si="16"/>
        <v>14700000</v>
      </c>
      <c r="O71" s="39">
        <f t="shared" si="17"/>
        <v>176400000</v>
      </c>
      <c r="P71" s="81">
        <f t="shared" si="18"/>
        <v>367500000</v>
      </c>
    </row>
    <row r="72" spans="2:16" s="2" customFormat="1" ht="44.25" customHeight="1">
      <c r="B72" s="59">
        <v>15</v>
      </c>
      <c r="C72" s="67" t="s">
        <v>1155</v>
      </c>
      <c r="D72" s="196" t="s">
        <v>1165</v>
      </c>
      <c r="E72" s="196" t="s">
        <v>131</v>
      </c>
      <c r="F72" s="76">
        <v>1</v>
      </c>
      <c r="G72" s="54">
        <v>1100200</v>
      </c>
      <c r="H72" s="54">
        <v>1100200</v>
      </c>
      <c r="I72" s="54">
        <v>1100200</v>
      </c>
      <c r="J72" s="39">
        <f t="shared" si="12"/>
        <v>1100200</v>
      </c>
      <c r="K72" s="39">
        <f t="shared" si="13"/>
        <v>1100200</v>
      </c>
      <c r="L72" s="39">
        <f t="shared" si="14"/>
        <v>1100200</v>
      </c>
      <c r="M72" s="39">
        <f t="shared" si="15"/>
        <v>13202400</v>
      </c>
      <c r="N72" s="39">
        <f t="shared" si="16"/>
        <v>1100200</v>
      </c>
      <c r="O72" s="39">
        <f t="shared" si="17"/>
        <v>13202400</v>
      </c>
      <c r="P72" s="81">
        <f t="shared" si="18"/>
        <v>27505000</v>
      </c>
    </row>
    <row r="73" spans="2:16" s="2" customFormat="1" ht="61.5" customHeight="1">
      <c r="B73" s="59">
        <v>16</v>
      </c>
      <c r="C73" s="67" t="s">
        <v>1155</v>
      </c>
      <c r="D73" s="196" t="s">
        <v>1166</v>
      </c>
      <c r="E73" s="196" t="s">
        <v>132</v>
      </c>
      <c r="F73" s="76">
        <v>3</v>
      </c>
      <c r="G73" s="54">
        <v>4875000</v>
      </c>
      <c r="H73" s="54">
        <v>4875000</v>
      </c>
      <c r="I73" s="54">
        <v>4875000</v>
      </c>
      <c r="J73" s="39">
        <f t="shared" si="12"/>
        <v>14625000</v>
      </c>
      <c r="K73" s="39">
        <f t="shared" si="13"/>
        <v>14625000</v>
      </c>
      <c r="L73" s="39">
        <f t="shared" si="14"/>
        <v>14625000</v>
      </c>
      <c r="M73" s="39">
        <f t="shared" si="15"/>
        <v>175500000</v>
      </c>
      <c r="N73" s="39">
        <f t="shared" si="16"/>
        <v>14625000</v>
      </c>
      <c r="O73" s="39">
        <f t="shared" si="17"/>
        <v>175500000</v>
      </c>
      <c r="P73" s="81">
        <f t="shared" si="18"/>
        <v>365625000</v>
      </c>
    </row>
    <row r="74" spans="2:16" s="2" customFormat="1" ht="44.25" customHeight="1">
      <c r="B74" s="59">
        <v>17</v>
      </c>
      <c r="C74" s="67" t="s">
        <v>1167</v>
      </c>
      <c r="D74" s="196" t="s">
        <v>1168</v>
      </c>
      <c r="E74" s="196"/>
      <c r="F74" s="76">
        <v>5</v>
      </c>
      <c r="G74" s="54">
        <v>6587000</v>
      </c>
      <c r="H74" s="54">
        <v>6587000</v>
      </c>
      <c r="I74" s="54">
        <v>6587000</v>
      </c>
      <c r="J74" s="39">
        <f t="shared" si="12"/>
        <v>32935000</v>
      </c>
      <c r="K74" s="39">
        <f t="shared" si="13"/>
        <v>32935000</v>
      </c>
      <c r="L74" s="39">
        <f t="shared" si="14"/>
        <v>32935000</v>
      </c>
      <c r="M74" s="39">
        <f t="shared" si="15"/>
        <v>395220000</v>
      </c>
      <c r="N74" s="39">
        <f t="shared" si="16"/>
        <v>32935000</v>
      </c>
      <c r="O74" s="39">
        <f t="shared" si="17"/>
        <v>395220000</v>
      </c>
      <c r="P74" s="81">
        <f t="shared" si="18"/>
        <v>823375000</v>
      </c>
    </row>
    <row r="75" spans="2:16" s="2" customFormat="1" ht="44.25" customHeight="1">
      <c r="B75" s="59">
        <v>18</v>
      </c>
      <c r="C75" s="67" t="s">
        <v>1167</v>
      </c>
      <c r="D75" s="196" t="s">
        <v>1169</v>
      </c>
      <c r="E75" s="196" t="s">
        <v>1169</v>
      </c>
      <c r="F75" s="76">
        <v>34</v>
      </c>
      <c r="G75" s="54">
        <v>1587000</v>
      </c>
      <c r="H75" s="54">
        <v>1587000</v>
      </c>
      <c r="I75" s="54">
        <v>1587000</v>
      </c>
      <c r="J75" s="39">
        <f t="shared" si="12"/>
        <v>53958000</v>
      </c>
      <c r="K75" s="39">
        <f t="shared" si="13"/>
        <v>53958000</v>
      </c>
      <c r="L75" s="39">
        <f t="shared" si="14"/>
        <v>53958000</v>
      </c>
      <c r="M75" s="39">
        <f t="shared" si="15"/>
        <v>647496000</v>
      </c>
      <c r="N75" s="39">
        <f t="shared" si="16"/>
        <v>53958000</v>
      </c>
      <c r="O75" s="39">
        <f t="shared" si="17"/>
        <v>647496000</v>
      </c>
      <c r="P75" s="81">
        <f t="shared" si="18"/>
        <v>1348950000</v>
      </c>
    </row>
    <row r="76" spans="2:16" s="2" customFormat="1" ht="44.25" customHeight="1">
      <c r="B76" s="59">
        <v>19</v>
      </c>
      <c r="C76" s="67" t="s">
        <v>1170</v>
      </c>
      <c r="D76" s="196" t="s">
        <v>1171</v>
      </c>
      <c r="E76" s="196"/>
      <c r="F76" s="76">
        <v>22</v>
      </c>
      <c r="G76" s="54">
        <v>1985000</v>
      </c>
      <c r="H76" s="54">
        <v>1985000</v>
      </c>
      <c r="I76" s="54">
        <v>1985000</v>
      </c>
      <c r="J76" s="39">
        <f t="shared" si="12"/>
        <v>43670000</v>
      </c>
      <c r="K76" s="39">
        <f t="shared" si="13"/>
        <v>43670000</v>
      </c>
      <c r="L76" s="39">
        <f t="shared" si="14"/>
        <v>43670000</v>
      </c>
      <c r="M76" s="39">
        <f t="shared" si="15"/>
        <v>524040000</v>
      </c>
      <c r="N76" s="39">
        <f t="shared" si="16"/>
        <v>43670000</v>
      </c>
      <c r="O76" s="39">
        <f t="shared" si="17"/>
        <v>524040000</v>
      </c>
      <c r="P76" s="81">
        <f t="shared" si="18"/>
        <v>1091750000</v>
      </c>
    </row>
    <row r="77" spans="2:16" s="2" customFormat="1" ht="44.25" customHeight="1">
      <c r="B77" s="59">
        <v>20</v>
      </c>
      <c r="C77" s="67" t="s">
        <v>1170</v>
      </c>
      <c r="D77" s="196" t="s">
        <v>1172</v>
      </c>
      <c r="E77" s="196" t="s">
        <v>1172</v>
      </c>
      <c r="F77" s="76">
        <v>8</v>
      </c>
      <c r="G77" s="54">
        <v>7850000</v>
      </c>
      <c r="H77" s="54">
        <v>7850000</v>
      </c>
      <c r="I77" s="54">
        <v>7850000</v>
      </c>
      <c r="J77" s="39">
        <f t="shared" si="12"/>
        <v>62800000</v>
      </c>
      <c r="K77" s="39">
        <f t="shared" si="13"/>
        <v>62800000</v>
      </c>
      <c r="L77" s="39">
        <f t="shared" si="14"/>
        <v>62800000</v>
      </c>
      <c r="M77" s="39">
        <f t="shared" si="15"/>
        <v>753600000</v>
      </c>
      <c r="N77" s="39">
        <f t="shared" si="16"/>
        <v>62800000</v>
      </c>
      <c r="O77" s="39">
        <f t="shared" si="17"/>
        <v>753600000</v>
      </c>
      <c r="P77" s="81">
        <f t="shared" si="18"/>
        <v>1570000000</v>
      </c>
    </row>
    <row r="78" spans="2:16" s="2" customFormat="1" ht="44.25" customHeight="1">
      <c r="B78" s="59">
        <v>21</v>
      </c>
      <c r="C78" s="67" t="s">
        <v>1170</v>
      </c>
      <c r="D78" s="196" t="s">
        <v>1173</v>
      </c>
      <c r="E78" s="196" t="s">
        <v>1173</v>
      </c>
      <c r="F78" s="76">
        <v>15</v>
      </c>
      <c r="G78" s="54">
        <v>987000</v>
      </c>
      <c r="H78" s="54">
        <v>987000</v>
      </c>
      <c r="I78" s="54">
        <v>987000</v>
      </c>
      <c r="J78" s="39">
        <f t="shared" si="12"/>
        <v>14805000</v>
      </c>
      <c r="K78" s="39">
        <f t="shared" si="13"/>
        <v>14805000</v>
      </c>
      <c r="L78" s="39">
        <f t="shared" si="14"/>
        <v>14805000</v>
      </c>
      <c r="M78" s="39">
        <f t="shared" si="15"/>
        <v>177660000</v>
      </c>
      <c r="N78" s="39">
        <f t="shared" si="16"/>
        <v>14805000</v>
      </c>
      <c r="O78" s="39">
        <f t="shared" si="17"/>
        <v>177660000</v>
      </c>
      <c r="P78" s="81">
        <f t="shared" si="18"/>
        <v>370125000</v>
      </c>
    </row>
    <row r="79" spans="2:16" s="2" customFormat="1" ht="44.25" customHeight="1">
      <c r="B79" s="59">
        <v>22</v>
      </c>
      <c r="C79" s="67" t="s">
        <v>1170</v>
      </c>
      <c r="D79" s="196" t="s">
        <v>1174</v>
      </c>
      <c r="E79" s="196" t="s">
        <v>1174</v>
      </c>
      <c r="F79" s="76">
        <v>9</v>
      </c>
      <c r="G79" s="54">
        <v>864500</v>
      </c>
      <c r="H79" s="54">
        <v>864500</v>
      </c>
      <c r="I79" s="54">
        <v>864500</v>
      </c>
      <c r="J79" s="39">
        <f t="shared" si="12"/>
        <v>7780500</v>
      </c>
      <c r="K79" s="39">
        <f t="shared" si="13"/>
        <v>7780500</v>
      </c>
      <c r="L79" s="39">
        <f t="shared" si="14"/>
        <v>7780500</v>
      </c>
      <c r="M79" s="39">
        <f t="shared" si="15"/>
        <v>93366000</v>
      </c>
      <c r="N79" s="39">
        <f t="shared" si="16"/>
        <v>7780500</v>
      </c>
      <c r="O79" s="39">
        <f t="shared" si="17"/>
        <v>93366000</v>
      </c>
      <c r="P79" s="81">
        <f t="shared" si="18"/>
        <v>194512500</v>
      </c>
    </row>
    <row r="80" spans="2:16" s="2" customFormat="1" ht="44.25" customHeight="1">
      <c r="B80" s="59">
        <v>23</v>
      </c>
      <c r="C80" s="67" t="s">
        <v>1170</v>
      </c>
      <c r="D80" s="196" t="s">
        <v>1175</v>
      </c>
      <c r="E80" s="196"/>
      <c r="F80" s="76">
        <v>1</v>
      </c>
      <c r="G80" s="54">
        <v>2352000</v>
      </c>
      <c r="H80" s="54">
        <v>2352000</v>
      </c>
      <c r="I80" s="54">
        <v>2352000</v>
      </c>
      <c r="J80" s="39">
        <f t="shared" si="12"/>
        <v>2352000</v>
      </c>
      <c r="K80" s="39">
        <f t="shared" si="13"/>
        <v>2352000</v>
      </c>
      <c r="L80" s="39">
        <f t="shared" si="14"/>
        <v>2352000</v>
      </c>
      <c r="M80" s="39">
        <f t="shared" si="15"/>
        <v>28224000</v>
      </c>
      <c r="N80" s="39">
        <f t="shared" si="16"/>
        <v>2352000</v>
      </c>
      <c r="O80" s="39">
        <f t="shared" si="17"/>
        <v>28224000</v>
      </c>
      <c r="P80" s="81">
        <f t="shared" si="18"/>
        <v>58800000</v>
      </c>
    </row>
    <row r="81" spans="2:16" s="2" customFormat="1" ht="24.75" customHeight="1">
      <c r="B81" s="201" t="s">
        <v>1224</v>
      </c>
      <c r="C81" s="201"/>
      <c r="D81" s="201"/>
      <c r="E81" s="201"/>
      <c r="F81" s="201"/>
      <c r="G81" s="201"/>
      <c r="H81" s="201"/>
      <c r="I81" s="201"/>
      <c r="J81" s="201"/>
      <c r="K81" s="201"/>
      <c r="L81" s="201"/>
      <c r="M81" s="201"/>
      <c r="N81" s="201"/>
      <c r="O81" s="201"/>
      <c r="P81" s="81">
        <f>SUM(P58:P80)</f>
        <v>24853317500</v>
      </c>
    </row>
    <row r="82" spans="2:16" s="2" customFormat="1">
      <c r="C82" s="4"/>
      <c r="D82" s="4"/>
      <c r="E82" s="4"/>
      <c r="F82" s="4"/>
      <c r="G82" s="99">
        <f>SUM(G58:G80)</f>
        <v>96000700</v>
      </c>
      <c r="H82" s="99">
        <f>SUM(H58:H80)</f>
        <v>96000700</v>
      </c>
      <c r="I82" s="99">
        <f>SUM(I58:I80)</f>
        <v>96000700</v>
      </c>
    </row>
    <row r="83" spans="2:16" s="2" customFormat="1">
      <c r="C83" s="4"/>
      <c r="D83" s="4"/>
      <c r="E83" s="4"/>
      <c r="F83" s="4"/>
      <c r="G83" s="4"/>
      <c r="H83" s="4"/>
    </row>
    <row r="84" spans="2:16" s="2" customFormat="1">
      <c r="C84" s="4"/>
      <c r="D84" s="4"/>
      <c r="E84" s="4"/>
      <c r="F84" s="4"/>
      <c r="G84" s="4"/>
      <c r="H84" s="4"/>
    </row>
    <row r="85" spans="2:16" s="2" customFormat="1" ht="29.25" customHeight="1">
      <c r="B85" s="171" t="s">
        <v>1184</v>
      </c>
      <c r="C85" s="172"/>
      <c r="D85" s="172"/>
      <c r="E85" s="172"/>
      <c r="F85" s="172"/>
      <c r="G85" s="172"/>
      <c r="H85" s="172"/>
      <c r="I85" s="172"/>
      <c r="J85" s="197"/>
    </row>
    <row r="86" spans="2:16" s="2" customFormat="1" ht="29.25" customHeight="1">
      <c r="C86" s="4"/>
      <c r="D86" s="4"/>
      <c r="E86" s="4"/>
      <c r="F86" s="4"/>
      <c r="G86" s="4"/>
      <c r="H86" s="4"/>
    </row>
    <row r="87" spans="2:16" s="2" customFormat="1" ht="29.25" customHeight="1">
      <c r="B87" s="198" t="s">
        <v>1185</v>
      </c>
      <c r="C87" s="198"/>
      <c r="D87" s="198"/>
      <c r="E87" s="198"/>
      <c r="F87" s="198"/>
      <c r="G87"/>
      <c r="H87"/>
      <c r="I87"/>
      <c r="J87"/>
    </row>
    <row r="88" spans="2:16" s="2" customFormat="1" ht="29.25" customHeight="1">
      <c r="C88" s="4"/>
      <c r="D88" s="4"/>
      <c r="E88" s="4"/>
      <c r="F88" s="4"/>
      <c r="G88" s="4"/>
      <c r="H88" s="4"/>
    </row>
    <row r="89" spans="2:16" s="2" customFormat="1" ht="29.25" customHeight="1">
      <c r="B89" s="199" t="s">
        <v>133</v>
      </c>
      <c r="C89" s="199"/>
      <c r="D89" s="199"/>
      <c r="E89" s="77" t="s">
        <v>121</v>
      </c>
    </row>
    <row r="90" spans="2:16" s="2" customFormat="1" ht="29.25" customHeight="1">
      <c r="B90" s="180" t="s">
        <v>134</v>
      </c>
      <c r="C90" s="181"/>
      <c r="D90" s="182"/>
      <c r="E90" s="78">
        <f>SUM(V45:V50)</f>
        <v>6414452575</v>
      </c>
    </row>
    <row r="91" spans="2:16" s="2" customFormat="1" ht="29.25" customHeight="1">
      <c r="B91" s="180" t="s">
        <v>135</v>
      </c>
      <c r="C91" s="181"/>
      <c r="D91" s="182"/>
      <c r="E91" s="78">
        <f>SUM(P58:P80)</f>
        <v>24853317500</v>
      </c>
    </row>
    <row r="92" spans="2:16" s="2" customFormat="1" ht="29.25" customHeight="1">
      <c r="B92" s="180" t="s">
        <v>136</v>
      </c>
      <c r="C92" s="181"/>
      <c r="D92" s="182"/>
      <c r="E92" s="78">
        <f>E90+E91</f>
        <v>31267770075</v>
      </c>
    </row>
    <row r="93" spans="2:16" s="2" customFormat="1" ht="29.25" customHeight="1">
      <c r="B93" s="183" t="s">
        <v>1195</v>
      </c>
      <c r="C93" s="183"/>
      <c r="D93" s="55">
        <v>0.1</v>
      </c>
      <c r="E93" s="78">
        <f>ROUND((E92)*D93,0)</f>
        <v>3126777008</v>
      </c>
      <c r="G93" s="70"/>
    </row>
    <row r="94" spans="2:16" s="2" customFormat="1" ht="29.25" customHeight="1">
      <c r="B94" s="183" t="s">
        <v>137</v>
      </c>
      <c r="C94" s="183"/>
      <c r="D94" s="56">
        <v>0.19</v>
      </c>
      <c r="E94" s="78">
        <f>ROUND(E93*D94,0)</f>
        <v>594087632</v>
      </c>
      <c r="G94" s="70"/>
    </row>
    <row r="95" spans="2:16" s="2" customFormat="1" ht="29.25" customHeight="1">
      <c r="B95" s="173" t="s">
        <v>1203</v>
      </c>
      <c r="C95" s="184"/>
      <c r="D95" s="185"/>
      <c r="E95" s="79">
        <f>E92+E94</f>
        <v>31861857707</v>
      </c>
      <c r="G95" s="70"/>
    </row>
    <row r="96" spans="2:16" s="2" customFormat="1">
      <c r="C96" s="4"/>
      <c r="D96" s="4"/>
      <c r="E96" s="4"/>
      <c r="G96" s="4"/>
    </row>
    <row r="97" spans="2:9" s="2" customFormat="1">
      <c r="C97" s="4"/>
      <c r="D97" s="4"/>
      <c r="E97" s="4"/>
      <c r="F97" s="4"/>
      <c r="G97" s="4"/>
      <c r="H97" s="4"/>
    </row>
    <row r="98" spans="2:9" ht="27.75" customHeight="1">
      <c r="B98" s="260" t="s">
        <v>83</v>
      </c>
      <c r="C98" s="260"/>
      <c r="D98" s="260"/>
      <c r="E98" s="260"/>
      <c r="F98" s="260"/>
      <c r="G98" s="260"/>
      <c r="H98" s="260"/>
      <c r="I98" s="260"/>
    </row>
    <row r="99" spans="2:9" ht="63.75" customHeight="1">
      <c r="B99" s="259" t="s">
        <v>1225</v>
      </c>
      <c r="C99" s="259"/>
      <c r="D99" s="259"/>
      <c r="E99" s="259"/>
      <c r="F99" s="259"/>
      <c r="G99" s="259"/>
      <c r="H99" s="259"/>
      <c r="I99" s="259"/>
    </row>
    <row r="100" spans="2:9" ht="52.5" customHeight="1">
      <c r="B100" s="259" t="s">
        <v>1186</v>
      </c>
      <c r="C100" s="259"/>
      <c r="D100" s="259"/>
      <c r="E100" s="259"/>
      <c r="F100" s="259"/>
      <c r="G100" s="259"/>
      <c r="H100" s="259"/>
      <c r="I100" s="259"/>
    </row>
    <row r="101" spans="2:9"/>
    <row r="102" spans="2:9"/>
    <row r="103" spans="2:9"/>
    <row r="104" spans="2:9"/>
    <row r="105" spans="2:9"/>
    <row r="106" spans="2:9"/>
    <row r="107" spans="2:9"/>
    <row r="108" spans="2:9"/>
    <row r="109" spans="2:9"/>
  </sheetData>
  <mergeCells count="72">
    <mergeCell ref="D58:E58"/>
    <mergeCell ref="D59:E59"/>
    <mergeCell ref="D60:E60"/>
    <mergeCell ref="D61:E61"/>
    <mergeCell ref="D62:E62"/>
    <mergeCell ref="D63:E63"/>
    <mergeCell ref="D73:E73"/>
    <mergeCell ref="D74:E74"/>
    <mergeCell ref="D75:E75"/>
    <mergeCell ref="D76:E76"/>
    <mergeCell ref="D65:E65"/>
    <mergeCell ref="D66:E66"/>
    <mergeCell ref="D72:E72"/>
    <mergeCell ref="R43:S43"/>
    <mergeCell ref="T43:U43"/>
    <mergeCell ref="B51:U51"/>
    <mergeCell ref="B32:M32"/>
    <mergeCell ref="B38:V38"/>
    <mergeCell ref="B43:E43"/>
    <mergeCell ref="B41:V41"/>
    <mergeCell ref="L43:M43"/>
    <mergeCell ref="F56:P56"/>
    <mergeCell ref="D57:E57"/>
    <mergeCell ref="B23:B30"/>
    <mergeCell ref="C23:F23"/>
    <mergeCell ref="P43:Q43"/>
    <mergeCell ref="B56:E56"/>
    <mergeCell ref="B7:C7"/>
    <mergeCell ref="D7:L7"/>
    <mergeCell ref="C20:E20"/>
    <mergeCell ref="B2:K4"/>
    <mergeCell ref="L2:L4"/>
    <mergeCell ref="B6:L6"/>
    <mergeCell ref="C8:D8"/>
    <mergeCell ref="I8:J8"/>
    <mergeCell ref="K8:L8"/>
    <mergeCell ref="C9:E9"/>
    <mergeCell ref="G9:H9"/>
    <mergeCell ref="B13:L13"/>
    <mergeCell ref="B15:L15"/>
    <mergeCell ref="B92:D92"/>
    <mergeCell ref="N43:O43"/>
    <mergeCell ref="M20:N22"/>
    <mergeCell ref="B99:I99"/>
    <mergeCell ref="B17:L17"/>
    <mergeCell ref="F43:K43"/>
    <mergeCell ref="D71:E71"/>
    <mergeCell ref="D64:E64"/>
    <mergeCell ref="D67:E67"/>
    <mergeCell ref="D68:E68"/>
    <mergeCell ref="D69:E69"/>
    <mergeCell ref="D70:E70"/>
    <mergeCell ref="F35:G35"/>
    <mergeCell ref="F36:G36"/>
    <mergeCell ref="C21:E21"/>
    <mergeCell ref="B54:V54"/>
    <mergeCell ref="P2:P4"/>
    <mergeCell ref="B100:I100"/>
    <mergeCell ref="D77:E77"/>
    <mergeCell ref="D78:E78"/>
    <mergeCell ref="D79:E79"/>
    <mergeCell ref="D80:E80"/>
    <mergeCell ref="B81:O81"/>
    <mergeCell ref="B93:C93"/>
    <mergeCell ref="B94:C94"/>
    <mergeCell ref="B95:D95"/>
    <mergeCell ref="B85:J85"/>
    <mergeCell ref="B98:I98"/>
    <mergeCell ref="B87:F87"/>
    <mergeCell ref="B89:D89"/>
    <mergeCell ref="B90:D90"/>
    <mergeCell ref="B91:D91"/>
  </mergeCells>
  <phoneticPr fontId="27" type="noConversion"/>
  <dataValidations disablePrompts="1" count="2">
    <dataValidation type="list" allowBlank="1" showInputMessage="1" showErrorMessage="1" sqref="F20" xr:uid="{00000000-0002-0000-0400-000000000000}">
      <formula1>"EMPRESA, COOPERATIVA"</formula1>
    </dataValidation>
    <dataValidation type="decimal" allowBlank="1" showInputMessage="1" showErrorMessage="1" error="Tener en cuenta que las cooperativas de vigilancia y seguridad privada, podrán descontar del valor de la tarifa hasta el diez por ciento (10%)," sqref="F21" xr:uid="{00000000-0002-0000-0400-000001000000}">
      <formula1>0</formula1>
      <formula2>0.1</formula2>
    </dataValidation>
  </dataValidations>
  <pageMargins left="0.70866141732283472" right="0.70866141732283472" top="0.74803149606299213" bottom="0.74803149606299213" header="0.31496062992125984" footer="0.31496062992125984"/>
  <pageSetup scale="43" orientation="portrait" r:id="rId1"/>
  <headerFooter>
    <oddFooter xml:space="preserve">&amp;C&amp;P/&amp;N
</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877E19-FCB3-4BAF-8B4E-E5F44BD9030E}">
  <sheetPr>
    <tabColor rgb="FFFFFFCC"/>
  </sheetPr>
  <dimension ref="A1:Y100"/>
  <sheetViews>
    <sheetView showGridLines="0" topLeftCell="A15" zoomScale="55" zoomScaleNormal="55" zoomScaleSheetLayoutView="90" workbookViewId="0">
      <selection activeCell="G45" sqref="G45:K50"/>
    </sheetView>
  </sheetViews>
  <sheetFormatPr baseColWidth="10" defaultColWidth="0" defaultRowHeight="12.65" customHeight="1" zeroHeight="1"/>
  <cols>
    <col min="1" max="1" width="2" style="4" customWidth="1"/>
    <col min="2" max="2" width="13.81640625" style="4" customWidth="1"/>
    <col min="3" max="3" width="30" style="4" customWidth="1"/>
    <col min="4" max="4" width="25.81640625" style="4" customWidth="1"/>
    <col min="5" max="5" width="32.1796875" style="5" customWidth="1"/>
    <col min="6" max="6" width="15.7265625" style="5" customWidth="1"/>
    <col min="7" max="7" width="24.1796875" style="4" customWidth="1"/>
    <col min="8" max="8" width="23.54296875" style="4" customWidth="1"/>
    <col min="9" max="9" width="22.26953125" style="4" customWidth="1"/>
    <col min="10" max="10" width="21.54296875" style="4" customWidth="1"/>
    <col min="11" max="11" width="23.1796875" style="4" customWidth="1"/>
    <col min="12" max="12" width="20.81640625" style="4" customWidth="1"/>
    <col min="13" max="13" width="23.7265625" style="4" customWidth="1"/>
    <col min="14" max="14" width="21" style="4" customWidth="1"/>
    <col min="15" max="15" width="22.81640625" style="4" customWidth="1"/>
    <col min="16" max="16" width="23.7265625" style="4" customWidth="1"/>
    <col min="17" max="21" width="18.1796875" style="4" customWidth="1"/>
    <col min="22" max="23" width="18.54296875" style="4" customWidth="1"/>
    <col min="24" max="25" width="18.54296875" style="4" hidden="1" customWidth="1"/>
    <col min="26" max="16384" width="11.453125" style="4" hidden="1"/>
  </cols>
  <sheetData>
    <row r="1" spans="2:12" s="2" customFormat="1" ht="12.75" customHeight="1">
      <c r="E1" s="3"/>
      <c r="F1" s="3"/>
    </row>
    <row r="2" spans="2:12" s="2" customFormat="1" ht="21.75" customHeight="1">
      <c r="B2" s="268" t="s">
        <v>81</v>
      </c>
      <c r="C2" s="269"/>
      <c r="D2" s="269"/>
      <c r="E2" s="269"/>
      <c r="F2" s="269"/>
      <c r="G2" s="269"/>
      <c r="H2" s="269"/>
      <c r="I2" s="269"/>
      <c r="J2" s="269"/>
      <c r="K2" s="270"/>
      <c r="L2" s="257" t="s">
        <v>0</v>
      </c>
    </row>
    <row r="3" spans="2:12" s="2" customFormat="1" ht="21.75" customHeight="1">
      <c r="B3" s="271"/>
      <c r="C3" s="272"/>
      <c r="D3" s="272"/>
      <c r="E3" s="272"/>
      <c r="F3" s="272"/>
      <c r="G3" s="272"/>
      <c r="H3" s="272"/>
      <c r="I3" s="272"/>
      <c r="J3" s="272"/>
      <c r="K3" s="273"/>
      <c r="L3" s="257"/>
    </row>
    <row r="4" spans="2:12" s="2" customFormat="1" ht="21.75" customHeight="1">
      <c r="B4" s="274"/>
      <c r="C4" s="275"/>
      <c r="D4" s="275"/>
      <c r="E4" s="275"/>
      <c r="F4" s="275"/>
      <c r="G4" s="275"/>
      <c r="H4" s="275"/>
      <c r="I4" s="275"/>
      <c r="J4" s="275"/>
      <c r="K4" s="276"/>
      <c r="L4" s="257"/>
    </row>
    <row r="5" spans="2:12" s="2" customFormat="1" ht="5.25" customHeight="1">
      <c r="E5" s="3"/>
      <c r="F5" s="3"/>
    </row>
    <row r="6" spans="2:12" s="2" customFormat="1" ht="15.75" customHeight="1">
      <c r="B6" s="169" t="s">
        <v>81</v>
      </c>
      <c r="C6" s="169"/>
      <c r="D6" s="169"/>
      <c r="E6" s="169"/>
      <c r="F6" s="169"/>
      <c r="G6" s="169"/>
      <c r="H6" s="169"/>
      <c r="I6" s="169"/>
      <c r="J6" s="169"/>
      <c r="K6" s="169"/>
      <c r="L6" s="169"/>
    </row>
    <row r="7" spans="2:12" s="2" customFormat="1" ht="32.25" customHeight="1">
      <c r="B7" s="201" t="s">
        <v>82</v>
      </c>
      <c r="C7" s="201"/>
      <c r="D7" s="265" t="s">
        <v>1147</v>
      </c>
      <c r="E7" s="266"/>
      <c r="F7" s="266"/>
      <c r="G7" s="266"/>
      <c r="H7" s="266"/>
      <c r="I7" s="266"/>
      <c r="J7" s="266"/>
      <c r="K7" s="266"/>
      <c r="L7" s="267"/>
    </row>
    <row r="8" spans="2:12" s="2" customFormat="1" ht="36" customHeight="1">
      <c r="B8" s="87" t="s">
        <v>1229</v>
      </c>
      <c r="C8" s="277" t="s">
        <v>1230</v>
      </c>
      <c r="D8" s="278"/>
      <c r="E8" s="88" t="s">
        <v>1231</v>
      </c>
      <c r="F8" s="52" t="s">
        <v>1232</v>
      </c>
      <c r="G8" s="88" t="s">
        <v>1233</v>
      </c>
      <c r="H8" s="52" t="s">
        <v>1234</v>
      </c>
      <c r="I8" s="279" t="s">
        <v>1235</v>
      </c>
      <c r="J8" s="279"/>
      <c r="K8" s="280" t="s">
        <v>1236</v>
      </c>
      <c r="L8" s="281"/>
    </row>
    <row r="9" spans="2:12" s="2" customFormat="1" ht="33" customHeight="1">
      <c r="B9" s="89" t="s">
        <v>1237</v>
      </c>
      <c r="C9" s="280" t="s">
        <v>1238</v>
      </c>
      <c r="D9" s="282"/>
      <c r="E9" s="281"/>
      <c r="F9" s="88" t="s">
        <v>1239</v>
      </c>
      <c r="G9" s="277" t="s">
        <v>1240</v>
      </c>
      <c r="H9" s="278"/>
      <c r="I9" s="90" t="s">
        <v>1241</v>
      </c>
      <c r="J9" s="52" t="s">
        <v>1242</v>
      </c>
      <c r="K9" s="91" t="s">
        <v>1243</v>
      </c>
      <c r="L9" s="92">
        <v>45505</v>
      </c>
    </row>
    <row r="10" spans="2:12" s="2" customFormat="1" ht="5.15" customHeight="1">
      <c r="B10" s="285"/>
      <c r="C10" s="286"/>
      <c r="D10" s="286"/>
      <c r="E10" s="286"/>
      <c r="F10" s="286"/>
      <c r="G10" s="286"/>
      <c r="H10" s="286"/>
      <c r="I10" s="286"/>
      <c r="J10" s="286"/>
      <c r="K10" s="286"/>
      <c r="L10" s="287"/>
    </row>
    <row r="11" spans="2:12" s="2" customFormat="1" ht="8.25" customHeight="1">
      <c r="B11" s="68"/>
      <c r="C11" s="68"/>
      <c r="D11" s="68"/>
      <c r="E11" s="68"/>
      <c r="F11" s="68"/>
      <c r="G11" s="68"/>
      <c r="H11" s="68"/>
      <c r="I11" s="68"/>
      <c r="J11" s="68"/>
      <c r="K11" s="68"/>
      <c r="L11" s="68"/>
    </row>
    <row r="12" spans="2:12" s="2" customFormat="1" ht="8.25" customHeight="1">
      <c r="B12" s="68"/>
      <c r="C12" s="68"/>
      <c r="D12" s="68"/>
      <c r="E12" s="68"/>
      <c r="F12" s="68"/>
      <c r="G12" s="68"/>
      <c r="H12" s="68"/>
      <c r="I12" s="68"/>
      <c r="J12" s="68"/>
      <c r="K12" s="68"/>
      <c r="L12" s="68"/>
    </row>
    <row r="13" spans="2:12" s="2" customFormat="1" ht="104.25" customHeight="1">
      <c r="B13" s="283" t="s">
        <v>1197</v>
      </c>
      <c r="C13" s="283"/>
      <c r="D13" s="283"/>
      <c r="E13" s="283"/>
      <c r="F13" s="283"/>
      <c r="G13" s="283"/>
      <c r="H13" s="283"/>
      <c r="I13" s="283"/>
      <c r="J13" s="283"/>
      <c r="K13" s="283"/>
      <c r="L13" s="283"/>
    </row>
    <row r="14" spans="2:12" s="2" customFormat="1" ht="8.25" customHeight="1">
      <c r="B14" s="68"/>
      <c r="C14" s="68"/>
      <c r="D14" s="68"/>
      <c r="E14" s="68"/>
      <c r="F14" s="68"/>
      <c r="G14" s="68"/>
      <c r="H14" s="68"/>
      <c r="I14" s="68"/>
      <c r="J14" s="68"/>
      <c r="K14" s="68"/>
      <c r="L14" s="68"/>
    </row>
    <row r="15" spans="2:12" s="2" customFormat="1" ht="180" customHeight="1">
      <c r="B15" s="284" t="s">
        <v>1226</v>
      </c>
      <c r="C15" s="284"/>
      <c r="D15" s="284"/>
      <c r="E15" s="284"/>
      <c r="F15" s="284"/>
      <c r="G15" s="284"/>
      <c r="H15" s="284"/>
      <c r="I15" s="284"/>
      <c r="J15" s="284"/>
      <c r="K15" s="284"/>
      <c r="L15" s="284"/>
    </row>
    <row r="16" spans="2:12" s="2" customFormat="1" ht="8.25" customHeight="1">
      <c r="B16" s="68"/>
      <c r="C16" s="68"/>
      <c r="D16" s="68"/>
      <c r="E16" s="68"/>
      <c r="F16" s="68"/>
      <c r="G16" s="68"/>
      <c r="H16" s="68"/>
      <c r="I16" s="68"/>
      <c r="J16" s="68"/>
      <c r="K16" s="68"/>
      <c r="L16" s="68"/>
    </row>
    <row r="17" spans="2:14" s="2" customFormat="1" ht="23.25" customHeight="1">
      <c r="B17" s="171" t="s">
        <v>115</v>
      </c>
      <c r="C17" s="172"/>
      <c r="D17" s="172"/>
      <c r="E17" s="172"/>
      <c r="F17" s="172"/>
      <c r="G17" s="172"/>
      <c r="H17" s="172"/>
      <c r="I17" s="172"/>
      <c r="J17" s="172"/>
      <c r="K17" s="172"/>
      <c r="L17" s="197"/>
    </row>
    <row r="18" spans="2:14" s="2" customFormat="1" ht="8.25" customHeight="1">
      <c r="B18" s="68"/>
      <c r="C18" s="68"/>
      <c r="D18" s="68"/>
      <c r="E18" s="68"/>
      <c r="F18" s="68"/>
      <c r="G18" s="68"/>
      <c r="H18" s="68"/>
      <c r="I18" s="68"/>
      <c r="J18" s="68"/>
      <c r="K18" s="68"/>
      <c r="L18" s="68"/>
    </row>
    <row r="19" spans="2:14" s="2" customFormat="1" ht="8.25" customHeight="1">
      <c r="B19" s="68"/>
      <c r="C19" s="68"/>
      <c r="D19" s="68"/>
      <c r="E19" s="68"/>
      <c r="F19" s="68"/>
      <c r="G19" s="68"/>
      <c r="H19" s="68"/>
      <c r="I19" s="68"/>
      <c r="J19" s="68"/>
      <c r="K19" s="68"/>
      <c r="L19" s="68"/>
    </row>
    <row r="20" spans="2:14" s="2" customFormat="1" ht="29.25" customHeight="1">
      <c r="B20" s="67">
        <v>1</v>
      </c>
      <c r="C20" s="264" t="s">
        <v>116</v>
      </c>
      <c r="D20" s="264"/>
      <c r="E20" s="264"/>
      <c r="F20" s="51" t="s">
        <v>1227</v>
      </c>
      <c r="G20" s="68"/>
      <c r="M20" s="263"/>
      <c r="N20" s="263"/>
    </row>
    <row r="21" spans="2:14" s="2" customFormat="1" ht="29.25" customHeight="1">
      <c r="B21" s="67">
        <v>2</v>
      </c>
      <c r="C21" s="264" t="s">
        <v>117</v>
      </c>
      <c r="D21" s="264"/>
      <c r="E21" s="264"/>
      <c r="F21" s="52"/>
      <c r="G21" s="68"/>
      <c r="M21" s="263"/>
      <c r="N21" s="263"/>
    </row>
    <row r="22" spans="2:14" s="2" customFormat="1" ht="29.25" customHeight="1">
      <c r="G22" s="68"/>
      <c r="M22" s="263"/>
      <c r="N22" s="263"/>
    </row>
    <row r="23" spans="2:14" s="2" customFormat="1" ht="43.5" customHeight="1">
      <c r="B23" s="201" t="s">
        <v>118</v>
      </c>
      <c r="C23" s="169" t="s">
        <v>1146</v>
      </c>
      <c r="D23" s="169"/>
      <c r="E23" s="169"/>
      <c r="F23" s="169"/>
      <c r="G23" s="29" t="s">
        <v>119</v>
      </c>
      <c r="H23" s="29" t="s">
        <v>119</v>
      </c>
      <c r="I23" s="29" t="s">
        <v>119</v>
      </c>
      <c r="L23" s="69"/>
      <c r="M23" s="69"/>
    </row>
    <row r="24" spans="2:14" s="2" customFormat="1" ht="29.25" customHeight="1">
      <c r="B24" s="201"/>
      <c r="C24" s="29" t="s">
        <v>104</v>
      </c>
      <c r="D24" s="29" t="s">
        <v>105</v>
      </c>
      <c r="E24" s="29" t="s">
        <v>106</v>
      </c>
      <c r="F24" s="37" t="s">
        <v>107</v>
      </c>
      <c r="G24" s="29">
        <v>2024</v>
      </c>
      <c r="H24" s="29">
        <v>2025</v>
      </c>
      <c r="I24" s="29">
        <v>2026</v>
      </c>
      <c r="L24" s="69"/>
      <c r="M24" s="69"/>
    </row>
    <row r="25" spans="2:14" s="2" customFormat="1" ht="33.75" customHeight="1">
      <c r="B25" s="201"/>
      <c r="C25" s="62">
        <v>24</v>
      </c>
      <c r="D25" s="63" t="s">
        <v>108</v>
      </c>
      <c r="E25" s="63" t="s">
        <v>109</v>
      </c>
      <c r="F25" s="63" t="s">
        <v>90</v>
      </c>
      <c r="G25" s="53">
        <f>3600*3</f>
        <v>10800</v>
      </c>
      <c r="H25" s="53">
        <f t="shared" ref="H25:I30" si="0">G25*1.1</f>
        <v>11880.000000000002</v>
      </c>
      <c r="I25" s="53">
        <f t="shared" si="0"/>
        <v>13068.000000000004</v>
      </c>
      <c r="M25" s="69"/>
    </row>
    <row r="26" spans="2:14" s="2" customFormat="1" ht="33.75" customHeight="1">
      <c r="B26" s="201"/>
      <c r="C26" s="62">
        <v>24</v>
      </c>
      <c r="D26" s="63" t="s">
        <v>108</v>
      </c>
      <c r="E26" s="63" t="s">
        <v>109</v>
      </c>
      <c r="F26" s="63" t="s">
        <v>92</v>
      </c>
      <c r="G26" s="53">
        <f>G25</f>
        <v>10800</v>
      </c>
      <c r="H26" s="53">
        <f t="shared" si="0"/>
        <v>11880.000000000002</v>
      </c>
      <c r="I26" s="53">
        <f t="shared" si="0"/>
        <v>13068.000000000004</v>
      </c>
      <c r="M26" s="69"/>
    </row>
    <row r="27" spans="2:14" s="2" customFormat="1" ht="33.75" customHeight="1">
      <c r="B27" s="201"/>
      <c r="C27" s="62">
        <v>24</v>
      </c>
      <c r="D27" s="63" t="s">
        <v>1143</v>
      </c>
      <c r="E27" s="63" t="s">
        <v>109</v>
      </c>
      <c r="F27" s="63" t="s">
        <v>92</v>
      </c>
      <c r="G27" s="53">
        <f>G26*33%</f>
        <v>3564</v>
      </c>
      <c r="H27" s="53">
        <f t="shared" si="0"/>
        <v>3920.4</v>
      </c>
      <c r="I27" s="53">
        <f t="shared" si="0"/>
        <v>4312.4400000000005</v>
      </c>
      <c r="M27" s="69"/>
    </row>
    <row r="28" spans="2:14" s="2" customFormat="1" ht="33.75" customHeight="1">
      <c r="B28" s="201"/>
      <c r="C28" s="62">
        <v>12</v>
      </c>
      <c r="D28" s="63" t="s">
        <v>110</v>
      </c>
      <c r="E28" s="63" t="s">
        <v>111</v>
      </c>
      <c r="F28" s="63" t="s">
        <v>1144</v>
      </c>
      <c r="G28" s="53">
        <f>G25*30%</f>
        <v>3240</v>
      </c>
      <c r="H28" s="53">
        <f t="shared" si="0"/>
        <v>3564.0000000000005</v>
      </c>
      <c r="I28" s="53">
        <f t="shared" si="0"/>
        <v>3920.400000000001</v>
      </c>
      <c r="M28" s="69"/>
    </row>
    <row r="29" spans="2:14" s="2" customFormat="1" ht="33.75" customHeight="1">
      <c r="B29" s="201"/>
      <c r="C29" s="62">
        <v>12</v>
      </c>
      <c r="D29" s="63" t="s">
        <v>110</v>
      </c>
      <c r="E29" s="66" t="s">
        <v>1190</v>
      </c>
      <c r="F29" s="63" t="s">
        <v>90</v>
      </c>
      <c r="G29" s="53">
        <f>G25*37%</f>
        <v>3996</v>
      </c>
      <c r="H29" s="53">
        <f t="shared" si="0"/>
        <v>4395.6000000000004</v>
      </c>
      <c r="I29" s="53">
        <f t="shared" si="0"/>
        <v>4835.1600000000008</v>
      </c>
      <c r="M29" s="69"/>
    </row>
    <row r="30" spans="2:14" s="2" customFormat="1" ht="33.75" customHeight="1">
      <c r="B30" s="201"/>
      <c r="C30" s="62">
        <v>12</v>
      </c>
      <c r="D30" s="63" t="s">
        <v>108</v>
      </c>
      <c r="E30" s="63" t="s">
        <v>111</v>
      </c>
      <c r="F30" s="63" t="s">
        <v>90</v>
      </c>
      <c r="G30" s="53">
        <f>G25*45%</f>
        <v>4860</v>
      </c>
      <c r="H30" s="53">
        <f t="shared" si="0"/>
        <v>5346</v>
      </c>
      <c r="I30" s="53">
        <f t="shared" si="0"/>
        <v>5880.6</v>
      </c>
      <c r="M30" s="69"/>
    </row>
    <row r="31" spans="2:14" s="2" customFormat="1" ht="29.25" customHeight="1">
      <c r="G31" s="97">
        <f>SUM(G25:G30)</f>
        <v>37260</v>
      </c>
      <c r="H31" s="97">
        <f>SUM(H25:H30)</f>
        <v>40986.000000000007</v>
      </c>
      <c r="I31" s="97">
        <f>SUM(I25:I30)</f>
        <v>45084.600000000013</v>
      </c>
      <c r="M31" s="69"/>
      <c r="N31" s="69"/>
    </row>
    <row r="32" spans="2:14" s="2" customFormat="1" ht="29.25" customHeight="1">
      <c r="B32" s="200" t="s">
        <v>120</v>
      </c>
      <c r="C32" s="200"/>
      <c r="D32" s="200"/>
      <c r="E32" s="200"/>
      <c r="F32" s="200"/>
      <c r="G32" s="200"/>
      <c r="H32" s="200"/>
      <c r="I32" s="200"/>
      <c r="J32" s="200"/>
      <c r="K32" s="200"/>
      <c r="L32" s="200"/>
      <c r="M32" s="200"/>
      <c r="N32" s="69"/>
    </row>
    <row r="33" spans="1:22" s="2" customFormat="1" ht="6.75" customHeight="1">
      <c r="A33" s="70"/>
      <c r="B33" s="70"/>
      <c r="C33" s="70"/>
      <c r="D33" s="70"/>
      <c r="E33" s="70"/>
      <c r="F33" s="70"/>
      <c r="G33" s="70"/>
      <c r="H33" s="70"/>
      <c r="I33" s="70"/>
      <c r="J33" s="70"/>
      <c r="K33" s="70"/>
      <c r="L33" s="70"/>
      <c r="M33" s="70"/>
      <c r="N33" s="69"/>
    </row>
    <row r="34" spans="1:22" s="2" customFormat="1" ht="46.5" customHeight="1">
      <c r="A34" s="70"/>
      <c r="B34" s="70"/>
      <c r="C34" s="70"/>
      <c r="D34" s="70"/>
      <c r="E34" s="70"/>
      <c r="F34" s="68"/>
      <c r="G34" s="68"/>
      <c r="H34" s="67" t="s">
        <v>1198</v>
      </c>
      <c r="I34" s="59" t="s">
        <v>1210</v>
      </c>
      <c r="J34" s="59" t="s">
        <v>1205</v>
      </c>
      <c r="K34" s="59" t="s">
        <v>1206</v>
      </c>
      <c r="L34" s="59" t="s">
        <v>1207</v>
      </c>
      <c r="M34" s="59" t="s">
        <v>1208</v>
      </c>
    </row>
    <row r="35" spans="1:22" s="2" customFormat="1" ht="29.25" customHeight="1">
      <c r="F35" s="202" t="s">
        <v>122</v>
      </c>
      <c r="G35" s="203"/>
      <c r="H35" s="71">
        <f>SUM(I35:M35)</f>
        <v>25</v>
      </c>
      <c r="I35" s="72">
        <v>1</v>
      </c>
      <c r="J35" s="80">
        <v>6.5</v>
      </c>
      <c r="K35" s="80">
        <v>5.5</v>
      </c>
      <c r="L35" s="80">
        <v>6.5</v>
      </c>
      <c r="M35" s="80">
        <v>5.5</v>
      </c>
    </row>
    <row r="36" spans="1:22" s="2" customFormat="1" ht="29.25" customHeight="1">
      <c r="B36" s="70"/>
      <c r="C36" s="70"/>
      <c r="D36" s="70"/>
      <c r="E36" s="70"/>
      <c r="F36" s="202" t="s">
        <v>1191</v>
      </c>
      <c r="G36" s="203"/>
      <c r="H36" s="38" t="s">
        <v>1211</v>
      </c>
      <c r="I36" s="38">
        <f>'[23]RESUMEN CIRCULAR_DECRETO'!N26</f>
        <v>1300000</v>
      </c>
      <c r="J36" s="38">
        <f>'[23]RESUMEN CIRCULAR_DECRETO'!N27</f>
        <v>1410500</v>
      </c>
      <c r="K36" s="38">
        <f>'[23]RESUMEN CIRCULAR_DECRETO'!N27</f>
        <v>1410500</v>
      </c>
      <c r="L36" s="38">
        <f>'[23]RESUMEN CIRCULAR_DECRETO'!N28</f>
        <v>1504157.2</v>
      </c>
      <c r="M36" s="38">
        <f>'[23]RESUMEN CIRCULAR_DECRETO'!N28</f>
        <v>1504157.2</v>
      </c>
    </row>
    <row r="37" spans="1:22" s="2" customFormat="1" ht="29.25" customHeight="1">
      <c r="B37" s="70"/>
      <c r="C37" s="70"/>
      <c r="D37" s="70"/>
      <c r="E37" s="70"/>
      <c r="F37" s="83"/>
      <c r="G37" s="83"/>
      <c r="H37" s="84"/>
      <c r="I37" s="84"/>
      <c r="J37" s="84"/>
      <c r="K37" s="84"/>
      <c r="L37" s="82"/>
      <c r="M37" s="82"/>
    </row>
    <row r="38" spans="1:22" s="2" customFormat="1" ht="24" customHeight="1">
      <c r="B38" s="200" t="s">
        <v>1192</v>
      </c>
      <c r="C38" s="200"/>
      <c r="D38" s="200"/>
      <c r="E38" s="200"/>
      <c r="F38" s="200"/>
      <c r="G38" s="200"/>
      <c r="H38" s="200"/>
      <c r="I38" s="200"/>
      <c r="J38" s="200"/>
      <c r="K38" s="200"/>
      <c r="L38" s="200"/>
      <c r="M38" s="200"/>
      <c r="N38" s="200"/>
      <c r="O38" s="200"/>
      <c r="P38" s="200"/>
      <c r="Q38" s="200"/>
      <c r="R38" s="200"/>
      <c r="S38" s="200"/>
      <c r="T38" s="200"/>
      <c r="U38" s="200"/>
      <c r="V38" s="200"/>
    </row>
    <row r="39" spans="1:22" s="2" customFormat="1" ht="11.25" customHeight="1">
      <c r="M39" s="69"/>
      <c r="N39" s="69"/>
    </row>
    <row r="40" spans="1:22" s="2" customFormat="1" ht="9.75" customHeight="1">
      <c r="C40" s="4"/>
      <c r="D40" s="4"/>
      <c r="E40" s="4"/>
      <c r="F40" s="4"/>
    </row>
    <row r="41" spans="1:22" s="2" customFormat="1" ht="26.25" customHeight="1">
      <c r="B41" s="200" t="s">
        <v>1148</v>
      </c>
      <c r="C41" s="200"/>
      <c r="D41" s="200"/>
      <c r="E41" s="200"/>
      <c r="F41" s="200"/>
      <c r="G41" s="200"/>
      <c r="H41" s="200"/>
      <c r="I41" s="200"/>
      <c r="J41" s="200"/>
      <c r="K41" s="200"/>
      <c r="L41" s="200"/>
      <c r="M41" s="200"/>
      <c r="N41" s="200"/>
      <c r="O41" s="200"/>
      <c r="P41" s="200"/>
      <c r="Q41" s="200"/>
      <c r="R41" s="200"/>
      <c r="S41" s="200"/>
      <c r="T41" s="200"/>
      <c r="U41" s="200"/>
      <c r="V41" s="200"/>
    </row>
    <row r="42" spans="1:22" s="2" customFormat="1" ht="12.5">
      <c r="C42" s="4"/>
      <c r="D42" s="4"/>
      <c r="E42" s="4"/>
      <c r="F42" s="4"/>
      <c r="G42" s="4"/>
      <c r="H42" s="4"/>
    </row>
    <row r="43" spans="1:22" s="2" customFormat="1" ht="70.5" customHeight="1">
      <c r="B43" s="169" t="s">
        <v>123</v>
      </c>
      <c r="C43" s="169"/>
      <c r="D43" s="169"/>
      <c r="E43" s="169"/>
      <c r="F43" s="169" t="s">
        <v>1196</v>
      </c>
      <c r="G43" s="169"/>
      <c r="H43" s="169"/>
      <c r="I43" s="169"/>
      <c r="J43" s="169"/>
      <c r="K43" s="169"/>
      <c r="L43" s="261" t="s">
        <v>1204</v>
      </c>
      <c r="M43" s="262"/>
      <c r="N43" s="261" t="s">
        <v>1205</v>
      </c>
      <c r="O43" s="262"/>
      <c r="P43" s="261" t="s">
        <v>1206</v>
      </c>
      <c r="Q43" s="262"/>
      <c r="R43" s="261" t="s">
        <v>1207</v>
      </c>
      <c r="S43" s="262"/>
      <c r="T43" s="261" t="s">
        <v>1208</v>
      </c>
      <c r="U43" s="262"/>
      <c r="V43" s="29" t="s">
        <v>1198</v>
      </c>
    </row>
    <row r="44" spans="1:22" s="2" customFormat="1" ht="71.25" customHeight="1">
      <c r="B44" s="29" t="s">
        <v>104</v>
      </c>
      <c r="C44" s="29" t="s">
        <v>105</v>
      </c>
      <c r="D44" s="29" t="s">
        <v>106</v>
      </c>
      <c r="E44" s="29" t="s">
        <v>107</v>
      </c>
      <c r="F44" s="29" t="s">
        <v>124</v>
      </c>
      <c r="G44" s="29" t="s">
        <v>1209</v>
      </c>
      <c r="H44" s="29" t="s">
        <v>1199</v>
      </c>
      <c r="I44" s="29" t="s">
        <v>1200</v>
      </c>
      <c r="J44" s="29" t="s">
        <v>1201</v>
      </c>
      <c r="K44" s="29" t="s">
        <v>1202</v>
      </c>
      <c r="L44" s="73" t="s">
        <v>1180</v>
      </c>
      <c r="M44" s="58" t="s">
        <v>1181</v>
      </c>
      <c r="N44" s="73" t="s">
        <v>1182</v>
      </c>
      <c r="O44" s="58" t="s">
        <v>1183</v>
      </c>
      <c r="P44" s="73" t="s">
        <v>1182</v>
      </c>
      <c r="Q44" s="58" t="s">
        <v>1183</v>
      </c>
      <c r="R44" s="73" t="s">
        <v>1182</v>
      </c>
      <c r="S44" s="58" t="s">
        <v>1183</v>
      </c>
      <c r="T44" s="73" t="s">
        <v>1182</v>
      </c>
      <c r="U44" s="58" t="s">
        <v>1183</v>
      </c>
      <c r="V44" s="29" t="s">
        <v>1213</v>
      </c>
    </row>
    <row r="45" spans="1:22" s="2" customFormat="1" ht="30.75" customHeight="1">
      <c r="B45" s="62">
        <v>24</v>
      </c>
      <c r="C45" s="63" t="s">
        <v>108</v>
      </c>
      <c r="D45" s="63" t="s">
        <v>109</v>
      </c>
      <c r="E45" s="63" t="s">
        <v>90</v>
      </c>
      <c r="F45" s="59">
        <v>5</v>
      </c>
      <c r="G45" s="38">
        <f>IF(F45=0,"No se requiere",'[23]RESUMEN CIRCULAR_DECRETO'!H33)</f>
        <v>12844224</v>
      </c>
      <c r="H45" s="38">
        <f>IF(F45=0,"No se requiere",'[23]RESUMEN CIRCULAR_DECRETO'!K33)</f>
        <v>13936158</v>
      </c>
      <c r="I45" s="38">
        <f>IF(G45=0,"No se requiere",'[23]RESUMEN CIRCULAR_DECRETO'!N33)</f>
        <v>14164659</v>
      </c>
      <c r="J45" s="38">
        <f>IF(H45=0,"No se requiere",'[23]RESUMEN CIRCULAR_DECRETO'!Q33)</f>
        <v>15105623</v>
      </c>
      <c r="K45" s="38">
        <f>IF(I45=0,"No se requiere",'[23]RESUMEN CIRCULAR_DECRETO'!T33)</f>
        <v>15154358</v>
      </c>
      <c r="L45" s="39">
        <f t="shared" ref="L45:L50" si="1">G45*F45</f>
        <v>64221120</v>
      </c>
      <c r="M45" s="39">
        <f>ROUND(L45*$I$35,0)</f>
        <v>64221120</v>
      </c>
      <c r="N45" s="39">
        <f t="shared" ref="N45:N50" si="2">H45*F45</f>
        <v>69680790</v>
      </c>
      <c r="O45" s="39">
        <f>ROUND(N45*$J$35,0)</f>
        <v>452925135</v>
      </c>
      <c r="P45" s="39">
        <f>I45*F45</f>
        <v>70823295</v>
      </c>
      <c r="Q45" s="39">
        <f>ROUND(P45*$K$35,0)</f>
        <v>389528123</v>
      </c>
      <c r="R45" s="39">
        <f>J45*F45</f>
        <v>75528115</v>
      </c>
      <c r="S45" s="39">
        <f>ROUND(R45*$L$35,0)</f>
        <v>490932748</v>
      </c>
      <c r="T45" s="39">
        <f>K45*F45</f>
        <v>75771790</v>
      </c>
      <c r="U45" s="39">
        <f>ROUND(T45*$M$35,0)</f>
        <v>416744845</v>
      </c>
      <c r="V45" s="81">
        <f>O45+M45+Q45+S45+U45</f>
        <v>1814351971</v>
      </c>
    </row>
    <row r="46" spans="1:22" s="2" customFormat="1" ht="30.75" customHeight="1">
      <c r="B46" s="62">
        <v>24</v>
      </c>
      <c r="C46" s="63" t="s">
        <v>108</v>
      </c>
      <c r="D46" s="63" t="s">
        <v>109</v>
      </c>
      <c r="E46" s="63" t="s">
        <v>92</v>
      </c>
      <c r="F46" s="59">
        <v>11</v>
      </c>
      <c r="G46" s="38">
        <f>IF(F46=0,"No se requiere",'[23]RESUMEN CIRCULAR_DECRETO'!H34)</f>
        <v>13082080</v>
      </c>
      <c r="H46" s="38">
        <f>IF(F46=0,"No se requiere",'[23]RESUMEN CIRCULAR_DECRETO'!K34)</f>
        <v>14194235</v>
      </c>
      <c r="I46" s="38">
        <f>IF(G46=0,"No se requiere",'[23]RESUMEN CIRCULAR_DECRETO'!N34)</f>
        <v>14426968</v>
      </c>
      <c r="J46" s="38">
        <f>IF(H46=0,"No se requiere",'[23]RESUMEN CIRCULAR_DECRETO'!Q34)</f>
        <v>15385357</v>
      </c>
      <c r="K46" s="38">
        <f>IF(I46=0,"No se requiere",'[23]RESUMEN CIRCULAR_DECRETO'!T34)</f>
        <v>15434994</v>
      </c>
      <c r="L46" s="39">
        <f t="shared" si="1"/>
        <v>143902880</v>
      </c>
      <c r="M46" s="39">
        <f t="shared" ref="M46:M50" si="3">ROUND(L46*$I$35,0)</f>
        <v>143902880</v>
      </c>
      <c r="N46" s="39">
        <f t="shared" si="2"/>
        <v>156136585</v>
      </c>
      <c r="O46" s="39">
        <f t="shared" ref="O46:O50" si="4">ROUND(N46*$J$35,0)</f>
        <v>1014887803</v>
      </c>
      <c r="P46" s="39">
        <f t="shared" ref="P46:P50" si="5">I46*F46</f>
        <v>158696648</v>
      </c>
      <c r="Q46" s="39">
        <f t="shared" ref="Q46:Q50" si="6">ROUND(P46*$K$35,0)</f>
        <v>872831564</v>
      </c>
      <c r="R46" s="39">
        <f t="shared" ref="R46:R50" si="7">J46*F46</f>
        <v>169238927</v>
      </c>
      <c r="S46" s="39">
        <f t="shared" ref="S46:S50" si="8">ROUND(R46*$L$35,0)</f>
        <v>1100053026</v>
      </c>
      <c r="T46" s="39">
        <f t="shared" ref="T46:T50" si="9">K46*F46</f>
        <v>169784934</v>
      </c>
      <c r="U46" s="39">
        <f t="shared" ref="U46:U50" si="10">ROUND(T46*$M$35,0)</f>
        <v>933817137</v>
      </c>
      <c r="V46" s="81">
        <f t="shared" ref="V46:V50" si="11">O46+M46+Q46+S46+U46</f>
        <v>4065492410</v>
      </c>
    </row>
    <row r="47" spans="1:22" s="2" customFormat="1" ht="30.75" customHeight="1">
      <c r="B47" s="62">
        <v>24</v>
      </c>
      <c r="C47" s="63" t="s">
        <v>1143</v>
      </c>
      <c r="D47" s="63" t="s">
        <v>109</v>
      </c>
      <c r="E47" s="63" t="s">
        <v>92</v>
      </c>
      <c r="F47" s="59">
        <v>1</v>
      </c>
      <c r="G47" s="38">
        <f>IF(F47=0,"No se requiere",'[23]RESUMEN CIRCULAR_DECRETO'!H35)</f>
        <v>4360654</v>
      </c>
      <c r="H47" s="38">
        <f>IF(F47=0,"No se requiere",'[23]RESUMEN CIRCULAR_DECRETO'!K35)</f>
        <v>4731367.4000000004</v>
      </c>
      <c r="I47" s="38">
        <f>IF(G47=0,"No se requiere",'[23]RESUMEN CIRCULAR_DECRETO'!N35)</f>
        <v>4808945.4000000004</v>
      </c>
      <c r="J47" s="38">
        <f>IF(H47=0,"No se requiere",'[23]RESUMEN CIRCULAR_DECRETO'!Q35)</f>
        <v>5128404.4400000004</v>
      </c>
      <c r="K47" s="38">
        <f>IF(I47=0,"No se requiere",'[23]RESUMEN CIRCULAR_DECRETO'!T35)</f>
        <v>5144950.4400000004</v>
      </c>
      <c r="L47" s="39">
        <f t="shared" si="1"/>
        <v>4360654</v>
      </c>
      <c r="M47" s="39">
        <f t="shared" si="3"/>
        <v>4360654</v>
      </c>
      <c r="N47" s="39">
        <f t="shared" si="2"/>
        <v>4731367.4000000004</v>
      </c>
      <c r="O47" s="39">
        <f t="shared" si="4"/>
        <v>30753888</v>
      </c>
      <c r="P47" s="39">
        <f t="shared" si="5"/>
        <v>4808945.4000000004</v>
      </c>
      <c r="Q47" s="39">
        <f t="shared" si="6"/>
        <v>26449200</v>
      </c>
      <c r="R47" s="39">
        <f t="shared" si="7"/>
        <v>5128404.4400000004</v>
      </c>
      <c r="S47" s="39">
        <f t="shared" si="8"/>
        <v>33334629</v>
      </c>
      <c r="T47" s="39">
        <f t="shared" si="9"/>
        <v>5144950.4400000004</v>
      </c>
      <c r="U47" s="39">
        <f t="shared" si="10"/>
        <v>28297227</v>
      </c>
      <c r="V47" s="81">
        <f t="shared" si="11"/>
        <v>123195598</v>
      </c>
    </row>
    <row r="48" spans="1:22" s="2" customFormat="1" ht="30.75" customHeight="1">
      <c r="B48" s="62">
        <v>12</v>
      </c>
      <c r="C48" s="63" t="s">
        <v>110</v>
      </c>
      <c r="D48" s="63" t="s">
        <v>111</v>
      </c>
      <c r="E48" s="63" t="s">
        <v>1144</v>
      </c>
      <c r="F48" s="59">
        <v>1</v>
      </c>
      <c r="G48" s="38">
        <f>IF(F48=0,"No se requiere",'[23]RESUMEN CIRCULAR_DECRETO'!H36)</f>
        <v>3905106</v>
      </c>
      <c r="H48" s="38">
        <f>IF(F48=0,"No se requiere",'[23]RESUMEN CIRCULAR_DECRETO'!K36)</f>
        <v>4237093</v>
      </c>
      <c r="I48" s="38">
        <f>IF(G48=0,"No se requiere",'[23]RESUMEN CIRCULAR_DECRETO'!N36)</f>
        <v>4306566</v>
      </c>
      <c r="J48" s="38">
        <f>IF(H48=0,"No se requiere",'[23]RESUMEN CIRCULAR_DECRETO'!Q36)</f>
        <v>4592653.4000000004</v>
      </c>
      <c r="K48" s="38">
        <f>IF(I48=0,"No se requiere",'[23]RESUMEN CIRCULAR_DECRETO'!T36)</f>
        <v>4607470.4000000004</v>
      </c>
      <c r="L48" s="39">
        <f t="shared" si="1"/>
        <v>3905106</v>
      </c>
      <c r="M48" s="39">
        <f t="shared" si="3"/>
        <v>3905106</v>
      </c>
      <c r="N48" s="39">
        <f t="shared" si="2"/>
        <v>4237093</v>
      </c>
      <c r="O48" s="39">
        <f t="shared" si="4"/>
        <v>27541105</v>
      </c>
      <c r="P48" s="39">
        <f t="shared" si="5"/>
        <v>4306566</v>
      </c>
      <c r="Q48" s="39">
        <f t="shared" si="6"/>
        <v>23686113</v>
      </c>
      <c r="R48" s="39">
        <f t="shared" si="7"/>
        <v>4592653.4000000004</v>
      </c>
      <c r="S48" s="39">
        <f t="shared" si="8"/>
        <v>29852247</v>
      </c>
      <c r="T48" s="39">
        <f t="shared" si="9"/>
        <v>4607470.4000000004</v>
      </c>
      <c r="U48" s="39">
        <f t="shared" si="10"/>
        <v>25341087</v>
      </c>
      <c r="V48" s="81">
        <f t="shared" si="11"/>
        <v>110325658</v>
      </c>
    </row>
    <row r="49" spans="2:22" s="2" customFormat="1" ht="30.75" customHeight="1">
      <c r="B49" s="62">
        <v>12</v>
      </c>
      <c r="C49" s="63" t="s">
        <v>110</v>
      </c>
      <c r="D49" s="66" t="s">
        <v>1190</v>
      </c>
      <c r="E49" s="63" t="s">
        <v>90</v>
      </c>
      <c r="F49" s="59">
        <v>1</v>
      </c>
      <c r="G49" s="38">
        <f>IF(F49=0,"No se requiere",'[23]RESUMEN CIRCULAR_DECRETO'!H37)</f>
        <v>4728751</v>
      </c>
      <c r="H49" s="38">
        <f>IF(F49=0,"No se requiere",'[23]RESUMEN CIRCULAR_DECRETO'!K37)</f>
        <v>5130759.5999999996</v>
      </c>
      <c r="I49" s="38">
        <f>IF(G49=0,"No se requiere",'[23]RESUMEN CIRCULAR_DECRETO'!N37)</f>
        <v>5214884.5999999996</v>
      </c>
      <c r="J49" s="38">
        <f>IF(H49=0,"No se requiere",'[23]RESUMEN CIRCULAR_DECRETO'!Q37)</f>
        <v>5561312.1600000001</v>
      </c>
      <c r="K49" s="38">
        <f>IF(I49=0,"No se requiere",'[23]RESUMEN CIRCULAR_DECRETO'!T37)</f>
        <v>5579254.1600000001</v>
      </c>
      <c r="L49" s="39">
        <f t="shared" si="1"/>
        <v>4728751</v>
      </c>
      <c r="M49" s="39">
        <f t="shared" si="3"/>
        <v>4728751</v>
      </c>
      <c r="N49" s="39">
        <f t="shared" si="2"/>
        <v>5130759.5999999996</v>
      </c>
      <c r="O49" s="39">
        <f t="shared" si="4"/>
        <v>33349937</v>
      </c>
      <c r="P49" s="39">
        <f t="shared" si="5"/>
        <v>5214884.5999999996</v>
      </c>
      <c r="Q49" s="39">
        <f t="shared" si="6"/>
        <v>28681865</v>
      </c>
      <c r="R49" s="39">
        <f t="shared" si="7"/>
        <v>5561312.1600000001</v>
      </c>
      <c r="S49" s="39">
        <f t="shared" si="8"/>
        <v>36148529</v>
      </c>
      <c r="T49" s="39">
        <f t="shared" si="9"/>
        <v>5579254.1600000001</v>
      </c>
      <c r="U49" s="39">
        <f t="shared" si="10"/>
        <v>30685898</v>
      </c>
      <c r="V49" s="81">
        <f t="shared" si="11"/>
        <v>133594980</v>
      </c>
    </row>
    <row r="50" spans="2:22" s="2" customFormat="1" ht="30.75" customHeight="1">
      <c r="B50" s="62">
        <v>12</v>
      </c>
      <c r="C50" s="63" t="s">
        <v>108</v>
      </c>
      <c r="D50" s="63" t="s">
        <v>111</v>
      </c>
      <c r="E50" s="63" t="s">
        <v>90</v>
      </c>
      <c r="F50" s="59">
        <v>1</v>
      </c>
      <c r="G50" s="38">
        <f>IF(F50=0,"No se requiere",'[23]RESUMEN CIRCULAR_DECRETO'!H38)</f>
        <v>5751156</v>
      </c>
      <c r="H50" s="38">
        <f>IF(F50=0,"No se requiere",'[23]RESUMEN CIRCULAR_DECRETO'!K38)</f>
        <v>6240082</v>
      </c>
      <c r="I50" s="38">
        <f>IF(G50=0,"No se requiere",'[23]RESUMEN CIRCULAR_DECRETO'!N38)</f>
        <v>6342396</v>
      </c>
      <c r="J50" s="38">
        <f>IF(H50=0,"No se requiere",'[23]RESUMEN CIRCULAR_DECRETO'!Q38)</f>
        <v>6763725.5999999996</v>
      </c>
      <c r="K50" s="38">
        <f>IF(I50=0,"No se requiere",'[23]RESUMEN CIRCULAR_DECRETO'!T38)</f>
        <v>6785546.5999999996</v>
      </c>
      <c r="L50" s="39">
        <f t="shared" si="1"/>
        <v>5751156</v>
      </c>
      <c r="M50" s="39">
        <f t="shared" si="3"/>
        <v>5751156</v>
      </c>
      <c r="N50" s="39">
        <f t="shared" si="2"/>
        <v>6240082</v>
      </c>
      <c r="O50" s="39">
        <f t="shared" si="4"/>
        <v>40560533</v>
      </c>
      <c r="P50" s="39">
        <f t="shared" si="5"/>
        <v>6342396</v>
      </c>
      <c r="Q50" s="39">
        <f t="shared" si="6"/>
        <v>34883178</v>
      </c>
      <c r="R50" s="39">
        <f t="shared" si="7"/>
        <v>6763725.5999999996</v>
      </c>
      <c r="S50" s="39">
        <f t="shared" si="8"/>
        <v>43964216</v>
      </c>
      <c r="T50" s="39">
        <f t="shared" si="9"/>
        <v>6785546.5999999996</v>
      </c>
      <c r="U50" s="39">
        <f t="shared" si="10"/>
        <v>37320506</v>
      </c>
      <c r="V50" s="81">
        <f t="shared" si="11"/>
        <v>162479589</v>
      </c>
    </row>
    <row r="51" spans="2:22" s="2" customFormat="1" ht="27" customHeight="1">
      <c r="B51" s="201" t="s">
        <v>1212</v>
      </c>
      <c r="C51" s="201"/>
      <c r="D51" s="201"/>
      <c r="E51" s="201"/>
      <c r="F51" s="201"/>
      <c r="G51" s="201"/>
      <c r="H51" s="201"/>
      <c r="I51" s="201"/>
      <c r="J51" s="201"/>
      <c r="K51" s="201"/>
      <c r="L51" s="201"/>
      <c r="M51" s="201"/>
      <c r="N51" s="201"/>
      <c r="O51" s="201"/>
      <c r="P51" s="201"/>
      <c r="Q51" s="201"/>
      <c r="R51" s="201"/>
      <c r="S51" s="201"/>
      <c r="T51" s="201"/>
      <c r="U51" s="201"/>
      <c r="V51" s="81">
        <f>SUM(V45:V50)</f>
        <v>6409440206</v>
      </c>
    </row>
    <row r="52" spans="2:22" s="2" customFormat="1" ht="12.5">
      <c r="C52" s="4"/>
      <c r="D52" s="4"/>
      <c r="E52" s="4"/>
      <c r="F52" s="4"/>
      <c r="G52" s="4"/>
      <c r="H52" s="4"/>
    </row>
    <row r="53" spans="2:22" s="2" customFormat="1" ht="12.5">
      <c r="C53" s="4"/>
      <c r="D53" s="4"/>
      <c r="E53" s="4"/>
      <c r="F53" s="4"/>
      <c r="G53" s="4"/>
      <c r="H53" s="4"/>
    </row>
    <row r="54" spans="2:22" s="2" customFormat="1" ht="27.75" customHeight="1">
      <c r="B54" s="200" t="s">
        <v>1193</v>
      </c>
      <c r="C54" s="200"/>
      <c r="D54" s="200"/>
      <c r="E54" s="200"/>
      <c r="F54" s="200"/>
      <c r="G54" s="200"/>
      <c r="H54" s="200"/>
      <c r="I54" s="200"/>
      <c r="J54" s="200"/>
      <c r="K54" s="200"/>
      <c r="L54" s="200"/>
      <c r="M54" s="200"/>
      <c r="N54" s="200"/>
      <c r="O54" s="200"/>
      <c r="P54" s="200"/>
      <c r="Q54" s="200"/>
      <c r="R54" s="200"/>
      <c r="S54" s="200"/>
      <c r="T54" s="200"/>
      <c r="U54" s="200"/>
      <c r="V54" s="200"/>
    </row>
    <row r="55" spans="2:22" s="2" customFormat="1" ht="12.5">
      <c r="C55" s="4"/>
      <c r="D55" s="4"/>
      <c r="E55" s="4"/>
      <c r="F55" s="4"/>
      <c r="G55" s="4"/>
      <c r="H55" s="4"/>
    </row>
    <row r="56" spans="2:22" s="2" customFormat="1" ht="61.5" customHeight="1">
      <c r="B56" s="169" t="s">
        <v>1194</v>
      </c>
      <c r="C56" s="169"/>
      <c r="D56" s="169"/>
      <c r="E56" s="169"/>
      <c r="F56" s="169" t="s">
        <v>1214</v>
      </c>
      <c r="G56" s="169"/>
      <c r="H56" s="169"/>
      <c r="I56" s="169"/>
      <c r="J56" s="169"/>
      <c r="K56" s="169"/>
      <c r="L56" s="169"/>
      <c r="M56" s="169"/>
      <c r="N56" s="169"/>
      <c r="O56" s="169"/>
      <c r="P56" s="169"/>
    </row>
    <row r="57" spans="2:22" s="2" customFormat="1" ht="60" customHeight="1">
      <c r="B57" s="74" t="s">
        <v>1176</v>
      </c>
      <c r="C57" s="29" t="s">
        <v>1177</v>
      </c>
      <c r="D57" s="173" t="s">
        <v>125</v>
      </c>
      <c r="E57" s="174"/>
      <c r="F57" s="60" t="s">
        <v>124</v>
      </c>
      <c r="G57" s="75" t="s">
        <v>126</v>
      </c>
      <c r="H57" s="75" t="s">
        <v>1215</v>
      </c>
      <c r="I57" s="75" t="s">
        <v>1216</v>
      </c>
      <c r="J57" s="85" t="s">
        <v>1217</v>
      </c>
      <c r="K57" s="85" t="s">
        <v>1218</v>
      </c>
      <c r="L57" s="85" t="s">
        <v>1219</v>
      </c>
      <c r="M57" s="85" t="s">
        <v>1220</v>
      </c>
      <c r="N57" s="85" t="s">
        <v>1221</v>
      </c>
      <c r="O57" s="85" t="s">
        <v>1222</v>
      </c>
      <c r="P57" s="60" t="s">
        <v>1223</v>
      </c>
    </row>
    <row r="58" spans="2:22" s="2" customFormat="1" ht="57.75" customHeight="1">
      <c r="B58" s="59">
        <v>1</v>
      </c>
      <c r="C58" s="67" t="s">
        <v>1149</v>
      </c>
      <c r="D58" s="196" t="s">
        <v>1150</v>
      </c>
      <c r="E58" s="196"/>
      <c r="F58" s="76">
        <v>8</v>
      </c>
      <c r="G58" s="54">
        <v>213000</v>
      </c>
      <c r="H58" s="54">
        <v>232130</v>
      </c>
      <c r="I58" s="54">
        <v>253000</v>
      </c>
      <c r="J58" s="39">
        <f t="shared" ref="J58:J80" si="12">ROUND(G58*F58,0)</f>
        <v>1704000</v>
      </c>
      <c r="K58" s="39">
        <f>J58*$I$35</f>
        <v>1704000</v>
      </c>
      <c r="L58" s="39">
        <f>ROUND(H58*F58,0)</f>
        <v>1857040</v>
      </c>
      <c r="M58" s="39">
        <f>L58*(SUM($J$35:$K$35))</f>
        <v>22284480</v>
      </c>
      <c r="N58" s="39">
        <f>ROUND(I58*F58,0)</f>
        <v>2024000</v>
      </c>
      <c r="O58" s="39">
        <f>N58*(SUM($L$35:$M$35))</f>
        <v>24288000</v>
      </c>
      <c r="P58" s="81">
        <f>K58+M58+O58</f>
        <v>48276480</v>
      </c>
    </row>
    <row r="59" spans="2:22" s="2" customFormat="1" ht="78" customHeight="1">
      <c r="B59" s="59">
        <v>2</v>
      </c>
      <c r="C59" s="67" t="s">
        <v>1149</v>
      </c>
      <c r="D59" s="196" t="s">
        <v>1151</v>
      </c>
      <c r="E59" s="196" t="s">
        <v>1151</v>
      </c>
      <c r="F59" s="76">
        <v>8</v>
      </c>
      <c r="G59" s="54">
        <v>159000</v>
      </c>
      <c r="H59" s="54">
        <v>173500</v>
      </c>
      <c r="I59" s="54">
        <v>189000</v>
      </c>
      <c r="J59" s="39">
        <f t="shared" si="12"/>
        <v>1272000</v>
      </c>
      <c r="K59" s="39">
        <f t="shared" ref="K59:K80" si="13">J59*$I$35</f>
        <v>1272000</v>
      </c>
      <c r="L59" s="39">
        <f t="shared" ref="L59:L80" si="14">ROUND(H59*F59,0)</f>
        <v>1388000</v>
      </c>
      <c r="M59" s="39">
        <f t="shared" ref="M59:M80" si="15">L59*(SUM($J$35:$K$35))</f>
        <v>16656000</v>
      </c>
      <c r="N59" s="39">
        <f t="shared" ref="N59:N80" si="16">ROUND(I59*F59,0)</f>
        <v>1512000</v>
      </c>
      <c r="O59" s="39">
        <f t="shared" ref="O59:O80" si="17">N59*(SUM($L$35:$M$35))</f>
        <v>18144000</v>
      </c>
      <c r="P59" s="81">
        <f t="shared" ref="P59:P80" si="18">K59+M59+O59</f>
        <v>36072000</v>
      </c>
    </row>
    <row r="60" spans="2:22" s="2" customFormat="1" ht="78" customHeight="1">
      <c r="B60" s="59">
        <v>3</v>
      </c>
      <c r="C60" s="67" t="s">
        <v>1149</v>
      </c>
      <c r="D60" s="196" t="s">
        <v>1152</v>
      </c>
      <c r="E60" s="196" t="s">
        <v>1152</v>
      </c>
      <c r="F60" s="76">
        <f>36+5</f>
        <v>41</v>
      </c>
      <c r="G60" s="54">
        <v>59300</v>
      </c>
      <c r="H60" s="54">
        <v>64700</v>
      </c>
      <c r="I60" s="54">
        <v>70500</v>
      </c>
      <c r="J60" s="39">
        <f t="shared" si="12"/>
        <v>2431300</v>
      </c>
      <c r="K60" s="39">
        <f t="shared" si="13"/>
        <v>2431300</v>
      </c>
      <c r="L60" s="39">
        <f t="shared" si="14"/>
        <v>2652700</v>
      </c>
      <c r="M60" s="39">
        <f t="shared" si="15"/>
        <v>31832400</v>
      </c>
      <c r="N60" s="39">
        <f t="shared" si="16"/>
        <v>2890500</v>
      </c>
      <c r="O60" s="39">
        <f t="shared" si="17"/>
        <v>34686000</v>
      </c>
      <c r="P60" s="81">
        <f t="shared" si="18"/>
        <v>68949700</v>
      </c>
    </row>
    <row r="61" spans="2:22" s="2" customFormat="1" ht="78" customHeight="1">
      <c r="B61" s="59">
        <v>4</v>
      </c>
      <c r="C61" s="67" t="s">
        <v>1149</v>
      </c>
      <c r="D61" s="196" t="s">
        <v>1153</v>
      </c>
      <c r="E61" s="196" t="s">
        <v>1153</v>
      </c>
      <c r="F61" s="76">
        <f>70+1</f>
        <v>71</v>
      </c>
      <c r="G61" s="54">
        <v>59300</v>
      </c>
      <c r="H61" s="54">
        <v>64700</v>
      </c>
      <c r="I61" s="54">
        <v>70500</v>
      </c>
      <c r="J61" s="39">
        <f t="shared" si="12"/>
        <v>4210300</v>
      </c>
      <c r="K61" s="39">
        <f t="shared" si="13"/>
        <v>4210300</v>
      </c>
      <c r="L61" s="39">
        <f t="shared" si="14"/>
        <v>4593700</v>
      </c>
      <c r="M61" s="39">
        <f t="shared" si="15"/>
        <v>55124400</v>
      </c>
      <c r="N61" s="39">
        <f t="shared" si="16"/>
        <v>5005500</v>
      </c>
      <c r="O61" s="39">
        <f t="shared" si="17"/>
        <v>60066000</v>
      </c>
      <c r="P61" s="81">
        <f t="shared" si="18"/>
        <v>119400700</v>
      </c>
    </row>
    <row r="62" spans="2:22" s="2" customFormat="1" ht="78" customHeight="1">
      <c r="B62" s="59">
        <v>5</v>
      </c>
      <c r="C62" s="67" t="s">
        <v>1149</v>
      </c>
      <c r="D62" s="196" t="s">
        <v>1154</v>
      </c>
      <c r="E62" s="196" t="s">
        <v>1154</v>
      </c>
      <c r="F62" s="76">
        <v>4</v>
      </c>
      <c r="G62" s="54">
        <v>1736200</v>
      </c>
      <c r="H62" s="54">
        <v>1857000</v>
      </c>
      <c r="I62" s="54">
        <v>2025000</v>
      </c>
      <c r="J62" s="39">
        <f t="shared" si="12"/>
        <v>6944800</v>
      </c>
      <c r="K62" s="39">
        <f t="shared" si="13"/>
        <v>6944800</v>
      </c>
      <c r="L62" s="39">
        <f t="shared" si="14"/>
        <v>7428000</v>
      </c>
      <c r="M62" s="39">
        <f t="shared" si="15"/>
        <v>89136000</v>
      </c>
      <c r="N62" s="39">
        <f t="shared" si="16"/>
        <v>8100000</v>
      </c>
      <c r="O62" s="39">
        <f t="shared" si="17"/>
        <v>97200000</v>
      </c>
      <c r="P62" s="81">
        <f t="shared" si="18"/>
        <v>193280800</v>
      </c>
    </row>
    <row r="63" spans="2:22" s="2" customFormat="1" ht="71.25" customHeight="1">
      <c r="B63" s="59">
        <v>6</v>
      </c>
      <c r="C63" s="67" t="s">
        <v>1155</v>
      </c>
      <c r="D63" s="196" t="s">
        <v>1156</v>
      </c>
      <c r="E63" s="196"/>
      <c r="F63" s="76">
        <v>34</v>
      </c>
      <c r="G63" s="54">
        <v>12000</v>
      </c>
      <c r="H63" s="54">
        <v>13167</v>
      </c>
      <c r="I63" s="54">
        <v>14500</v>
      </c>
      <c r="J63" s="39">
        <f t="shared" si="12"/>
        <v>408000</v>
      </c>
      <c r="K63" s="39">
        <f t="shared" si="13"/>
        <v>408000</v>
      </c>
      <c r="L63" s="39">
        <f t="shared" si="14"/>
        <v>447678</v>
      </c>
      <c r="M63" s="39">
        <f t="shared" si="15"/>
        <v>5372136</v>
      </c>
      <c r="N63" s="39">
        <f t="shared" si="16"/>
        <v>493000</v>
      </c>
      <c r="O63" s="39">
        <f t="shared" si="17"/>
        <v>5916000</v>
      </c>
      <c r="P63" s="81">
        <f t="shared" si="18"/>
        <v>11696136</v>
      </c>
    </row>
    <row r="64" spans="2:22" s="2" customFormat="1" ht="71.25" customHeight="1">
      <c r="B64" s="59">
        <v>7</v>
      </c>
      <c r="C64" s="67" t="s">
        <v>1155</v>
      </c>
      <c r="D64" s="196" t="s">
        <v>1157</v>
      </c>
      <c r="E64" s="196" t="s">
        <v>127</v>
      </c>
      <c r="F64" s="76">
        <v>8</v>
      </c>
      <c r="G64" s="54">
        <v>495000</v>
      </c>
      <c r="H64" s="54">
        <v>545000</v>
      </c>
      <c r="I64" s="54">
        <v>599500</v>
      </c>
      <c r="J64" s="39">
        <f t="shared" si="12"/>
        <v>3960000</v>
      </c>
      <c r="K64" s="39">
        <f t="shared" si="13"/>
        <v>3960000</v>
      </c>
      <c r="L64" s="39">
        <f t="shared" si="14"/>
        <v>4360000</v>
      </c>
      <c r="M64" s="39">
        <f t="shared" si="15"/>
        <v>52320000</v>
      </c>
      <c r="N64" s="39">
        <f t="shared" si="16"/>
        <v>4796000</v>
      </c>
      <c r="O64" s="39">
        <f t="shared" si="17"/>
        <v>57552000</v>
      </c>
      <c r="P64" s="81">
        <f t="shared" si="18"/>
        <v>113832000</v>
      </c>
    </row>
    <row r="65" spans="2:16" s="2" customFormat="1" ht="71.25" customHeight="1">
      <c r="B65" s="59">
        <v>8</v>
      </c>
      <c r="C65" s="67" t="s">
        <v>1155</v>
      </c>
      <c r="D65" s="196" t="s">
        <v>1158</v>
      </c>
      <c r="E65" s="196" t="s">
        <v>128</v>
      </c>
      <c r="F65" s="76">
        <v>7</v>
      </c>
      <c r="G65" s="54">
        <v>35000</v>
      </c>
      <c r="H65" s="54">
        <v>38500</v>
      </c>
      <c r="I65" s="54">
        <v>42350</v>
      </c>
      <c r="J65" s="39">
        <f t="shared" si="12"/>
        <v>245000</v>
      </c>
      <c r="K65" s="39">
        <f t="shared" si="13"/>
        <v>245000</v>
      </c>
      <c r="L65" s="39">
        <f t="shared" si="14"/>
        <v>269500</v>
      </c>
      <c r="M65" s="39">
        <f t="shared" si="15"/>
        <v>3234000</v>
      </c>
      <c r="N65" s="39">
        <f t="shared" si="16"/>
        <v>296450</v>
      </c>
      <c r="O65" s="39">
        <f t="shared" si="17"/>
        <v>3557400</v>
      </c>
      <c r="P65" s="81">
        <f t="shared" si="18"/>
        <v>7036400</v>
      </c>
    </row>
    <row r="66" spans="2:16" s="2" customFormat="1" ht="71.25" customHeight="1">
      <c r="B66" s="59">
        <v>9</v>
      </c>
      <c r="C66" s="67" t="s">
        <v>1155</v>
      </c>
      <c r="D66" s="196" t="s">
        <v>1159</v>
      </c>
      <c r="E66" s="196" t="s">
        <v>1178</v>
      </c>
      <c r="F66" s="76">
        <v>9</v>
      </c>
      <c r="G66" s="54">
        <v>30000</v>
      </c>
      <c r="H66" s="54">
        <v>33000</v>
      </c>
      <c r="I66" s="54">
        <v>36300</v>
      </c>
      <c r="J66" s="39">
        <f t="shared" si="12"/>
        <v>270000</v>
      </c>
      <c r="K66" s="39">
        <f t="shared" si="13"/>
        <v>270000</v>
      </c>
      <c r="L66" s="39">
        <f t="shared" si="14"/>
        <v>297000</v>
      </c>
      <c r="M66" s="39">
        <f t="shared" si="15"/>
        <v>3564000</v>
      </c>
      <c r="N66" s="39">
        <f t="shared" si="16"/>
        <v>326700</v>
      </c>
      <c r="O66" s="39">
        <f t="shared" si="17"/>
        <v>3920400</v>
      </c>
      <c r="P66" s="81">
        <f t="shared" si="18"/>
        <v>7754400</v>
      </c>
    </row>
    <row r="67" spans="2:16" s="2" customFormat="1" ht="71.25" customHeight="1">
      <c r="B67" s="59">
        <v>10</v>
      </c>
      <c r="C67" s="67" t="s">
        <v>1155</v>
      </c>
      <c r="D67" s="196" t="s">
        <v>1160</v>
      </c>
      <c r="E67" s="196" t="s">
        <v>1178</v>
      </c>
      <c r="F67" s="76">
        <v>8</v>
      </c>
      <c r="G67" s="54">
        <v>30000</v>
      </c>
      <c r="H67" s="54">
        <v>33000</v>
      </c>
      <c r="I67" s="54">
        <v>36300</v>
      </c>
      <c r="J67" s="39">
        <f t="shared" si="12"/>
        <v>240000</v>
      </c>
      <c r="K67" s="39">
        <f t="shared" si="13"/>
        <v>240000</v>
      </c>
      <c r="L67" s="39">
        <f t="shared" si="14"/>
        <v>264000</v>
      </c>
      <c r="M67" s="39">
        <f t="shared" si="15"/>
        <v>3168000</v>
      </c>
      <c r="N67" s="39">
        <f t="shared" si="16"/>
        <v>290400</v>
      </c>
      <c r="O67" s="39">
        <f t="shared" si="17"/>
        <v>3484800</v>
      </c>
      <c r="P67" s="81">
        <f t="shared" si="18"/>
        <v>6892800</v>
      </c>
    </row>
    <row r="68" spans="2:16" s="2" customFormat="1" ht="44.25" customHeight="1">
      <c r="B68" s="59">
        <v>11</v>
      </c>
      <c r="C68" s="67" t="s">
        <v>1155</v>
      </c>
      <c r="D68" s="196" t="s">
        <v>1161</v>
      </c>
      <c r="E68" s="196" t="s">
        <v>1178</v>
      </c>
      <c r="F68" s="76">
        <v>77</v>
      </c>
      <c r="G68" s="54">
        <v>4900</v>
      </c>
      <c r="H68" s="54">
        <v>5400</v>
      </c>
      <c r="I68" s="54">
        <v>5900</v>
      </c>
      <c r="J68" s="39">
        <f t="shared" si="12"/>
        <v>377300</v>
      </c>
      <c r="K68" s="39">
        <f t="shared" si="13"/>
        <v>377300</v>
      </c>
      <c r="L68" s="39">
        <f t="shared" si="14"/>
        <v>415800</v>
      </c>
      <c r="M68" s="39">
        <f t="shared" si="15"/>
        <v>4989600</v>
      </c>
      <c r="N68" s="39">
        <f t="shared" si="16"/>
        <v>454300</v>
      </c>
      <c r="O68" s="39">
        <f t="shared" si="17"/>
        <v>5451600</v>
      </c>
      <c r="P68" s="81">
        <f t="shared" si="18"/>
        <v>10818500</v>
      </c>
    </row>
    <row r="69" spans="2:16" s="2" customFormat="1" ht="44.25" customHeight="1">
      <c r="B69" s="59">
        <v>12</v>
      </c>
      <c r="C69" s="67" t="s">
        <v>1155</v>
      </c>
      <c r="D69" s="196" t="s">
        <v>1162</v>
      </c>
      <c r="E69" s="196" t="s">
        <v>1179</v>
      </c>
      <c r="F69" s="76">
        <v>17</v>
      </c>
      <c r="G69" s="54">
        <v>49000</v>
      </c>
      <c r="H69" s="54">
        <v>58000</v>
      </c>
      <c r="I69" s="54">
        <v>69600</v>
      </c>
      <c r="J69" s="39">
        <f t="shared" si="12"/>
        <v>833000</v>
      </c>
      <c r="K69" s="39">
        <f t="shared" si="13"/>
        <v>833000</v>
      </c>
      <c r="L69" s="39">
        <f t="shared" si="14"/>
        <v>986000</v>
      </c>
      <c r="M69" s="39">
        <f t="shared" si="15"/>
        <v>11832000</v>
      </c>
      <c r="N69" s="39">
        <f t="shared" si="16"/>
        <v>1183200</v>
      </c>
      <c r="O69" s="39">
        <f t="shared" si="17"/>
        <v>14198400</v>
      </c>
      <c r="P69" s="81">
        <f t="shared" si="18"/>
        <v>26863400</v>
      </c>
    </row>
    <row r="70" spans="2:16" s="2" customFormat="1" ht="44.25" customHeight="1">
      <c r="B70" s="59">
        <v>13</v>
      </c>
      <c r="C70" s="67" t="s">
        <v>1155</v>
      </c>
      <c r="D70" s="196" t="s">
        <v>1163</v>
      </c>
      <c r="E70" s="196" t="s">
        <v>129</v>
      </c>
      <c r="F70" s="76">
        <v>12</v>
      </c>
      <c r="G70" s="54">
        <v>43500</v>
      </c>
      <c r="H70" s="54">
        <v>52100</v>
      </c>
      <c r="I70" s="54">
        <v>62517</v>
      </c>
      <c r="J70" s="39">
        <f t="shared" si="12"/>
        <v>522000</v>
      </c>
      <c r="K70" s="39">
        <f t="shared" si="13"/>
        <v>522000</v>
      </c>
      <c r="L70" s="39">
        <f t="shared" si="14"/>
        <v>625200</v>
      </c>
      <c r="M70" s="39">
        <f t="shared" si="15"/>
        <v>7502400</v>
      </c>
      <c r="N70" s="39">
        <f t="shared" si="16"/>
        <v>750204</v>
      </c>
      <c r="O70" s="39">
        <f t="shared" si="17"/>
        <v>9002448</v>
      </c>
      <c r="P70" s="81">
        <f t="shared" si="18"/>
        <v>17026848</v>
      </c>
    </row>
    <row r="71" spans="2:16" s="2" customFormat="1" ht="44.25" customHeight="1">
      <c r="B71" s="59">
        <v>14</v>
      </c>
      <c r="C71" s="67" t="s">
        <v>1155</v>
      </c>
      <c r="D71" s="196" t="s">
        <v>1164</v>
      </c>
      <c r="E71" s="196" t="s">
        <v>130</v>
      </c>
      <c r="F71" s="76">
        <v>14</v>
      </c>
      <c r="G71" s="54">
        <v>1500</v>
      </c>
      <c r="H71" s="54">
        <v>1800</v>
      </c>
      <c r="I71" s="54">
        <v>2100</v>
      </c>
      <c r="J71" s="39">
        <f t="shared" si="12"/>
        <v>21000</v>
      </c>
      <c r="K71" s="39">
        <f t="shared" si="13"/>
        <v>21000</v>
      </c>
      <c r="L71" s="39">
        <f t="shared" si="14"/>
        <v>25200</v>
      </c>
      <c r="M71" s="39">
        <f t="shared" si="15"/>
        <v>302400</v>
      </c>
      <c r="N71" s="39">
        <f t="shared" si="16"/>
        <v>29400</v>
      </c>
      <c r="O71" s="39">
        <f t="shared" si="17"/>
        <v>352800</v>
      </c>
      <c r="P71" s="81">
        <f t="shared" si="18"/>
        <v>676200</v>
      </c>
    </row>
    <row r="72" spans="2:16" s="2" customFormat="1" ht="44.25" customHeight="1">
      <c r="B72" s="59">
        <v>15</v>
      </c>
      <c r="C72" s="67" t="s">
        <v>1155</v>
      </c>
      <c r="D72" s="196" t="s">
        <v>1165</v>
      </c>
      <c r="E72" s="196" t="s">
        <v>131</v>
      </c>
      <c r="F72" s="76">
        <v>1</v>
      </c>
      <c r="G72" s="54">
        <v>13400</v>
      </c>
      <c r="H72" s="54">
        <v>14750</v>
      </c>
      <c r="I72" s="54">
        <v>16000</v>
      </c>
      <c r="J72" s="39">
        <f t="shared" si="12"/>
        <v>13400</v>
      </c>
      <c r="K72" s="39">
        <f t="shared" si="13"/>
        <v>13400</v>
      </c>
      <c r="L72" s="39">
        <f t="shared" si="14"/>
        <v>14750</v>
      </c>
      <c r="M72" s="39">
        <f t="shared" si="15"/>
        <v>177000</v>
      </c>
      <c r="N72" s="39">
        <f t="shared" si="16"/>
        <v>16000</v>
      </c>
      <c r="O72" s="39">
        <f t="shared" si="17"/>
        <v>192000</v>
      </c>
      <c r="P72" s="81">
        <f t="shared" si="18"/>
        <v>382400</v>
      </c>
    </row>
    <row r="73" spans="2:16" s="2" customFormat="1" ht="61.5" customHeight="1">
      <c r="B73" s="59">
        <v>16</v>
      </c>
      <c r="C73" s="67" t="s">
        <v>1155</v>
      </c>
      <c r="D73" s="196" t="s">
        <v>1166</v>
      </c>
      <c r="E73" s="196" t="s">
        <v>132</v>
      </c>
      <c r="F73" s="76">
        <v>3</v>
      </c>
      <c r="G73" s="54">
        <v>290000</v>
      </c>
      <c r="H73" s="54">
        <v>319000</v>
      </c>
      <c r="I73" s="54">
        <v>350900</v>
      </c>
      <c r="J73" s="39">
        <f t="shared" si="12"/>
        <v>870000</v>
      </c>
      <c r="K73" s="39">
        <f t="shared" si="13"/>
        <v>870000</v>
      </c>
      <c r="L73" s="39">
        <f t="shared" si="14"/>
        <v>957000</v>
      </c>
      <c r="M73" s="39">
        <f t="shared" si="15"/>
        <v>11484000</v>
      </c>
      <c r="N73" s="39">
        <f t="shared" si="16"/>
        <v>1052700</v>
      </c>
      <c r="O73" s="39">
        <f t="shared" si="17"/>
        <v>12632400</v>
      </c>
      <c r="P73" s="81">
        <f t="shared" si="18"/>
        <v>24986400</v>
      </c>
    </row>
    <row r="74" spans="2:16" s="2" customFormat="1" ht="44.25" customHeight="1">
      <c r="B74" s="59">
        <v>17</v>
      </c>
      <c r="C74" s="67" t="s">
        <v>1167</v>
      </c>
      <c r="D74" s="196" t="s">
        <v>1168</v>
      </c>
      <c r="E74" s="196"/>
      <c r="F74" s="76">
        <v>5</v>
      </c>
      <c r="G74" s="54">
        <v>75000</v>
      </c>
      <c r="H74" s="54">
        <v>82500</v>
      </c>
      <c r="I74" s="54">
        <v>90750</v>
      </c>
      <c r="J74" s="39">
        <f t="shared" si="12"/>
        <v>375000</v>
      </c>
      <c r="K74" s="39">
        <f t="shared" si="13"/>
        <v>375000</v>
      </c>
      <c r="L74" s="39">
        <f t="shared" si="14"/>
        <v>412500</v>
      </c>
      <c r="M74" s="39">
        <f t="shared" si="15"/>
        <v>4950000</v>
      </c>
      <c r="N74" s="39">
        <f t="shared" si="16"/>
        <v>453750</v>
      </c>
      <c r="O74" s="39">
        <f t="shared" si="17"/>
        <v>5445000</v>
      </c>
      <c r="P74" s="81">
        <f t="shared" si="18"/>
        <v>10770000</v>
      </c>
    </row>
    <row r="75" spans="2:16" s="2" customFormat="1" ht="44.25" customHeight="1">
      <c r="B75" s="59">
        <v>18</v>
      </c>
      <c r="C75" s="67" t="s">
        <v>1167</v>
      </c>
      <c r="D75" s="196" t="s">
        <v>1169</v>
      </c>
      <c r="E75" s="196" t="s">
        <v>1169</v>
      </c>
      <c r="F75" s="76">
        <v>34</v>
      </c>
      <c r="G75" s="54">
        <v>159000</v>
      </c>
      <c r="H75" s="54">
        <v>174900</v>
      </c>
      <c r="I75" s="54">
        <v>192400</v>
      </c>
      <c r="J75" s="39">
        <f t="shared" si="12"/>
        <v>5406000</v>
      </c>
      <c r="K75" s="39">
        <f t="shared" si="13"/>
        <v>5406000</v>
      </c>
      <c r="L75" s="39">
        <f t="shared" si="14"/>
        <v>5946600</v>
      </c>
      <c r="M75" s="39">
        <f t="shared" si="15"/>
        <v>71359200</v>
      </c>
      <c r="N75" s="39">
        <f t="shared" si="16"/>
        <v>6541600</v>
      </c>
      <c r="O75" s="39">
        <f t="shared" si="17"/>
        <v>78499200</v>
      </c>
      <c r="P75" s="81">
        <f t="shared" si="18"/>
        <v>155264400</v>
      </c>
    </row>
    <row r="76" spans="2:16" s="2" customFormat="1" ht="44.25" customHeight="1">
      <c r="B76" s="59">
        <v>19</v>
      </c>
      <c r="C76" s="67" t="s">
        <v>1170</v>
      </c>
      <c r="D76" s="196" t="s">
        <v>1171</v>
      </c>
      <c r="E76" s="196"/>
      <c r="F76" s="76">
        <v>22</v>
      </c>
      <c r="G76" s="54">
        <v>164900</v>
      </c>
      <c r="H76" s="54">
        <v>178091</v>
      </c>
      <c r="I76" s="54">
        <v>192300</v>
      </c>
      <c r="J76" s="39">
        <f t="shared" si="12"/>
        <v>3627800</v>
      </c>
      <c r="K76" s="39">
        <f t="shared" si="13"/>
        <v>3627800</v>
      </c>
      <c r="L76" s="39">
        <f t="shared" si="14"/>
        <v>3918002</v>
      </c>
      <c r="M76" s="39">
        <f t="shared" si="15"/>
        <v>47016024</v>
      </c>
      <c r="N76" s="39">
        <f t="shared" si="16"/>
        <v>4230600</v>
      </c>
      <c r="O76" s="39">
        <f t="shared" si="17"/>
        <v>50767200</v>
      </c>
      <c r="P76" s="81">
        <f t="shared" si="18"/>
        <v>101411024</v>
      </c>
    </row>
    <row r="77" spans="2:16" s="2" customFormat="1" ht="44.25" customHeight="1">
      <c r="B77" s="59">
        <v>20</v>
      </c>
      <c r="C77" s="67" t="s">
        <v>1170</v>
      </c>
      <c r="D77" s="196" t="s">
        <v>1172</v>
      </c>
      <c r="E77" s="196" t="s">
        <v>1172</v>
      </c>
      <c r="F77" s="76">
        <v>8</v>
      </c>
      <c r="G77" s="54">
        <v>164900</v>
      </c>
      <c r="H77" s="54">
        <v>178091</v>
      </c>
      <c r="I77" s="54">
        <v>192300</v>
      </c>
      <c r="J77" s="39">
        <f t="shared" si="12"/>
        <v>1319200</v>
      </c>
      <c r="K77" s="39">
        <f t="shared" si="13"/>
        <v>1319200</v>
      </c>
      <c r="L77" s="39">
        <f t="shared" si="14"/>
        <v>1424728</v>
      </c>
      <c r="M77" s="39">
        <f t="shared" si="15"/>
        <v>17096736</v>
      </c>
      <c r="N77" s="39">
        <f t="shared" si="16"/>
        <v>1538400</v>
      </c>
      <c r="O77" s="39">
        <f t="shared" si="17"/>
        <v>18460800</v>
      </c>
      <c r="P77" s="81">
        <f t="shared" si="18"/>
        <v>36876736</v>
      </c>
    </row>
    <row r="78" spans="2:16" s="2" customFormat="1" ht="44.25" customHeight="1">
      <c r="B78" s="59">
        <v>21</v>
      </c>
      <c r="C78" s="67" t="s">
        <v>1170</v>
      </c>
      <c r="D78" s="196" t="s">
        <v>1173</v>
      </c>
      <c r="E78" s="196" t="s">
        <v>1173</v>
      </c>
      <c r="F78" s="76">
        <v>15</v>
      </c>
      <c r="G78" s="54">
        <v>165500</v>
      </c>
      <c r="H78" s="54">
        <v>178740</v>
      </c>
      <c r="I78" s="54">
        <v>193039</v>
      </c>
      <c r="J78" s="39">
        <f t="shared" si="12"/>
        <v>2482500</v>
      </c>
      <c r="K78" s="39">
        <f t="shared" si="13"/>
        <v>2482500</v>
      </c>
      <c r="L78" s="39">
        <f t="shared" si="14"/>
        <v>2681100</v>
      </c>
      <c r="M78" s="39">
        <f t="shared" si="15"/>
        <v>32173200</v>
      </c>
      <c r="N78" s="39">
        <f t="shared" si="16"/>
        <v>2895585</v>
      </c>
      <c r="O78" s="39">
        <f t="shared" si="17"/>
        <v>34747020</v>
      </c>
      <c r="P78" s="81">
        <f t="shared" si="18"/>
        <v>69402720</v>
      </c>
    </row>
    <row r="79" spans="2:16" s="2" customFormat="1" ht="44.25" customHeight="1">
      <c r="B79" s="59">
        <v>22</v>
      </c>
      <c r="C79" s="67" t="s">
        <v>1170</v>
      </c>
      <c r="D79" s="196" t="s">
        <v>1174</v>
      </c>
      <c r="E79" s="196" t="s">
        <v>1174</v>
      </c>
      <c r="F79" s="76">
        <v>9</v>
      </c>
      <c r="G79" s="54">
        <v>75000</v>
      </c>
      <c r="H79" s="54">
        <v>81000</v>
      </c>
      <c r="I79" s="54">
        <v>87480</v>
      </c>
      <c r="J79" s="39">
        <f t="shared" si="12"/>
        <v>675000</v>
      </c>
      <c r="K79" s="39">
        <f t="shared" si="13"/>
        <v>675000</v>
      </c>
      <c r="L79" s="39">
        <f t="shared" si="14"/>
        <v>729000</v>
      </c>
      <c r="M79" s="39">
        <f t="shared" si="15"/>
        <v>8748000</v>
      </c>
      <c r="N79" s="39">
        <f t="shared" si="16"/>
        <v>787320</v>
      </c>
      <c r="O79" s="39">
        <f t="shared" si="17"/>
        <v>9447840</v>
      </c>
      <c r="P79" s="81">
        <f t="shared" si="18"/>
        <v>18870840</v>
      </c>
    </row>
    <row r="80" spans="2:16" s="2" customFormat="1" ht="44.25" customHeight="1">
      <c r="B80" s="59">
        <v>23</v>
      </c>
      <c r="C80" s="67" t="s">
        <v>1170</v>
      </c>
      <c r="D80" s="196" t="s">
        <v>1175</v>
      </c>
      <c r="E80" s="196"/>
      <c r="F80" s="76">
        <v>1</v>
      </c>
      <c r="G80" s="54">
        <v>58900</v>
      </c>
      <c r="H80" s="54">
        <v>63000</v>
      </c>
      <c r="I80" s="54">
        <v>68040</v>
      </c>
      <c r="J80" s="39">
        <f t="shared" si="12"/>
        <v>58900</v>
      </c>
      <c r="K80" s="39">
        <f t="shared" si="13"/>
        <v>58900</v>
      </c>
      <c r="L80" s="39">
        <f t="shared" si="14"/>
        <v>63000</v>
      </c>
      <c r="M80" s="39">
        <f t="shared" si="15"/>
        <v>756000</v>
      </c>
      <c r="N80" s="39">
        <f t="shared" si="16"/>
        <v>68040</v>
      </c>
      <c r="O80" s="39">
        <f t="shared" si="17"/>
        <v>816480</v>
      </c>
      <c r="P80" s="81">
        <f t="shared" si="18"/>
        <v>1631380</v>
      </c>
    </row>
    <row r="81" spans="2:16" s="2" customFormat="1" ht="24.75" customHeight="1">
      <c r="B81" s="201" t="s">
        <v>1224</v>
      </c>
      <c r="C81" s="201"/>
      <c r="D81" s="201"/>
      <c r="E81" s="201"/>
      <c r="F81" s="201"/>
      <c r="G81" s="201"/>
      <c r="H81" s="201"/>
      <c r="I81" s="201"/>
      <c r="J81" s="201"/>
      <c r="K81" s="201"/>
      <c r="L81" s="201"/>
      <c r="M81" s="201"/>
      <c r="N81" s="201"/>
      <c r="O81" s="201"/>
      <c r="P81" s="81">
        <f>SUM(P58:P80)</f>
        <v>1088172264</v>
      </c>
    </row>
    <row r="82" spans="2:16" s="2" customFormat="1" ht="12.5">
      <c r="C82" s="4"/>
      <c r="D82" s="4"/>
      <c r="E82" s="4"/>
      <c r="F82" s="4"/>
      <c r="G82" s="99">
        <f>SUM(G58:G80)</f>
        <v>4094300</v>
      </c>
      <c r="H82" s="99">
        <f>SUM(H58:H80)</f>
        <v>4442069</v>
      </c>
      <c r="I82" s="99">
        <f>SUM(I58:I80)</f>
        <v>4860276</v>
      </c>
    </row>
    <row r="83" spans="2:16" s="2" customFormat="1" ht="29.25" customHeight="1">
      <c r="B83" s="171" t="s">
        <v>1184</v>
      </c>
      <c r="C83" s="172"/>
      <c r="D83" s="172"/>
      <c r="E83" s="172"/>
      <c r="F83" s="172"/>
      <c r="G83" s="172"/>
      <c r="H83" s="172"/>
      <c r="I83" s="172"/>
      <c r="J83" s="197"/>
    </row>
    <row r="84" spans="2:16" s="2" customFormat="1" ht="29.25" customHeight="1">
      <c r="C84" s="4"/>
      <c r="D84" s="4"/>
      <c r="E84" s="4"/>
      <c r="F84" s="4"/>
      <c r="G84" s="4"/>
      <c r="H84" s="4"/>
    </row>
    <row r="85" spans="2:16" s="2" customFormat="1" ht="29.25" customHeight="1">
      <c r="B85" s="198" t="s">
        <v>1185</v>
      </c>
      <c r="C85" s="198"/>
      <c r="D85" s="198"/>
      <c r="E85" s="198"/>
      <c r="F85" s="198"/>
      <c r="G85"/>
      <c r="H85"/>
      <c r="I85"/>
      <c r="J85"/>
    </row>
    <row r="86" spans="2:16" s="2" customFormat="1" ht="29.25" customHeight="1">
      <c r="C86" s="4"/>
      <c r="D86" s="4"/>
      <c r="E86" s="4"/>
      <c r="F86" s="4"/>
      <c r="G86" s="4"/>
      <c r="H86" s="4"/>
    </row>
    <row r="87" spans="2:16" s="2" customFormat="1" ht="29.25" customHeight="1">
      <c r="B87" s="199" t="s">
        <v>133</v>
      </c>
      <c r="C87" s="199"/>
      <c r="D87" s="199"/>
      <c r="E87" s="77" t="s">
        <v>121</v>
      </c>
    </row>
    <row r="88" spans="2:16" s="2" customFormat="1" ht="29.25" customHeight="1">
      <c r="B88" s="180" t="s">
        <v>134</v>
      </c>
      <c r="C88" s="181"/>
      <c r="D88" s="182"/>
      <c r="E88" s="78">
        <f>SUM(V45:V50)</f>
        <v>6409440206</v>
      </c>
    </row>
    <row r="89" spans="2:16" s="2" customFormat="1" ht="29.25" customHeight="1">
      <c r="B89" s="180" t="s">
        <v>135</v>
      </c>
      <c r="C89" s="181"/>
      <c r="D89" s="182"/>
      <c r="E89" s="78">
        <f>SUM(P58:P80)</f>
        <v>1088172264</v>
      </c>
    </row>
    <row r="90" spans="2:16" s="2" customFormat="1" ht="29.25" customHeight="1">
      <c r="B90" s="180" t="s">
        <v>136</v>
      </c>
      <c r="C90" s="181"/>
      <c r="D90" s="182"/>
      <c r="E90" s="78">
        <f>E88+E89</f>
        <v>7497612470</v>
      </c>
    </row>
    <row r="91" spans="2:16" s="2" customFormat="1" ht="29.25" customHeight="1">
      <c r="B91" s="183" t="s">
        <v>1195</v>
      </c>
      <c r="C91" s="183"/>
      <c r="D91" s="55">
        <v>0.1</v>
      </c>
      <c r="E91" s="78">
        <f>ROUND((E90)*D91,0)</f>
        <v>749761247</v>
      </c>
      <c r="G91" s="70"/>
    </row>
    <row r="92" spans="2:16" s="2" customFormat="1" ht="29.25" customHeight="1">
      <c r="B92" s="183" t="s">
        <v>137</v>
      </c>
      <c r="C92" s="183"/>
      <c r="D92" s="56">
        <v>0.19</v>
      </c>
      <c r="E92" s="78">
        <f>ROUND(E91*D92,0)</f>
        <v>142454637</v>
      </c>
      <c r="G92" s="70"/>
    </row>
    <row r="93" spans="2:16" s="2" customFormat="1" ht="29.25" customHeight="1">
      <c r="B93" s="173" t="s">
        <v>1203</v>
      </c>
      <c r="C93" s="184"/>
      <c r="D93" s="185"/>
      <c r="E93" s="79">
        <f>E90+E92</f>
        <v>7640067107</v>
      </c>
      <c r="G93" s="70"/>
    </row>
    <row r="94" spans="2:16" s="2" customFormat="1" ht="12.5">
      <c r="C94" s="4"/>
      <c r="D94" s="4"/>
      <c r="E94" s="4"/>
      <c r="G94" s="4"/>
    </row>
    <row r="95" spans="2:16" s="2" customFormat="1" ht="12.5">
      <c r="C95" s="4"/>
      <c r="D95" s="4"/>
      <c r="E95" s="4"/>
      <c r="F95" s="4"/>
      <c r="G95" s="4"/>
      <c r="H95" s="4"/>
    </row>
    <row r="96" spans="2:16" ht="27.75" customHeight="1">
      <c r="B96" s="260" t="s">
        <v>83</v>
      </c>
      <c r="C96" s="260"/>
      <c r="D96" s="260"/>
      <c r="E96" s="260"/>
      <c r="F96" s="260"/>
      <c r="G96" s="260"/>
      <c r="H96" s="260"/>
      <c r="I96" s="260"/>
    </row>
    <row r="97" spans="2:9" ht="63.75" customHeight="1">
      <c r="B97" s="259" t="s">
        <v>1225</v>
      </c>
      <c r="C97" s="259"/>
      <c r="D97" s="259"/>
      <c r="E97" s="259"/>
      <c r="F97" s="259"/>
      <c r="G97" s="259"/>
      <c r="H97" s="259"/>
      <c r="I97" s="259"/>
    </row>
    <row r="98" spans="2:9" ht="52.5" customHeight="1">
      <c r="B98" s="259" t="s">
        <v>1186</v>
      </c>
      <c r="C98" s="259"/>
      <c r="D98" s="259"/>
      <c r="E98" s="259"/>
      <c r="F98" s="259"/>
      <c r="G98" s="259"/>
      <c r="H98" s="259"/>
      <c r="I98" s="259"/>
    </row>
    <row r="99" spans="2:9" ht="12.5"/>
    <row r="100" spans="2:9" ht="12.65" customHeight="1"/>
  </sheetData>
  <mergeCells count="72">
    <mergeCell ref="B98:I98"/>
    <mergeCell ref="B83:J83"/>
    <mergeCell ref="B85:F85"/>
    <mergeCell ref="B87:D87"/>
    <mergeCell ref="B88:D88"/>
    <mergeCell ref="B89:D89"/>
    <mergeCell ref="B90:D90"/>
    <mergeCell ref="B91:C91"/>
    <mergeCell ref="B92:C92"/>
    <mergeCell ref="B93:D93"/>
    <mergeCell ref="B96:I96"/>
    <mergeCell ref="B97:I97"/>
    <mergeCell ref="B81:O81"/>
    <mergeCell ref="D70:E70"/>
    <mergeCell ref="D71:E71"/>
    <mergeCell ref="D72:E72"/>
    <mergeCell ref="D73:E73"/>
    <mergeCell ref="D74:E74"/>
    <mergeCell ref="D75:E75"/>
    <mergeCell ref="D76:E76"/>
    <mergeCell ref="D77:E77"/>
    <mergeCell ref="D78:E78"/>
    <mergeCell ref="D79:E79"/>
    <mergeCell ref="D80:E80"/>
    <mergeCell ref="D69:E69"/>
    <mergeCell ref="D58:E58"/>
    <mergeCell ref="D59:E59"/>
    <mergeCell ref="D60:E60"/>
    <mergeCell ref="D61:E61"/>
    <mergeCell ref="D62:E62"/>
    <mergeCell ref="D63:E63"/>
    <mergeCell ref="D64:E64"/>
    <mergeCell ref="D65:E65"/>
    <mergeCell ref="D66:E66"/>
    <mergeCell ref="D67:E67"/>
    <mergeCell ref="D68:E68"/>
    <mergeCell ref="D57:E57"/>
    <mergeCell ref="F35:G35"/>
    <mergeCell ref="F36:G36"/>
    <mergeCell ref="B38:V38"/>
    <mergeCell ref="B41:V41"/>
    <mergeCell ref="B43:E43"/>
    <mergeCell ref="F43:K43"/>
    <mergeCell ref="L43:M43"/>
    <mergeCell ref="N43:O43"/>
    <mergeCell ref="P43:Q43"/>
    <mergeCell ref="R43:S43"/>
    <mergeCell ref="T43:U43"/>
    <mergeCell ref="B51:U51"/>
    <mergeCell ref="B54:V54"/>
    <mergeCell ref="B56:E56"/>
    <mergeCell ref="F56:P56"/>
    <mergeCell ref="B32:M32"/>
    <mergeCell ref="C9:E9"/>
    <mergeCell ref="G9:H9"/>
    <mergeCell ref="B10:L10"/>
    <mergeCell ref="B13:L13"/>
    <mergeCell ref="B15:L15"/>
    <mergeCell ref="B17:L17"/>
    <mergeCell ref="C20:E20"/>
    <mergeCell ref="M20:N22"/>
    <mergeCell ref="C21:E21"/>
    <mergeCell ref="B23:B30"/>
    <mergeCell ref="C23:F23"/>
    <mergeCell ref="C8:D8"/>
    <mergeCell ref="I8:J8"/>
    <mergeCell ref="K8:L8"/>
    <mergeCell ref="B2:K4"/>
    <mergeCell ref="L2:L4"/>
    <mergeCell ref="B6:L6"/>
    <mergeCell ref="B7:C7"/>
    <mergeCell ref="D7:L7"/>
  </mergeCells>
  <dataValidations count="2">
    <dataValidation type="decimal" allowBlank="1" showInputMessage="1" showErrorMessage="1" error="Tener en cuenta que las cooperativas de vigilancia y seguridad privada, podrán descontar del valor de la tarifa hasta el diez por ciento (10%)," sqref="F21" xr:uid="{ACE8152C-6BAF-48D4-A860-AB248C2D3E43}">
      <formula1>0</formula1>
      <formula2>0.1</formula2>
    </dataValidation>
    <dataValidation type="list" allowBlank="1" showInputMessage="1" showErrorMessage="1" sqref="F20" xr:uid="{67B1065A-6A50-44E9-BE60-CD64641E5ECB}">
      <formula1>"EMPRESA, COOPERATIVA"</formula1>
    </dataValidation>
  </dataValidations>
  <pageMargins left="0.70866141732283472" right="0.70866141732283472" top="0.74803149606299213" bottom="0.74803149606299213" header="0.31496062992125984" footer="0.31496062992125984"/>
  <pageSetup scale="43" orientation="portrait" r:id="rId1"/>
  <headerFooter>
    <oddFooter xml:space="preserve">&amp;C&amp;P/&amp;N
</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A2B498-DBEE-45A8-A455-601991198E12}">
  <sheetPr>
    <tabColor rgb="FFFFFFCC"/>
  </sheetPr>
  <dimension ref="A1:Y99"/>
  <sheetViews>
    <sheetView showGridLines="0" topLeftCell="A22" zoomScale="80" zoomScaleNormal="80" zoomScaleSheetLayoutView="90" workbookViewId="0">
      <selection activeCell="G45" sqref="G45:K50"/>
    </sheetView>
  </sheetViews>
  <sheetFormatPr baseColWidth="10" defaultColWidth="0" defaultRowHeight="12.65" customHeight="1" zeroHeight="1"/>
  <cols>
    <col min="1" max="1" width="2" style="4" customWidth="1"/>
    <col min="2" max="2" width="13.81640625" style="4" customWidth="1"/>
    <col min="3" max="3" width="30" style="4" customWidth="1"/>
    <col min="4" max="4" width="25.81640625" style="4" customWidth="1"/>
    <col min="5" max="5" width="32.1796875" style="5" customWidth="1"/>
    <col min="6" max="6" width="15.7265625" style="5" customWidth="1"/>
    <col min="7" max="7" width="24.1796875" style="4" customWidth="1"/>
    <col min="8" max="8" width="23.54296875" style="4" customWidth="1"/>
    <col min="9" max="9" width="22.26953125" style="4" customWidth="1"/>
    <col min="10" max="10" width="21.54296875" style="4" customWidth="1"/>
    <col min="11" max="11" width="23.1796875" style="4" customWidth="1"/>
    <col min="12" max="12" width="20.81640625" style="4" customWidth="1"/>
    <col min="13" max="13" width="23.7265625" style="4" customWidth="1"/>
    <col min="14" max="14" width="21" style="4" customWidth="1"/>
    <col min="15" max="15" width="22.81640625" style="4" customWidth="1"/>
    <col min="16" max="16" width="23.7265625" style="4" customWidth="1"/>
    <col min="17" max="21" width="18.1796875" style="4" customWidth="1"/>
    <col min="22" max="23" width="18.54296875" style="4" customWidth="1"/>
    <col min="24" max="25" width="18.54296875" style="4" hidden="1" customWidth="1"/>
    <col min="26" max="16384" width="11.453125" style="4" hidden="1"/>
  </cols>
  <sheetData>
    <row r="1" spans="2:12" s="2" customFormat="1" ht="12.75" customHeight="1">
      <c r="E1" s="3"/>
      <c r="F1" s="3"/>
    </row>
    <row r="2" spans="2:12" s="2" customFormat="1" ht="21.75" customHeight="1">
      <c r="B2" s="268" t="s">
        <v>81</v>
      </c>
      <c r="C2" s="269"/>
      <c r="D2" s="269"/>
      <c r="E2" s="269"/>
      <c r="F2" s="269"/>
      <c r="G2" s="269"/>
      <c r="H2" s="269"/>
      <c r="I2" s="269"/>
      <c r="J2" s="269"/>
      <c r="K2" s="270"/>
      <c r="L2" s="257" t="s">
        <v>0</v>
      </c>
    </row>
    <row r="3" spans="2:12" s="2" customFormat="1" ht="21.75" customHeight="1">
      <c r="B3" s="271"/>
      <c r="C3" s="272"/>
      <c r="D3" s="272"/>
      <c r="E3" s="272"/>
      <c r="F3" s="272"/>
      <c r="G3" s="272"/>
      <c r="H3" s="272"/>
      <c r="I3" s="272"/>
      <c r="J3" s="272"/>
      <c r="K3" s="273"/>
      <c r="L3" s="257"/>
    </row>
    <row r="4" spans="2:12" s="2" customFormat="1" ht="21.75" customHeight="1">
      <c r="B4" s="274"/>
      <c r="C4" s="275"/>
      <c r="D4" s="275"/>
      <c r="E4" s="275"/>
      <c r="F4" s="275"/>
      <c r="G4" s="275"/>
      <c r="H4" s="275"/>
      <c r="I4" s="275"/>
      <c r="J4" s="275"/>
      <c r="K4" s="276"/>
      <c r="L4" s="257"/>
    </row>
    <row r="5" spans="2:12" s="2" customFormat="1" ht="5.25" customHeight="1">
      <c r="E5" s="3"/>
      <c r="F5" s="3"/>
    </row>
    <row r="6" spans="2:12" s="2" customFormat="1" ht="15.75" customHeight="1">
      <c r="B6" s="169" t="s">
        <v>81</v>
      </c>
      <c r="C6" s="169"/>
      <c r="D6" s="169"/>
      <c r="E6" s="169"/>
      <c r="F6" s="169"/>
      <c r="G6" s="169"/>
      <c r="H6" s="169"/>
      <c r="I6" s="169"/>
      <c r="J6" s="169"/>
      <c r="K6" s="169"/>
      <c r="L6" s="169"/>
    </row>
    <row r="7" spans="2:12" s="2" customFormat="1" ht="32.25" customHeight="1">
      <c r="B7" s="201" t="s">
        <v>82</v>
      </c>
      <c r="C7" s="201"/>
      <c r="D7" s="265" t="s">
        <v>1147</v>
      </c>
      <c r="E7" s="266"/>
      <c r="F7" s="266"/>
      <c r="G7" s="266"/>
      <c r="H7" s="266"/>
      <c r="I7" s="266"/>
      <c r="J7" s="266"/>
      <c r="K7" s="266"/>
      <c r="L7" s="267"/>
    </row>
    <row r="8" spans="2:12" s="2" customFormat="1" ht="36" customHeight="1">
      <c r="B8" s="87" t="s">
        <v>1229</v>
      </c>
      <c r="C8" s="277" t="s">
        <v>1244</v>
      </c>
      <c r="D8" s="278"/>
      <c r="E8" s="88" t="s">
        <v>1231</v>
      </c>
      <c r="F8" s="52" t="s">
        <v>1245</v>
      </c>
      <c r="G8" s="88" t="s">
        <v>1233</v>
      </c>
      <c r="H8" s="52" t="s">
        <v>1246</v>
      </c>
      <c r="I8" s="279" t="s">
        <v>1235</v>
      </c>
      <c r="J8" s="279"/>
      <c r="K8" s="280" t="s">
        <v>1247</v>
      </c>
      <c r="L8" s="281"/>
    </row>
    <row r="9" spans="2:12" s="2" customFormat="1" ht="33" customHeight="1">
      <c r="B9" s="89" t="s">
        <v>1237</v>
      </c>
      <c r="C9" s="280" t="s">
        <v>1248</v>
      </c>
      <c r="D9" s="282"/>
      <c r="E9" s="281"/>
      <c r="F9" s="88" t="s">
        <v>1239</v>
      </c>
      <c r="G9" s="277" t="s">
        <v>1249</v>
      </c>
      <c r="H9" s="278"/>
      <c r="I9" s="90" t="s">
        <v>1241</v>
      </c>
      <c r="J9" s="52">
        <v>32133156.440000001</v>
      </c>
      <c r="K9" s="91" t="s">
        <v>1243</v>
      </c>
      <c r="L9" s="92">
        <v>45505</v>
      </c>
    </row>
    <row r="10" spans="2:12" s="2" customFormat="1" ht="5.15" customHeight="1">
      <c r="B10" s="285"/>
      <c r="C10" s="286"/>
      <c r="D10" s="286"/>
      <c r="E10" s="286"/>
      <c r="F10" s="286"/>
      <c r="G10" s="286"/>
      <c r="H10" s="286"/>
      <c r="I10" s="286"/>
      <c r="J10" s="286"/>
      <c r="K10" s="286"/>
      <c r="L10" s="287"/>
    </row>
    <row r="11" spans="2:12" s="2" customFormat="1" ht="8.25" customHeight="1">
      <c r="B11" s="68"/>
      <c r="C11" s="68"/>
      <c r="D11" s="68"/>
      <c r="E11" s="68"/>
      <c r="F11" s="68"/>
      <c r="G11" s="68"/>
      <c r="H11" s="68"/>
      <c r="I11" s="68"/>
      <c r="J11" s="68"/>
      <c r="K11" s="68"/>
      <c r="L11" s="68"/>
    </row>
    <row r="12" spans="2:12" s="2" customFormat="1" ht="8.25" customHeight="1">
      <c r="B12" s="68"/>
      <c r="C12" s="68"/>
      <c r="D12" s="68"/>
      <c r="E12" s="68"/>
      <c r="F12" s="68"/>
      <c r="G12" s="68"/>
      <c r="H12" s="68"/>
      <c r="I12" s="68"/>
      <c r="J12" s="68"/>
      <c r="K12" s="68"/>
      <c r="L12" s="68"/>
    </row>
    <row r="13" spans="2:12" s="2" customFormat="1" ht="104.25" customHeight="1">
      <c r="B13" s="283" t="s">
        <v>1197</v>
      </c>
      <c r="C13" s="283"/>
      <c r="D13" s="283"/>
      <c r="E13" s="283"/>
      <c r="F13" s="283"/>
      <c r="G13" s="283"/>
      <c r="H13" s="283"/>
      <c r="I13" s="283"/>
      <c r="J13" s="283"/>
      <c r="K13" s="283"/>
      <c r="L13" s="283"/>
    </row>
    <row r="14" spans="2:12" s="2" customFormat="1" ht="8.25" customHeight="1">
      <c r="B14" s="68"/>
      <c r="C14" s="68"/>
      <c r="D14" s="68"/>
      <c r="E14" s="68"/>
      <c r="F14" s="68"/>
      <c r="G14" s="68"/>
      <c r="H14" s="68"/>
      <c r="I14" s="68"/>
      <c r="J14" s="68"/>
      <c r="K14" s="68"/>
      <c r="L14" s="68"/>
    </row>
    <row r="15" spans="2:12" s="2" customFormat="1" ht="180" customHeight="1">
      <c r="B15" s="284" t="s">
        <v>1226</v>
      </c>
      <c r="C15" s="284"/>
      <c r="D15" s="284"/>
      <c r="E15" s="284"/>
      <c r="F15" s="284"/>
      <c r="G15" s="284"/>
      <c r="H15" s="284"/>
      <c r="I15" s="284"/>
      <c r="J15" s="284"/>
      <c r="K15" s="284"/>
      <c r="L15" s="284"/>
    </row>
    <row r="16" spans="2:12" s="2" customFormat="1" ht="8.25" customHeight="1">
      <c r="B16" s="68"/>
      <c r="C16" s="68"/>
      <c r="D16" s="68"/>
      <c r="E16" s="68"/>
      <c r="F16" s="68"/>
      <c r="G16" s="68"/>
      <c r="H16" s="68"/>
      <c r="I16" s="68"/>
      <c r="J16" s="68"/>
      <c r="K16" s="68"/>
      <c r="L16" s="68"/>
    </row>
    <row r="17" spans="2:14" s="2" customFormat="1" ht="23.25" customHeight="1">
      <c r="B17" s="171" t="s">
        <v>115</v>
      </c>
      <c r="C17" s="172"/>
      <c r="D17" s="172"/>
      <c r="E17" s="172"/>
      <c r="F17" s="172"/>
      <c r="G17" s="172"/>
      <c r="H17" s="172"/>
      <c r="I17" s="172"/>
      <c r="J17" s="172"/>
      <c r="K17" s="172"/>
      <c r="L17" s="197"/>
    </row>
    <row r="18" spans="2:14" s="2" customFormat="1" ht="8.25" customHeight="1">
      <c r="B18" s="68"/>
      <c r="C18" s="68"/>
      <c r="D18" s="68"/>
      <c r="E18" s="68"/>
      <c r="F18" s="68"/>
      <c r="G18" s="68"/>
      <c r="H18" s="68"/>
      <c r="I18" s="68"/>
      <c r="J18" s="68"/>
      <c r="K18" s="68"/>
      <c r="L18" s="68"/>
    </row>
    <row r="19" spans="2:14" s="2" customFormat="1" ht="8.25" customHeight="1">
      <c r="B19" s="68"/>
      <c r="C19" s="68"/>
      <c r="D19" s="68"/>
      <c r="E19" s="68"/>
      <c r="F19" s="68"/>
      <c r="G19" s="68"/>
      <c r="H19" s="68"/>
      <c r="I19" s="68"/>
      <c r="J19" s="68"/>
      <c r="K19" s="68"/>
      <c r="L19" s="68"/>
    </row>
    <row r="20" spans="2:14" s="2" customFormat="1" ht="29.25" customHeight="1">
      <c r="B20" s="67">
        <v>1</v>
      </c>
      <c r="C20" s="264" t="s">
        <v>116</v>
      </c>
      <c r="D20" s="264"/>
      <c r="E20" s="264"/>
      <c r="F20" s="51" t="s">
        <v>1227</v>
      </c>
      <c r="G20" s="68"/>
      <c r="M20" s="263"/>
      <c r="N20" s="263"/>
    </row>
    <row r="21" spans="2:14" s="2" customFormat="1" ht="29.25" customHeight="1">
      <c r="B21" s="67">
        <v>2</v>
      </c>
      <c r="C21" s="264" t="s">
        <v>117</v>
      </c>
      <c r="D21" s="264"/>
      <c r="E21" s="264"/>
      <c r="F21" s="52"/>
      <c r="G21" s="68"/>
      <c r="M21" s="263"/>
      <c r="N21" s="263"/>
    </row>
    <row r="22" spans="2:14" s="2" customFormat="1" ht="29.25" customHeight="1">
      <c r="G22" s="68"/>
      <c r="M22" s="263"/>
      <c r="N22" s="263"/>
    </row>
    <row r="23" spans="2:14" s="2" customFormat="1" ht="43.5" customHeight="1">
      <c r="B23" s="201" t="s">
        <v>118</v>
      </c>
      <c r="C23" s="169" t="s">
        <v>1146</v>
      </c>
      <c r="D23" s="169"/>
      <c r="E23" s="169"/>
      <c r="F23" s="169"/>
      <c r="G23" s="29" t="s">
        <v>119</v>
      </c>
      <c r="H23" s="29" t="s">
        <v>119</v>
      </c>
      <c r="I23" s="29" t="s">
        <v>119</v>
      </c>
      <c r="L23" s="69"/>
      <c r="M23" s="69"/>
    </row>
    <row r="24" spans="2:14" s="2" customFormat="1" ht="29.25" customHeight="1">
      <c r="B24" s="201"/>
      <c r="C24" s="29" t="s">
        <v>104</v>
      </c>
      <c r="D24" s="29" t="s">
        <v>105</v>
      </c>
      <c r="E24" s="29" t="s">
        <v>106</v>
      </c>
      <c r="F24" s="37" t="s">
        <v>107</v>
      </c>
      <c r="G24" s="29">
        <v>2024</v>
      </c>
      <c r="H24" s="29">
        <v>2025</v>
      </c>
      <c r="I24" s="29">
        <v>2026</v>
      </c>
      <c r="L24" s="69"/>
      <c r="M24" s="69"/>
    </row>
    <row r="25" spans="2:14" s="2" customFormat="1" ht="33.75" customHeight="1">
      <c r="B25" s="201"/>
      <c r="C25" s="62">
        <v>24</v>
      </c>
      <c r="D25" s="63" t="s">
        <v>108</v>
      </c>
      <c r="E25" s="63" t="s">
        <v>109</v>
      </c>
      <c r="F25" s="63" t="s">
        <v>90</v>
      </c>
      <c r="G25" s="53">
        <v>1500</v>
      </c>
      <c r="H25" s="53">
        <v>1650</v>
      </c>
      <c r="I25" s="53">
        <f>+H25*1.1</f>
        <v>1815.0000000000002</v>
      </c>
      <c r="M25" s="69"/>
    </row>
    <row r="26" spans="2:14" s="2" customFormat="1" ht="33.75" customHeight="1">
      <c r="B26" s="201"/>
      <c r="C26" s="62">
        <v>24</v>
      </c>
      <c r="D26" s="63" t="s">
        <v>108</v>
      </c>
      <c r="E26" s="63" t="s">
        <v>109</v>
      </c>
      <c r="F26" s="63" t="s">
        <v>92</v>
      </c>
      <c r="G26" s="53">
        <v>1500</v>
      </c>
      <c r="H26" s="53">
        <v>1650</v>
      </c>
      <c r="I26" s="53">
        <f t="shared" ref="I26:I30" si="0">+H26*1.1</f>
        <v>1815.0000000000002</v>
      </c>
      <c r="M26" s="69"/>
    </row>
    <row r="27" spans="2:14" s="2" customFormat="1" ht="33.75" customHeight="1">
      <c r="B27" s="201"/>
      <c r="C27" s="62">
        <v>24</v>
      </c>
      <c r="D27" s="63" t="s">
        <v>1143</v>
      </c>
      <c r="E27" s="63" t="s">
        <v>109</v>
      </c>
      <c r="F27" s="63" t="s">
        <v>92</v>
      </c>
      <c r="G27" s="53">
        <v>1500</v>
      </c>
      <c r="H27" s="53">
        <v>1650</v>
      </c>
      <c r="I27" s="53">
        <f t="shared" si="0"/>
        <v>1815.0000000000002</v>
      </c>
      <c r="M27" s="69"/>
    </row>
    <row r="28" spans="2:14" s="2" customFormat="1" ht="33.75" customHeight="1">
      <c r="B28" s="201"/>
      <c r="C28" s="62">
        <v>12</v>
      </c>
      <c r="D28" s="63" t="s">
        <v>110</v>
      </c>
      <c r="E28" s="63" t="s">
        <v>111</v>
      </c>
      <c r="F28" s="63" t="s">
        <v>1144</v>
      </c>
      <c r="G28" s="53">
        <v>1500</v>
      </c>
      <c r="H28" s="53">
        <v>1650</v>
      </c>
      <c r="I28" s="53">
        <f t="shared" si="0"/>
        <v>1815.0000000000002</v>
      </c>
      <c r="M28" s="69"/>
    </row>
    <row r="29" spans="2:14" s="2" customFormat="1" ht="33.75" customHeight="1">
      <c r="B29" s="201"/>
      <c r="C29" s="62">
        <v>12</v>
      </c>
      <c r="D29" s="63" t="s">
        <v>110</v>
      </c>
      <c r="E29" s="66" t="s">
        <v>1190</v>
      </c>
      <c r="F29" s="63" t="s">
        <v>90</v>
      </c>
      <c r="G29" s="53">
        <v>1500</v>
      </c>
      <c r="H29" s="53">
        <v>1650</v>
      </c>
      <c r="I29" s="53">
        <f t="shared" si="0"/>
        <v>1815.0000000000002</v>
      </c>
      <c r="M29" s="69"/>
    </row>
    <row r="30" spans="2:14" s="2" customFormat="1" ht="33.75" customHeight="1">
      <c r="B30" s="201"/>
      <c r="C30" s="62">
        <v>12</v>
      </c>
      <c r="D30" s="63" t="s">
        <v>108</v>
      </c>
      <c r="E30" s="63" t="s">
        <v>111</v>
      </c>
      <c r="F30" s="63" t="s">
        <v>90</v>
      </c>
      <c r="G30" s="53">
        <v>1500</v>
      </c>
      <c r="H30" s="53">
        <v>1650</v>
      </c>
      <c r="I30" s="53">
        <f t="shared" si="0"/>
        <v>1815.0000000000002</v>
      </c>
      <c r="M30" s="69"/>
    </row>
    <row r="31" spans="2:14" s="2" customFormat="1" ht="29.25" customHeight="1">
      <c r="G31" s="98">
        <f>SUM(G25:G30)</f>
        <v>9000</v>
      </c>
      <c r="H31" s="98">
        <f>SUM(H25:H30)</f>
        <v>9900</v>
      </c>
      <c r="I31" s="98">
        <f>SUM(I25:I30)</f>
        <v>10890.000000000002</v>
      </c>
      <c r="M31" s="69"/>
      <c r="N31" s="69"/>
    </row>
    <row r="32" spans="2:14" s="2" customFormat="1" ht="29.25" customHeight="1">
      <c r="B32" s="200" t="s">
        <v>120</v>
      </c>
      <c r="C32" s="200"/>
      <c r="D32" s="200"/>
      <c r="E32" s="200"/>
      <c r="F32" s="200"/>
      <c r="G32" s="200"/>
      <c r="H32" s="200"/>
      <c r="I32" s="200"/>
      <c r="J32" s="200"/>
      <c r="K32" s="200"/>
      <c r="L32" s="200"/>
      <c r="M32" s="200"/>
      <c r="N32" s="69"/>
    </row>
    <row r="33" spans="1:22" s="2" customFormat="1" ht="6.75" customHeight="1">
      <c r="A33" s="70"/>
      <c r="B33" s="70"/>
      <c r="C33" s="70"/>
      <c r="D33" s="70"/>
      <c r="E33" s="70"/>
      <c r="F33" s="70"/>
      <c r="G33" s="70"/>
      <c r="H33" s="70"/>
      <c r="I33" s="70"/>
      <c r="J33" s="70"/>
      <c r="K33" s="70"/>
      <c r="L33" s="70"/>
      <c r="M33" s="70"/>
      <c r="N33" s="69"/>
    </row>
    <row r="34" spans="1:22" s="2" customFormat="1" ht="46.5" customHeight="1">
      <c r="A34" s="70"/>
      <c r="B34" s="70"/>
      <c r="C34" s="70"/>
      <c r="D34" s="70"/>
      <c r="E34" s="70"/>
      <c r="F34" s="68"/>
      <c r="G34" s="68"/>
      <c r="H34" s="67" t="s">
        <v>1198</v>
      </c>
      <c r="I34" s="59" t="s">
        <v>1210</v>
      </c>
      <c r="J34" s="59" t="s">
        <v>1205</v>
      </c>
      <c r="K34" s="59" t="s">
        <v>1206</v>
      </c>
      <c r="L34" s="59" t="s">
        <v>1207</v>
      </c>
      <c r="M34" s="59" t="s">
        <v>1208</v>
      </c>
    </row>
    <row r="35" spans="1:22" s="2" customFormat="1" ht="29.25" customHeight="1">
      <c r="F35" s="202" t="s">
        <v>122</v>
      </c>
      <c r="G35" s="203"/>
      <c r="H35" s="71">
        <f>SUM(I35:M35)</f>
        <v>25</v>
      </c>
      <c r="I35" s="72">
        <v>1</v>
      </c>
      <c r="J35" s="80">
        <v>6.5</v>
      </c>
      <c r="K35" s="80">
        <v>5.5</v>
      </c>
      <c r="L35" s="80">
        <v>6.5</v>
      </c>
      <c r="M35" s="80">
        <v>5.5</v>
      </c>
    </row>
    <row r="36" spans="1:22" s="2" customFormat="1" ht="29.25" customHeight="1">
      <c r="B36" s="70"/>
      <c r="C36" s="70"/>
      <c r="D36" s="70"/>
      <c r="E36" s="70"/>
      <c r="F36" s="202" t="s">
        <v>1191</v>
      </c>
      <c r="G36" s="203"/>
      <c r="H36" s="38" t="s">
        <v>1211</v>
      </c>
      <c r="I36" s="38">
        <f>'[24]RESUMEN CIRCULAR_DECRETO'!N26</f>
        <v>1300000</v>
      </c>
      <c r="J36" s="38">
        <f>'[24]RESUMEN CIRCULAR_DECRETO'!N27</f>
        <v>1410500</v>
      </c>
      <c r="K36" s="38">
        <f>'[24]RESUMEN CIRCULAR_DECRETO'!N27</f>
        <v>1410500</v>
      </c>
      <c r="L36" s="38">
        <f>'[24]RESUMEN CIRCULAR_DECRETO'!N28</f>
        <v>1504157.2</v>
      </c>
      <c r="M36" s="38">
        <f>'[24]RESUMEN CIRCULAR_DECRETO'!N28</f>
        <v>1504157.2</v>
      </c>
    </row>
    <row r="37" spans="1:22" s="2" customFormat="1" ht="29.25" customHeight="1">
      <c r="B37" s="70"/>
      <c r="C37" s="70"/>
      <c r="D37" s="70"/>
      <c r="E37" s="70"/>
      <c r="F37" s="83"/>
      <c r="G37" s="83"/>
      <c r="H37" s="84"/>
      <c r="I37" s="84"/>
      <c r="J37" s="84"/>
      <c r="K37" s="84"/>
      <c r="L37" s="82"/>
      <c r="M37" s="82"/>
    </row>
    <row r="38" spans="1:22" s="2" customFormat="1" ht="24" customHeight="1">
      <c r="B38" s="200" t="s">
        <v>1192</v>
      </c>
      <c r="C38" s="200"/>
      <c r="D38" s="200"/>
      <c r="E38" s="200"/>
      <c r="F38" s="200"/>
      <c r="G38" s="200"/>
      <c r="H38" s="200"/>
      <c r="I38" s="200"/>
      <c r="J38" s="200"/>
      <c r="K38" s="200"/>
      <c r="L38" s="200"/>
      <c r="M38" s="200"/>
      <c r="N38" s="200"/>
      <c r="O38" s="200"/>
      <c r="P38" s="200"/>
      <c r="Q38" s="200"/>
      <c r="R38" s="200"/>
      <c r="S38" s="200"/>
      <c r="T38" s="200"/>
      <c r="U38" s="200"/>
      <c r="V38" s="200"/>
    </row>
    <row r="39" spans="1:22" s="2" customFormat="1" ht="11.25" customHeight="1">
      <c r="M39" s="69"/>
      <c r="N39" s="69"/>
    </row>
    <row r="40" spans="1:22" s="2" customFormat="1" ht="9.75" customHeight="1">
      <c r="C40" s="4"/>
      <c r="D40" s="4"/>
      <c r="E40" s="4"/>
      <c r="F40" s="4"/>
    </row>
    <row r="41" spans="1:22" s="2" customFormat="1" ht="26.25" customHeight="1">
      <c r="B41" s="200" t="s">
        <v>1148</v>
      </c>
      <c r="C41" s="200"/>
      <c r="D41" s="200"/>
      <c r="E41" s="200"/>
      <c r="F41" s="200"/>
      <c r="G41" s="200"/>
      <c r="H41" s="200"/>
      <c r="I41" s="200"/>
      <c r="J41" s="200"/>
      <c r="K41" s="200"/>
      <c r="L41" s="200"/>
      <c r="M41" s="200"/>
      <c r="N41" s="200"/>
      <c r="O41" s="200"/>
      <c r="P41" s="200"/>
      <c r="Q41" s="200"/>
      <c r="R41" s="200"/>
      <c r="S41" s="200"/>
      <c r="T41" s="200"/>
      <c r="U41" s="200"/>
      <c r="V41" s="200"/>
    </row>
    <row r="42" spans="1:22" s="2" customFormat="1" ht="12.5">
      <c r="C42" s="4"/>
      <c r="D42" s="4"/>
      <c r="E42" s="4"/>
      <c r="F42" s="4"/>
      <c r="G42" s="4"/>
      <c r="H42" s="4"/>
    </row>
    <row r="43" spans="1:22" s="2" customFormat="1" ht="70.5" customHeight="1">
      <c r="B43" s="169" t="s">
        <v>123</v>
      </c>
      <c r="C43" s="169"/>
      <c r="D43" s="169"/>
      <c r="E43" s="169"/>
      <c r="F43" s="169" t="s">
        <v>1196</v>
      </c>
      <c r="G43" s="169"/>
      <c r="H43" s="169"/>
      <c r="I43" s="169"/>
      <c r="J43" s="169"/>
      <c r="K43" s="169"/>
      <c r="L43" s="261" t="s">
        <v>1204</v>
      </c>
      <c r="M43" s="262"/>
      <c r="N43" s="261" t="s">
        <v>1205</v>
      </c>
      <c r="O43" s="262"/>
      <c r="P43" s="261" t="s">
        <v>1206</v>
      </c>
      <c r="Q43" s="262"/>
      <c r="R43" s="261" t="s">
        <v>1207</v>
      </c>
      <c r="S43" s="262"/>
      <c r="T43" s="261" t="s">
        <v>1208</v>
      </c>
      <c r="U43" s="262"/>
      <c r="V43" s="29" t="s">
        <v>1198</v>
      </c>
    </row>
    <row r="44" spans="1:22" s="2" customFormat="1" ht="71.25" customHeight="1">
      <c r="B44" s="29" t="s">
        <v>104</v>
      </c>
      <c r="C44" s="29" t="s">
        <v>105</v>
      </c>
      <c r="D44" s="29" t="s">
        <v>106</v>
      </c>
      <c r="E44" s="29" t="s">
        <v>107</v>
      </c>
      <c r="F44" s="29" t="s">
        <v>124</v>
      </c>
      <c r="G44" s="29" t="s">
        <v>1209</v>
      </c>
      <c r="H44" s="29" t="s">
        <v>1199</v>
      </c>
      <c r="I44" s="29" t="s">
        <v>1200</v>
      </c>
      <c r="J44" s="29" t="s">
        <v>1201</v>
      </c>
      <c r="K44" s="29" t="s">
        <v>1202</v>
      </c>
      <c r="L44" s="73" t="s">
        <v>1180</v>
      </c>
      <c r="M44" s="58" t="s">
        <v>1181</v>
      </c>
      <c r="N44" s="73" t="s">
        <v>1182</v>
      </c>
      <c r="O44" s="58" t="s">
        <v>1183</v>
      </c>
      <c r="P44" s="73" t="s">
        <v>1182</v>
      </c>
      <c r="Q44" s="58" t="s">
        <v>1183</v>
      </c>
      <c r="R44" s="73" t="s">
        <v>1182</v>
      </c>
      <c r="S44" s="58" t="s">
        <v>1183</v>
      </c>
      <c r="T44" s="73" t="s">
        <v>1182</v>
      </c>
      <c r="U44" s="58" t="s">
        <v>1183</v>
      </c>
      <c r="V44" s="29" t="s">
        <v>1213</v>
      </c>
    </row>
    <row r="45" spans="1:22" s="2" customFormat="1" ht="30.75" customHeight="1">
      <c r="B45" s="62">
        <v>24</v>
      </c>
      <c r="C45" s="63" t="s">
        <v>108</v>
      </c>
      <c r="D45" s="63" t="s">
        <v>109</v>
      </c>
      <c r="E45" s="63" t="s">
        <v>90</v>
      </c>
      <c r="F45" s="59">
        <v>5</v>
      </c>
      <c r="G45" s="38">
        <f>IF(F45=0,"No se requiere",'[24]RESUMEN CIRCULAR_DECRETO'!H33)</f>
        <v>12834180</v>
      </c>
      <c r="H45" s="38">
        <f>IF(F45=0,"No se requiere",'[24]RESUMEN CIRCULAR_DECRETO'!K33)</f>
        <v>13925110</v>
      </c>
      <c r="I45" s="38">
        <f>IF(G45=0,"No se requiere",'[24]RESUMEN CIRCULAR_DECRETO'!N33)</f>
        <v>14153611</v>
      </c>
      <c r="J45" s="38">
        <f>IF(H45=0,"No se requiere",'[24]RESUMEN CIRCULAR_DECRETO'!Q33)</f>
        <v>15093470</v>
      </c>
      <c r="K45" s="38">
        <f>IF(I45=0,"No se requiere",'[24]RESUMEN CIRCULAR_DECRETO'!T33)</f>
        <v>15142205</v>
      </c>
      <c r="L45" s="39">
        <f t="shared" ref="L45:L50" si="1">G45*F45</f>
        <v>64170900</v>
      </c>
      <c r="M45" s="39">
        <f>ROUND(L45*$I$35,0)</f>
        <v>64170900</v>
      </c>
      <c r="N45" s="39">
        <f t="shared" ref="N45:N50" si="2">H45*F45</f>
        <v>69625550</v>
      </c>
      <c r="O45" s="39">
        <f>ROUND(N45*$J$35,0)</f>
        <v>452566075</v>
      </c>
      <c r="P45" s="39">
        <f>I45*F45</f>
        <v>70768055</v>
      </c>
      <c r="Q45" s="39">
        <f>ROUND(P45*$K$35,0)</f>
        <v>389224303</v>
      </c>
      <c r="R45" s="39">
        <f>J45*F45</f>
        <v>75467350</v>
      </c>
      <c r="S45" s="39">
        <f>ROUND(R45*$L$35,0)</f>
        <v>490537775</v>
      </c>
      <c r="T45" s="39">
        <f>K45*F45</f>
        <v>75711025</v>
      </c>
      <c r="U45" s="39">
        <f>ROUND(T45*$M$35,0)</f>
        <v>416410638</v>
      </c>
      <c r="V45" s="81">
        <f>O45+M45+Q45+S45+U45</f>
        <v>1812909691</v>
      </c>
    </row>
    <row r="46" spans="1:22" s="2" customFormat="1" ht="30.75" customHeight="1">
      <c r="B46" s="62">
        <v>24</v>
      </c>
      <c r="C46" s="63" t="s">
        <v>108</v>
      </c>
      <c r="D46" s="63" t="s">
        <v>109</v>
      </c>
      <c r="E46" s="63" t="s">
        <v>92</v>
      </c>
      <c r="F46" s="59">
        <v>11</v>
      </c>
      <c r="G46" s="38">
        <f>IF(F46=0,"No se requiere",'[24]RESUMEN CIRCULAR_DECRETO'!H34)</f>
        <v>13071850</v>
      </c>
      <c r="H46" s="38">
        <f>IF(F46=0,"No se requiere",'[24]RESUMEN CIRCULAR_DECRETO'!K34)</f>
        <v>14182982</v>
      </c>
      <c r="I46" s="38">
        <f>IF(G46=0,"No se requiere",'[24]RESUMEN CIRCULAR_DECRETO'!N34)</f>
        <v>14415715</v>
      </c>
      <c r="J46" s="38">
        <f>IF(H46=0,"No se requiere",'[24]RESUMEN CIRCULAR_DECRETO'!Q34)</f>
        <v>15372979</v>
      </c>
      <c r="K46" s="38">
        <f>IF(I46=0,"No se requiere",'[24]RESUMEN CIRCULAR_DECRETO'!T34)</f>
        <v>15422616</v>
      </c>
      <c r="L46" s="39">
        <f t="shared" si="1"/>
        <v>143790350</v>
      </c>
      <c r="M46" s="39">
        <f t="shared" ref="M46:M50" si="3">ROUND(L46*$I$35,0)</f>
        <v>143790350</v>
      </c>
      <c r="N46" s="39">
        <f t="shared" si="2"/>
        <v>156012802</v>
      </c>
      <c r="O46" s="39">
        <f t="shared" ref="O46:O50" si="4">ROUND(N46*$J$35,0)</f>
        <v>1014083213</v>
      </c>
      <c r="P46" s="39">
        <f t="shared" ref="P46:P50" si="5">I46*F46</f>
        <v>158572865</v>
      </c>
      <c r="Q46" s="39">
        <f t="shared" ref="Q46:Q50" si="6">ROUND(P46*$K$35,0)</f>
        <v>872150758</v>
      </c>
      <c r="R46" s="39">
        <f t="shared" ref="R46:R50" si="7">J46*F46</f>
        <v>169102769</v>
      </c>
      <c r="S46" s="39">
        <f t="shared" ref="S46:S50" si="8">ROUND(R46*$L$35,0)</f>
        <v>1099167999</v>
      </c>
      <c r="T46" s="39">
        <f t="shared" ref="T46:T50" si="9">K46*F46</f>
        <v>169648776</v>
      </c>
      <c r="U46" s="39">
        <f t="shared" ref="U46:U50" si="10">ROUND(T46*$M$35,0)</f>
        <v>933068268</v>
      </c>
      <c r="V46" s="81">
        <f t="shared" ref="V46:V50" si="11">O46+M46+Q46+S46+U46</f>
        <v>4062260588</v>
      </c>
    </row>
    <row r="47" spans="1:22" s="2" customFormat="1" ht="30.75" customHeight="1">
      <c r="B47" s="62">
        <v>24</v>
      </c>
      <c r="C47" s="63" t="s">
        <v>1143</v>
      </c>
      <c r="D47" s="63" t="s">
        <v>109</v>
      </c>
      <c r="E47" s="63" t="s">
        <v>92</v>
      </c>
      <c r="F47" s="59">
        <v>1</v>
      </c>
      <c r="G47" s="38">
        <f>IF(F47=0,"No se requiere",'[24]RESUMEN CIRCULAR_DECRETO'!H35)</f>
        <v>4358384</v>
      </c>
      <c r="H47" s="38">
        <f>IF(F47=0,"No se requiere",'[24]RESUMEN CIRCULAR_DECRETO'!K35)</f>
        <v>4728870</v>
      </c>
      <c r="I47" s="38">
        <f>IF(G47=0,"No se requiere",'[24]RESUMEN CIRCULAR_DECRETO'!N35)</f>
        <v>4806448</v>
      </c>
      <c r="J47" s="38">
        <f>IF(H47=0,"No se requiere",'[24]RESUMEN CIRCULAR_DECRETO'!Q35)</f>
        <v>5125657</v>
      </c>
      <c r="K47" s="38">
        <f>IF(I47=0,"No se requiere",'[24]RESUMEN CIRCULAR_DECRETO'!T35)</f>
        <v>5142203</v>
      </c>
      <c r="L47" s="39">
        <f t="shared" si="1"/>
        <v>4358384</v>
      </c>
      <c r="M47" s="39">
        <f t="shared" si="3"/>
        <v>4358384</v>
      </c>
      <c r="N47" s="39">
        <f t="shared" si="2"/>
        <v>4728870</v>
      </c>
      <c r="O47" s="39">
        <f t="shared" si="4"/>
        <v>30737655</v>
      </c>
      <c r="P47" s="39">
        <f t="shared" si="5"/>
        <v>4806448</v>
      </c>
      <c r="Q47" s="39">
        <f t="shared" si="6"/>
        <v>26435464</v>
      </c>
      <c r="R47" s="39">
        <f t="shared" si="7"/>
        <v>5125657</v>
      </c>
      <c r="S47" s="39">
        <f t="shared" si="8"/>
        <v>33316771</v>
      </c>
      <c r="T47" s="39">
        <f t="shared" si="9"/>
        <v>5142203</v>
      </c>
      <c r="U47" s="39">
        <f t="shared" si="10"/>
        <v>28282117</v>
      </c>
      <c r="V47" s="81">
        <f t="shared" si="11"/>
        <v>123130391</v>
      </c>
    </row>
    <row r="48" spans="1:22" s="2" customFormat="1" ht="30.75" customHeight="1">
      <c r="B48" s="62">
        <v>12</v>
      </c>
      <c r="C48" s="63" t="s">
        <v>110</v>
      </c>
      <c r="D48" s="63" t="s">
        <v>111</v>
      </c>
      <c r="E48" s="63" t="s">
        <v>1144</v>
      </c>
      <c r="F48" s="59">
        <v>1</v>
      </c>
      <c r="G48" s="38">
        <f>IF(F48=0,"No se requiere",'[24]RESUMEN CIRCULAR_DECRETO'!H36)</f>
        <v>3903192</v>
      </c>
      <c r="H48" s="38">
        <f>IF(F48=0,"No se requiere",'[24]RESUMEN CIRCULAR_DECRETO'!K36)</f>
        <v>4234988</v>
      </c>
      <c r="I48" s="38">
        <f>IF(G48=0,"No se requiere",'[24]RESUMEN CIRCULAR_DECRETO'!N36)</f>
        <v>4304461</v>
      </c>
      <c r="J48" s="38">
        <f>IF(H48=0,"No se requiere",'[24]RESUMEN CIRCULAR_DECRETO'!Q36)</f>
        <v>4590337</v>
      </c>
      <c r="K48" s="38">
        <f>IF(I48=0,"No se requiere",'[24]RESUMEN CIRCULAR_DECRETO'!T36)</f>
        <v>4605154</v>
      </c>
      <c r="L48" s="39">
        <f t="shared" si="1"/>
        <v>3903192</v>
      </c>
      <c r="M48" s="39">
        <f t="shared" si="3"/>
        <v>3903192</v>
      </c>
      <c r="N48" s="39">
        <f t="shared" si="2"/>
        <v>4234988</v>
      </c>
      <c r="O48" s="39">
        <f t="shared" si="4"/>
        <v>27527422</v>
      </c>
      <c r="P48" s="39">
        <f t="shared" si="5"/>
        <v>4304461</v>
      </c>
      <c r="Q48" s="39">
        <f t="shared" si="6"/>
        <v>23674536</v>
      </c>
      <c r="R48" s="39">
        <f t="shared" si="7"/>
        <v>4590337</v>
      </c>
      <c r="S48" s="39">
        <f t="shared" si="8"/>
        <v>29837191</v>
      </c>
      <c r="T48" s="39">
        <f t="shared" si="9"/>
        <v>4605154</v>
      </c>
      <c r="U48" s="39">
        <f t="shared" si="10"/>
        <v>25328347</v>
      </c>
      <c r="V48" s="81">
        <f t="shared" si="11"/>
        <v>110270688</v>
      </c>
    </row>
    <row r="49" spans="2:22" s="2" customFormat="1" ht="30.75" customHeight="1">
      <c r="B49" s="62">
        <v>12</v>
      </c>
      <c r="C49" s="63" t="s">
        <v>110</v>
      </c>
      <c r="D49" s="66" t="s">
        <v>1190</v>
      </c>
      <c r="E49" s="63" t="s">
        <v>90</v>
      </c>
      <c r="F49" s="59">
        <v>1</v>
      </c>
      <c r="G49" s="38">
        <f>IF(F49=0,"No se requiere",'[24]RESUMEN CIRCULAR_DECRETO'!H37)</f>
        <v>4726055</v>
      </c>
      <c r="H49" s="38">
        <f>IF(F49=0,"No se requiere",'[24]RESUMEN CIRCULAR_DECRETO'!K37)</f>
        <v>5127795</v>
      </c>
      <c r="I49" s="38">
        <f>IF(G49=0,"No se requiere",'[24]RESUMEN CIRCULAR_DECRETO'!N37)</f>
        <v>5211919</v>
      </c>
      <c r="J49" s="38">
        <f>IF(H49=0,"No se requiere",'[24]RESUMEN CIRCULAR_DECRETO'!Q37)</f>
        <v>5558050</v>
      </c>
      <c r="K49" s="38">
        <f>IF(I49=0,"No se requiere",'[24]RESUMEN CIRCULAR_DECRETO'!T37)</f>
        <v>5575992</v>
      </c>
      <c r="L49" s="39">
        <f t="shared" si="1"/>
        <v>4726055</v>
      </c>
      <c r="M49" s="39">
        <f t="shared" si="3"/>
        <v>4726055</v>
      </c>
      <c r="N49" s="39">
        <f t="shared" si="2"/>
        <v>5127795</v>
      </c>
      <c r="O49" s="39">
        <f t="shared" si="4"/>
        <v>33330668</v>
      </c>
      <c r="P49" s="39">
        <f t="shared" si="5"/>
        <v>5211919</v>
      </c>
      <c r="Q49" s="39">
        <f t="shared" si="6"/>
        <v>28665555</v>
      </c>
      <c r="R49" s="39">
        <f t="shared" si="7"/>
        <v>5558050</v>
      </c>
      <c r="S49" s="39">
        <f t="shared" si="8"/>
        <v>36127325</v>
      </c>
      <c r="T49" s="39">
        <f t="shared" si="9"/>
        <v>5575992</v>
      </c>
      <c r="U49" s="39">
        <f t="shared" si="10"/>
        <v>30667956</v>
      </c>
      <c r="V49" s="81">
        <f t="shared" si="11"/>
        <v>133517559</v>
      </c>
    </row>
    <row r="50" spans="2:22" s="2" customFormat="1" ht="30.75" customHeight="1">
      <c r="B50" s="62">
        <v>12</v>
      </c>
      <c r="C50" s="63" t="s">
        <v>108</v>
      </c>
      <c r="D50" s="63" t="s">
        <v>111</v>
      </c>
      <c r="E50" s="63" t="s">
        <v>90</v>
      </c>
      <c r="F50" s="59">
        <v>1</v>
      </c>
      <c r="G50" s="38">
        <f>IF(F50=0,"No se requiere",'[24]RESUMEN CIRCULAR_DECRETO'!H38)</f>
        <v>5747527</v>
      </c>
      <c r="H50" s="38">
        <f>IF(F50=0,"No se requiere",'[24]RESUMEN CIRCULAR_DECRETO'!K38)</f>
        <v>6236091</v>
      </c>
      <c r="I50" s="38">
        <f>IF(G50=0,"No se requiere",'[24]RESUMEN CIRCULAR_DECRETO'!N38)</f>
        <v>6338404</v>
      </c>
      <c r="J50" s="38">
        <f>IF(H50=0,"No se requiere",'[24]RESUMEN CIRCULAR_DECRETO'!Q38)</f>
        <v>6759334</v>
      </c>
      <c r="K50" s="38">
        <f>IF(I50=0,"No se requiere",'[24]RESUMEN CIRCULAR_DECRETO'!T38)</f>
        <v>6781156</v>
      </c>
      <c r="L50" s="39">
        <f t="shared" si="1"/>
        <v>5747527</v>
      </c>
      <c r="M50" s="39">
        <f t="shared" si="3"/>
        <v>5747527</v>
      </c>
      <c r="N50" s="39">
        <f t="shared" si="2"/>
        <v>6236091</v>
      </c>
      <c r="O50" s="39">
        <f t="shared" si="4"/>
        <v>40534592</v>
      </c>
      <c r="P50" s="39">
        <f t="shared" si="5"/>
        <v>6338404</v>
      </c>
      <c r="Q50" s="39">
        <f t="shared" si="6"/>
        <v>34861222</v>
      </c>
      <c r="R50" s="39">
        <f t="shared" si="7"/>
        <v>6759334</v>
      </c>
      <c r="S50" s="39">
        <f t="shared" si="8"/>
        <v>43935671</v>
      </c>
      <c r="T50" s="39">
        <f t="shared" si="9"/>
        <v>6781156</v>
      </c>
      <c r="U50" s="39">
        <f t="shared" si="10"/>
        <v>37296358</v>
      </c>
      <c r="V50" s="81">
        <f t="shared" si="11"/>
        <v>162375370</v>
      </c>
    </row>
    <row r="51" spans="2:22" s="2" customFormat="1" ht="27" customHeight="1">
      <c r="B51" s="201" t="s">
        <v>1212</v>
      </c>
      <c r="C51" s="201"/>
      <c r="D51" s="201"/>
      <c r="E51" s="201"/>
      <c r="F51" s="201"/>
      <c r="G51" s="201"/>
      <c r="H51" s="201"/>
      <c r="I51" s="201"/>
      <c r="J51" s="201"/>
      <c r="K51" s="201"/>
      <c r="L51" s="201"/>
      <c r="M51" s="201"/>
      <c r="N51" s="201"/>
      <c r="O51" s="201"/>
      <c r="P51" s="201"/>
      <c r="Q51" s="201"/>
      <c r="R51" s="201"/>
      <c r="S51" s="201"/>
      <c r="T51" s="201"/>
      <c r="U51" s="201"/>
      <c r="V51" s="81">
        <f>SUM(V45:V50)</f>
        <v>6404464287</v>
      </c>
    </row>
    <row r="52" spans="2:22" s="2" customFormat="1" ht="12.5">
      <c r="C52" s="4"/>
      <c r="D52" s="4"/>
      <c r="E52" s="4"/>
      <c r="F52" s="4"/>
      <c r="G52" s="4"/>
      <c r="H52" s="4"/>
    </row>
    <row r="53" spans="2:22" s="2" customFormat="1" ht="12.5">
      <c r="C53" s="4"/>
      <c r="D53" s="4"/>
      <c r="E53" s="4"/>
      <c r="F53" s="4"/>
      <c r="G53" s="4"/>
      <c r="H53" s="4"/>
    </row>
    <row r="54" spans="2:22" s="2" customFormat="1" ht="27.75" customHeight="1">
      <c r="B54" s="200" t="s">
        <v>1193</v>
      </c>
      <c r="C54" s="200"/>
      <c r="D54" s="200"/>
      <c r="E54" s="200"/>
      <c r="F54" s="200"/>
      <c r="G54" s="200"/>
      <c r="H54" s="200"/>
      <c r="I54" s="200"/>
      <c r="J54" s="200"/>
      <c r="K54" s="200"/>
      <c r="L54" s="200"/>
      <c r="M54" s="200"/>
      <c r="N54" s="200"/>
      <c r="O54" s="200"/>
      <c r="P54" s="200"/>
      <c r="Q54" s="200"/>
      <c r="R54" s="200"/>
      <c r="S54" s="200"/>
      <c r="T54" s="200"/>
      <c r="U54" s="200"/>
      <c r="V54" s="200"/>
    </row>
    <row r="55" spans="2:22" s="2" customFormat="1" ht="12.5">
      <c r="C55" s="4"/>
      <c r="D55" s="4"/>
      <c r="E55" s="4"/>
      <c r="F55" s="4"/>
      <c r="G55" s="4"/>
      <c r="H55" s="4"/>
    </row>
    <row r="56" spans="2:22" s="2" customFormat="1" ht="61.5" customHeight="1">
      <c r="B56" s="169" t="s">
        <v>1194</v>
      </c>
      <c r="C56" s="169"/>
      <c r="D56" s="169"/>
      <c r="E56" s="169"/>
      <c r="F56" s="169" t="s">
        <v>1214</v>
      </c>
      <c r="G56" s="169"/>
      <c r="H56" s="169"/>
      <c r="I56" s="169"/>
      <c r="J56" s="169"/>
      <c r="K56" s="169"/>
      <c r="L56" s="169"/>
      <c r="M56" s="169"/>
      <c r="N56" s="169"/>
      <c r="O56" s="169"/>
      <c r="P56" s="169"/>
    </row>
    <row r="57" spans="2:22" s="2" customFormat="1" ht="60" customHeight="1">
      <c r="B57" s="74" t="s">
        <v>1176</v>
      </c>
      <c r="C57" s="29" t="s">
        <v>1177</v>
      </c>
      <c r="D57" s="173" t="s">
        <v>125</v>
      </c>
      <c r="E57" s="174"/>
      <c r="F57" s="60" t="s">
        <v>124</v>
      </c>
      <c r="G57" s="75" t="s">
        <v>126</v>
      </c>
      <c r="H57" s="75" t="s">
        <v>1215</v>
      </c>
      <c r="I57" s="75" t="s">
        <v>1216</v>
      </c>
      <c r="J57" s="85" t="s">
        <v>1217</v>
      </c>
      <c r="K57" s="85" t="s">
        <v>1218</v>
      </c>
      <c r="L57" s="85" t="s">
        <v>1219</v>
      </c>
      <c r="M57" s="85" t="s">
        <v>1220</v>
      </c>
      <c r="N57" s="85" t="s">
        <v>1221</v>
      </c>
      <c r="O57" s="85" t="s">
        <v>1222</v>
      </c>
      <c r="P57" s="60" t="s">
        <v>1223</v>
      </c>
    </row>
    <row r="58" spans="2:22" s="2" customFormat="1" ht="57.75" customHeight="1">
      <c r="B58" s="59">
        <v>1</v>
      </c>
      <c r="C58" s="67" t="s">
        <v>1149</v>
      </c>
      <c r="D58" s="196" t="s">
        <v>1150</v>
      </c>
      <c r="E58" s="196"/>
      <c r="F58" s="76">
        <v>8</v>
      </c>
      <c r="G58" s="54">
        <f>1931450/36</f>
        <v>53651.388888888891</v>
      </c>
      <c r="H58" s="54">
        <f>+G58*1.1</f>
        <v>59016.527777777781</v>
      </c>
      <c r="I58" s="54">
        <f>+H58*1.1</f>
        <v>64918.180555555562</v>
      </c>
      <c r="J58" s="39">
        <f t="shared" ref="J58:J80" si="12">ROUND(G58*F58,0)</f>
        <v>429211</v>
      </c>
      <c r="K58" s="39">
        <f>J58*$I$35</f>
        <v>429211</v>
      </c>
      <c r="L58" s="39">
        <f>ROUND(H58*F58,0)</f>
        <v>472132</v>
      </c>
      <c r="M58" s="39">
        <f>L58*(SUM($J$35:$K$35))</f>
        <v>5665584</v>
      </c>
      <c r="N58" s="39">
        <f>ROUND(I58*F58,0)</f>
        <v>519345</v>
      </c>
      <c r="O58" s="39">
        <f>N58*(SUM($L$35:$M$35))</f>
        <v>6232140</v>
      </c>
      <c r="P58" s="81">
        <f>K58+M58+O58</f>
        <v>12326935</v>
      </c>
    </row>
    <row r="59" spans="2:22" s="2" customFormat="1" ht="78" customHeight="1">
      <c r="B59" s="59">
        <v>2</v>
      </c>
      <c r="C59" s="67" t="s">
        <v>1149</v>
      </c>
      <c r="D59" s="196" t="s">
        <v>1151</v>
      </c>
      <c r="E59" s="196" t="s">
        <v>1151</v>
      </c>
      <c r="F59" s="76">
        <v>8</v>
      </c>
      <c r="G59" s="54">
        <f>4324356/36</f>
        <v>120121</v>
      </c>
      <c r="H59" s="54">
        <f t="shared" ref="H59:I74" si="13">+G59*1.1</f>
        <v>132133.1</v>
      </c>
      <c r="I59" s="54">
        <f t="shared" si="13"/>
        <v>145346.41000000003</v>
      </c>
      <c r="J59" s="39">
        <f t="shared" si="12"/>
        <v>960968</v>
      </c>
      <c r="K59" s="39">
        <f t="shared" ref="K59:K80" si="14">J59*$I$35</f>
        <v>960968</v>
      </c>
      <c r="L59" s="39">
        <f t="shared" ref="L59:L80" si="15">ROUND(H59*F59,0)</f>
        <v>1057065</v>
      </c>
      <c r="M59" s="39">
        <f t="shared" ref="M59:M80" si="16">L59*(SUM($J$35:$K$35))</f>
        <v>12684780</v>
      </c>
      <c r="N59" s="39">
        <f t="shared" ref="N59:N80" si="17">ROUND(I59*F59,0)</f>
        <v>1162771</v>
      </c>
      <c r="O59" s="39">
        <f t="shared" ref="O59:O80" si="18">N59*(SUM($L$35:$M$35))</f>
        <v>13953252</v>
      </c>
      <c r="P59" s="81">
        <f t="shared" ref="P59:P80" si="19">K59+M59+O59</f>
        <v>27599000</v>
      </c>
    </row>
    <row r="60" spans="2:22" s="2" customFormat="1" ht="78" customHeight="1">
      <c r="B60" s="59">
        <v>3</v>
      </c>
      <c r="C60" s="67" t="s">
        <v>1149</v>
      </c>
      <c r="D60" s="196" t="s">
        <v>1152</v>
      </c>
      <c r="E60" s="196" t="s">
        <v>1152</v>
      </c>
      <c r="F60" s="76">
        <f>36+5</f>
        <v>41</v>
      </c>
      <c r="G60" s="54">
        <f>1246172/36</f>
        <v>34615.888888888891</v>
      </c>
      <c r="H60" s="54">
        <f t="shared" si="13"/>
        <v>38077.477777777785</v>
      </c>
      <c r="I60" s="54">
        <f t="shared" si="13"/>
        <v>41885.225555555568</v>
      </c>
      <c r="J60" s="39">
        <f t="shared" si="12"/>
        <v>1419251</v>
      </c>
      <c r="K60" s="39">
        <f t="shared" si="14"/>
        <v>1419251</v>
      </c>
      <c r="L60" s="39">
        <f t="shared" si="15"/>
        <v>1561177</v>
      </c>
      <c r="M60" s="39">
        <f t="shared" si="16"/>
        <v>18734124</v>
      </c>
      <c r="N60" s="39">
        <f t="shared" si="17"/>
        <v>1717294</v>
      </c>
      <c r="O60" s="39">
        <f t="shared" si="18"/>
        <v>20607528</v>
      </c>
      <c r="P60" s="81">
        <f t="shared" si="19"/>
        <v>40760903</v>
      </c>
    </row>
    <row r="61" spans="2:22" s="2" customFormat="1" ht="78" customHeight="1">
      <c r="B61" s="59">
        <v>4</v>
      </c>
      <c r="C61" s="67" t="s">
        <v>1149</v>
      </c>
      <c r="D61" s="196" t="s">
        <v>1153</v>
      </c>
      <c r="E61" s="196" t="s">
        <v>1153</v>
      </c>
      <c r="F61" s="76">
        <f>70+1</f>
        <v>71</v>
      </c>
      <c r="G61" s="54">
        <f>1032770/36</f>
        <v>28688.055555555555</v>
      </c>
      <c r="H61" s="54">
        <f t="shared" si="13"/>
        <v>31556.861111111113</v>
      </c>
      <c r="I61" s="54">
        <f t="shared" si="13"/>
        <v>34712.547222222231</v>
      </c>
      <c r="J61" s="39">
        <f t="shared" si="12"/>
        <v>2036852</v>
      </c>
      <c r="K61" s="39">
        <f t="shared" si="14"/>
        <v>2036852</v>
      </c>
      <c r="L61" s="39">
        <f t="shared" si="15"/>
        <v>2240537</v>
      </c>
      <c r="M61" s="39">
        <f t="shared" si="16"/>
        <v>26886444</v>
      </c>
      <c r="N61" s="39">
        <f t="shared" si="17"/>
        <v>2464591</v>
      </c>
      <c r="O61" s="39">
        <f t="shared" si="18"/>
        <v>29575092</v>
      </c>
      <c r="P61" s="81">
        <f t="shared" si="19"/>
        <v>58498388</v>
      </c>
    </row>
    <row r="62" spans="2:22" s="2" customFormat="1" ht="78" customHeight="1">
      <c r="B62" s="59">
        <v>5</v>
      </c>
      <c r="C62" s="67" t="s">
        <v>1149</v>
      </c>
      <c r="D62" s="196" t="s">
        <v>1154</v>
      </c>
      <c r="E62" s="196" t="s">
        <v>1154</v>
      </c>
      <c r="F62" s="76">
        <v>4</v>
      </c>
      <c r="G62" s="54">
        <f>2318450/36</f>
        <v>64401.388888888891</v>
      </c>
      <c r="H62" s="54">
        <f t="shared" si="13"/>
        <v>70841.527777777781</v>
      </c>
      <c r="I62" s="54">
        <f t="shared" si="13"/>
        <v>77925.680555555562</v>
      </c>
      <c r="J62" s="39">
        <f t="shared" si="12"/>
        <v>257606</v>
      </c>
      <c r="K62" s="39">
        <f t="shared" si="14"/>
        <v>257606</v>
      </c>
      <c r="L62" s="39">
        <f t="shared" si="15"/>
        <v>283366</v>
      </c>
      <c r="M62" s="39">
        <f t="shared" si="16"/>
        <v>3400392</v>
      </c>
      <c r="N62" s="39">
        <f t="shared" si="17"/>
        <v>311703</v>
      </c>
      <c r="O62" s="39">
        <f t="shared" si="18"/>
        <v>3740436</v>
      </c>
      <c r="P62" s="81">
        <f t="shared" si="19"/>
        <v>7398434</v>
      </c>
    </row>
    <row r="63" spans="2:22" s="2" customFormat="1" ht="71.25" customHeight="1">
      <c r="B63" s="59">
        <v>6</v>
      </c>
      <c r="C63" s="67" t="s">
        <v>1155</v>
      </c>
      <c r="D63" s="196" t="s">
        <v>1156</v>
      </c>
      <c r="E63" s="196"/>
      <c r="F63" s="76">
        <v>34</v>
      </c>
      <c r="G63" s="54">
        <f>960231/36</f>
        <v>26673.083333333332</v>
      </c>
      <c r="H63" s="54">
        <f t="shared" si="13"/>
        <v>29340.391666666666</v>
      </c>
      <c r="I63" s="54">
        <f t="shared" si="13"/>
        <v>32274.430833333336</v>
      </c>
      <c r="J63" s="39">
        <f t="shared" si="12"/>
        <v>906885</v>
      </c>
      <c r="K63" s="39">
        <f t="shared" si="14"/>
        <v>906885</v>
      </c>
      <c r="L63" s="39">
        <f t="shared" si="15"/>
        <v>997573</v>
      </c>
      <c r="M63" s="39">
        <f t="shared" si="16"/>
        <v>11970876</v>
      </c>
      <c r="N63" s="39">
        <f t="shared" si="17"/>
        <v>1097331</v>
      </c>
      <c r="O63" s="39">
        <f t="shared" si="18"/>
        <v>13167972</v>
      </c>
      <c r="P63" s="81">
        <f t="shared" si="19"/>
        <v>26045733</v>
      </c>
    </row>
    <row r="64" spans="2:22" s="2" customFormat="1" ht="71.25" customHeight="1">
      <c r="B64" s="59">
        <v>7</v>
      </c>
      <c r="C64" s="67" t="s">
        <v>1155</v>
      </c>
      <c r="D64" s="196" t="s">
        <v>1157</v>
      </c>
      <c r="E64" s="196" t="s">
        <v>127</v>
      </c>
      <c r="F64" s="76">
        <v>8</v>
      </c>
      <c r="G64" s="54">
        <f>4387393/36</f>
        <v>121872.02777777778</v>
      </c>
      <c r="H64" s="54">
        <f t="shared" si="13"/>
        <v>134059.23055555558</v>
      </c>
      <c r="I64" s="54">
        <f t="shared" si="13"/>
        <v>147465.15361111116</v>
      </c>
      <c r="J64" s="39">
        <f t="shared" si="12"/>
        <v>974976</v>
      </c>
      <c r="K64" s="39">
        <f t="shared" si="14"/>
        <v>974976</v>
      </c>
      <c r="L64" s="39">
        <f t="shared" si="15"/>
        <v>1072474</v>
      </c>
      <c r="M64" s="39">
        <f t="shared" si="16"/>
        <v>12869688</v>
      </c>
      <c r="N64" s="39">
        <f t="shared" si="17"/>
        <v>1179721</v>
      </c>
      <c r="O64" s="39">
        <f t="shared" si="18"/>
        <v>14156652</v>
      </c>
      <c r="P64" s="81">
        <f t="shared" si="19"/>
        <v>28001316</v>
      </c>
    </row>
    <row r="65" spans="2:16" s="2" customFormat="1" ht="71.25" customHeight="1">
      <c r="B65" s="59">
        <v>8</v>
      </c>
      <c r="C65" s="67" t="s">
        <v>1155</v>
      </c>
      <c r="D65" s="196" t="s">
        <v>1158</v>
      </c>
      <c r="E65" s="196" t="s">
        <v>128</v>
      </c>
      <c r="F65" s="76">
        <v>7</v>
      </c>
      <c r="G65" s="54">
        <f>704991/36</f>
        <v>19583.083333333332</v>
      </c>
      <c r="H65" s="54">
        <f t="shared" si="13"/>
        <v>21541.391666666666</v>
      </c>
      <c r="I65" s="54">
        <f t="shared" si="13"/>
        <v>23695.530833333334</v>
      </c>
      <c r="J65" s="39">
        <f t="shared" si="12"/>
        <v>137082</v>
      </c>
      <c r="K65" s="39">
        <f t="shared" si="14"/>
        <v>137082</v>
      </c>
      <c r="L65" s="39">
        <f t="shared" si="15"/>
        <v>150790</v>
      </c>
      <c r="M65" s="39">
        <f t="shared" si="16"/>
        <v>1809480</v>
      </c>
      <c r="N65" s="39">
        <f t="shared" si="17"/>
        <v>165869</v>
      </c>
      <c r="O65" s="39">
        <f t="shared" si="18"/>
        <v>1990428</v>
      </c>
      <c r="P65" s="81">
        <f t="shared" si="19"/>
        <v>3936990</v>
      </c>
    </row>
    <row r="66" spans="2:16" s="2" customFormat="1" ht="71.25" customHeight="1">
      <c r="B66" s="59">
        <v>9</v>
      </c>
      <c r="C66" s="67" t="s">
        <v>1155</v>
      </c>
      <c r="D66" s="196" t="s">
        <v>1159</v>
      </c>
      <c r="E66" s="196" t="s">
        <v>1178</v>
      </c>
      <c r="F66" s="76">
        <v>9</v>
      </c>
      <c r="G66" s="54">
        <f>376551/36</f>
        <v>10459.75</v>
      </c>
      <c r="H66" s="54">
        <f t="shared" si="13"/>
        <v>11505.725</v>
      </c>
      <c r="I66" s="54">
        <f t="shared" si="13"/>
        <v>12656.297500000001</v>
      </c>
      <c r="J66" s="39">
        <f t="shared" si="12"/>
        <v>94138</v>
      </c>
      <c r="K66" s="39">
        <f t="shared" si="14"/>
        <v>94138</v>
      </c>
      <c r="L66" s="39">
        <f t="shared" si="15"/>
        <v>103552</v>
      </c>
      <c r="M66" s="39">
        <f t="shared" si="16"/>
        <v>1242624</v>
      </c>
      <c r="N66" s="39">
        <f t="shared" si="17"/>
        <v>113907</v>
      </c>
      <c r="O66" s="39">
        <f t="shared" si="18"/>
        <v>1366884</v>
      </c>
      <c r="P66" s="81">
        <f t="shared" si="19"/>
        <v>2703646</v>
      </c>
    </row>
    <row r="67" spans="2:16" s="2" customFormat="1" ht="71.25" customHeight="1">
      <c r="B67" s="59">
        <v>10</v>
      </c>
      <c r="C67" s="67" t="s">
        <v>1155</v>
      </c>
      <c r="D67" s="196" t="s">
        <v>1160</v>
      </c>
      <c r="E67" s="196" t="s">
        <v>1178</v>
      </c>
      <c r="F67" s="76">
        <v>8</v>
      </c>
      <c r="G67" s="54">
        <f>960231/36</f>
        <v>26673.083333333332</v>
      </c>
      <c r="H67" s="54">
        <f t="shared" si="13"/>
        <v>29340.391666666666</v>
      </c>
      <c r="I67" s="54">
        <f t="shared" si="13"/>
        <v>32274.430833333336</v>
      </c>
      <c r="J67" s="39">
        <f t="shared" si="12"/>
        <v>213385</v>
      </c>
      <c r="K67" s="39">
        <f t="shared" si="14"/>
        <v>213385</v>
      </c>
      <c r="L67" s="39">
        <f t="shared" si="15"/>
        <v>234723</v>
      </c>
      <c r="M67" s="39">
        <f t="shared" si="16"/>
        <v>2816676</v>
      </c>
      <c r="N67" s="39">
        <f t="shared" si="17"/>
        <v>258195</v>
      </c>
      <c r="O67" s="39">
        <f t="shared" si="18"/>
        <v>3098340</v>
      </c>
      <c r="P67" s="81">
        <f t="shared" si="19"/>
        <v>6128401</v>
      </c>
    </row>
    <row r="68" spans="2:16" s="2" customFormat="1" ht="44.25" customHeight="1">
      <c r="B68" s="59">
        <v>11</v>
      </c>
      <c r="C68" s="67" t="s">
        <v>1155</v>
      </c>
      <c r="D68" s="196" t="s">
        <v>1161</v>
      </c>
      <c r="E68" s="196" t="s">
        <v>1178</v>
      </c>
      <c r="F68" s="76">
        <v>77</v>
      </c>
      <c r="G68" s="54">
        <f>412071/36</f>
        <v>11446.416666666666</v>
      </c>
      <c r="H68" s="54">
        <f t="shared" si="13"/>
        <v>12591.058333333334</v>
      </c>
      <c r="I68" s="54">
        <f t="shared" si="13"/>
        <v>13850.164166666669</v>
      </c>
      <c r="J68" s="39">
        <f t="shared" si="12"/>
        <v>881374</v>
      </c>
      <c r="K68" s="39">
        <f t="shared" si="14"/>
        <v>881374</v>
      </c>
      <c r="L68" s="39">
        <f t="shared" si="15"/>
        <v>969511</v>
      </c>
      <c r="M68" s="39">
        <f t="shared" si="16"/>
        <v>11634132</v>
      </c>
      <c r="N68" s="39">
        <f t="shared" si="17"/>
        <v>1066463</v>
      </c>
      <c r="O68" s="39">
        <f t="shared" si="18"/>
        <v>12797556</v>
      </c>
      <c r="P68" s="81">
        <f t="shared" si="19"/>
        <v>25313062</v>
      </c>
    </row>
    <row r="69" spans="2:16" s="2" customFormat="1" ht="44.25" customHeight="1">
      <c r="B69" s="59">
        <v>12</v>
      </c>
      <c r="C69" s="67" t="s">
        <v>1155</v>
      </c>
      <c r="D69" s="196" t="s">
        <v>1162</v>
      </c>
      <c r="E69" s="196" t="s">
        <v>1179</v>
      </c>
      <c r="F69" s="76">
        <v>17</v>
      </c>
      <c r="G69" s="54">
        <f>946671/36</f>
        <v>26296.416666666668</v>
      </c>
      <c r="H69" s="54">
        <f t="shared" si="13"/>
        <v>28926.058333333338</v>
      </c>
      <c r="I69" s="54">
        <f t="shared" si="13"/>
        <v>31818.664166666673</v>
      </c>
      <c r="J69" s="39">
        <f t="shared" si="12"/>
        <v>447039</v>
      </c>
      <c r="K69" s="39">
        <f t="shared" si="14"/>
        <v>447039</v>
      </c>
      <c r="L69" s="39">
        <f t="shared" si="15"/>
        <v>491743</v>
      </c>
      <c r="M69" s="39">
        <f t="shared" si="16"/>
        <v>5900916</v>
      </c>
      <c r="N69" s="39">
        <f t="shared" si="17"/>
        <v>540917</v>
      </c>
      <c r="O69" s="39">
        <f t="shared" si="18"/>
        <v>6491004</v>
      </c>
      <c r="P69" s="81">
        <f t="shared" si="19"/>
        <v>12838959</v>
      </c>
    </row>
    <row r="70" spans="2:16" s="2" customFormat="1" ht="44.25" customHeight="1">
      <c r="B70" s="59">
        <v>13</v>
      </c>
      <c r="C70" s="67" t="s">
        <v>1155</v>
      </c>
      <c r="D70" s="196" t="s">
        <v>1163</v>
      </c>
      <c r="E70" s="196" t="s">
        <v>129</v>
      </c>
      <c r="F70" s="76">
        <v>12</v>
      </c>
      <c r="G70" s="54">
        <f>519471/36</f>
        <v>14429.75</v>
      </c>
      <c r="H70" s="54">
        <f t="shared" si="13"/>
        <v>15872.725000000002</v>
      </c>
      <c r="I70" s="54">
        <f t="shared" si="13"/>
        <v>17459.997500000005</v>
      </c>
      <c r="J70" s="39">
        <f t="shared" si="12"/>
        <v>173157</v>
      </c>
      <c r="K70" s="39">
        <f t="shared" si="14"/>
        <v>173157</v>
      </c>
      <c r="L70" s="39">
        <f t="shared" si="15"/>
        <v>190473</v>
      </c>
      <c r="M70" s="39">
        <f t="shared" si="16"/>
        <v>2285676</v>
      </c>
      <c r="N70" s="39">
        <f t="shared" si="17"/>
        <v>209520</v>
      </c>
      <c r="O70" s="39">
        <f t="shared" si="18"/>
        <v>2514240</v>
      </c>
      <c r="P70" s="81">
        <f t="shared" si="19"/>
        <v>4973073</v>
      </c>
    </row>
    <row r="71" spans="2:16" s="2" customFormat="1" ht="44.25" customHeight="1">
      <c r="B71" s="59">
        <v>14</v>
      </c>
      <c r="C71" s="67" t="s">
        <v>1155</v>
      </c>
      <c r="D71" s="196" t="s">
        <v>1164</v>
      </c>
      <c r="E71" s="196" t="s">
        <v>130</v>
      </c>
      <c r="F71" s="76">
        <v>14</v>
      </c>
      <c r="G71" s="54">
        <f>230439/36</f>
        <v>6401.083333333333</v>
      </c>
      <c r="H71" s="54">
        <f t="shared" si="13"/>
        <v>7041.1916666666666</v>
      </c>
      <c r="I71" s="54">
        <f t="shared" si="13"/>
        <v>7745.3108333333339</v>
      </c>
      <c r="J71" s="39">
        <f t="shared" si="12"/>
        <v>89615</v>
      </c>
      <c r="K71" s="39">
        <f t="shared" si="14"/>
        <v>89615</v>
      </c>
      <c r="L71" s="39">
        <f t="shared" si="15"/>
        <v>98577</v>
      </c>
      <c r="M71" s="39">
        <f t="shared" si="16"/>
        <v>1182924</v>
      </c>
      <c r="N71" s="39">
        <f t="shared" si="17"/>
        <v>108434</v>
      </c>
      <c r="O71" s="39">
        <f t="shared" si="18"/>
        <v>1301208</v>
      </c>
      <c r="P71" s="81">
        <f t="shared" si="19"/>
        <v>2573747</v>
      </c>
    </row>
    <row r="72" spans="2:16" s="2" customFormat="1" ht="44.25" customHeight="1">
      <c r="B72" s="59">
        <v>15</v>
      </c>
      <c r="C72" s="67" t="s">
        <v>1155</v>
      </c>
      <c r="D72" s="196" t="s">
        <v>1165</v>
      </c>
      <c r="E72" s="196" t="s">
        <v>131</v>
      </c>
      <c r="F72" s="76">
        <v>1</v>
      </c>
      <c r="G72" s="54">
        <f>381371/36</f>
        <v>10593.638888888889</v>
      </c>
      <c r="H72" s="54">
        <f t="shared" si="13"/>
        <v>11653.002777777778</v>
      </c>
      <c r="I72" s="54">
        <f t="shared" si="13"/>
        <v>12818.303055555556</v>
      </c>
      <c r="J72" s="39">
        <f t="shared" si="12"/>
        <v>10594</v>
      </c>
      <c r="K72" s="39">
        <f t="shared" si="14"/>
        <v>10594</v>
      </c>
      <c r="L72" s="39">
        <f t="shared" si="15"/>
        <v>11653</v>
      </c>
      <c r="M72" s="39">
        <f t="shared" si="16"/>
        <v>139836</v>
      </c>
      <c r="N72" s="39">
        <f t="shared" si="17"/>
        <v>12818</v>
      </c>
      <c r="O72" s="39">
        <f t="shared" si="18"/>
        <v>153816</v>
      </c>
      <c r="P72" s="81">
        <f t="shared" si="19"/>
        <v>304246</v>
      </c>
    </row>
    <row r="73" spans="2:16" s="2" customFormat="1" ht="61.5" customHeight="1">
      <c r="B73" s="59">
        <v>16</v>
      </c>
      <c r="C73" s="67" t="s">
        <v>1155</v>
      </c>
      <c r="D73" s="196" t="s">
        <v>1166</v>
      </c>
      <c r="E73" s="196" t="s">
        <v>132</v>
      </c>
      <c r="F73" s="76">
        <v>3</v>
      </c>
      <c r="G73" s="54">
        <f>3176031/36</f>
        <v>88223.083333333328</v>
      </c>
      <c r="H73" s="54">
        <f t="shared" si="13"/>
        <v>97045.391666666663</v>
      </c>
      <c r="I73" s="54">
        <f t="shared" si="13"/>
        <v>106749.93083333333</v>
      </c>
      <c r="J73" s="39">
        <f t="shared" si="12"/>
        <v>264669</v>
      </c>
      <c r="K73" s="39">
        <f t="shared" si="14"/>
        <v>264669</v>
      </c>
      <c r="L73" s="39">
        <f t="shared" si="15"/>
        <v>291136</v>
      </c>
      <c r="M73" s="39">
        <f t="shared" si="16"/>
        <v>3493632</v>
      </c>
      <c r="N73" s="39">
        <f t="shared" si="17"/>
        <v>320250</v>
      </c>
      <c r="O73" s="39">
        <f t="shared" si="18"/>
        <v>3843000</v>
      </c>
      <c r="P73" s="81">
        <f t="shared" si="19"/>
        <v>7601301</v>
      </c>
    </row>
    <row r="74" spans="2:16" s="2" customFormat="1" ht="44.25" customHeight="1">
      <c r="B74" s="59">
        <v>17</v>
      </c>
      <c r="C74" s="67" t="s">
        <v>1167</v>
      </c>
      <c r="D74" s="196" t="s">
        <v>1168</v>
      </c>
      <c r="E74" s="196"/>
      <c r="F74" s="76">
        <v>5</v>
      </c>
      <c r="G74" s="54">
        <f>3461031/36</f>
        <v>96139.75</v>
      </c>
      <c r="H74" s="54">
        <f t="shared" si="13"/>
        <v>105753.72500000001</v>
      </c>
      <c r="I74" s="54">
        <f t="shared" si="13"/>
        <v>116329.09750000002</v>
      </c>
      <c r="J74" s="39">
        <f t="shared" si="12"/>
        <v>480699</v>
      </c>
      <c r="K74" s="39">
        <f t="shared" si="14"/>
        <v>480699</v>
      </c>
      <c r="L74" s="39">
        <f t="shared" si="15"/>
        <v>528769</v>
      </c>
      <c r="M74" s="39">
        <f t="shared" si="16"/>
        <v>6345228</v>
      </c>
      <c r="N74" s="39">
        <f t="shared" si="17"/>
        <v>581645</v>
      </c>
      <c r="O74" s="39">
        <f t="shared" si="18"/>
        <v>6979740</v>
      </c>
      <c r="P74" s="81">
        <f t="shared" si="19"/>
        <v>13805667</v>
      </c>
    </row>
    <row r="75" spans="2:16" s="2" customFormat="1" ht="44.25" customHeight="1">
      <c r="B75" s="59">
        <v>18</v>
      </c>
      <c r="C75" s="67" t="s">
        <v>1167</v>
      </c>
      <c r="D75" s="196" t="s">
        <v>1169</v>
      </c>
      <c r="E75" s="196" t="s">
        <v>1169</v>
      </c>
      <c r="F75" s="76">
        <v>34</v>
      </c>
      <c r="G75" s="54">
        <f>358431/36</f>
        <v>9956.4166666666661</v>
      </c>
      <c r="H75" s="54">
        <f t="shared" ref="H75:I80" si="20">+G75*1.1</f>
        <v>10952.058333333334</v>
      </c>
      <c r="I75" s="54">
        <f t="shared" si="20"/>
        <v>12047.26416666667</v>
      </c>
      <c r="J75" s="39">
        <f t="shared" si="12"/>
        <v>338518</v>
      </c>
      <c r="K75" s="39">
        <f t="shared" si="14"/>
        <v>338518</v>
      </c>
      <c r="L75" s="39">
        <f t="shared" si="15"/>
        <v>372370</v>
      </c>
      <c r="M75" s="39">
        <f t="shared" si="16"/>
        <v>4468440</v>
      </c>
      <c r="N75" s="39">
        <f t="shared" si="17"/>
        <v>409607</v>
      </c>
      <c r="O75" s="39">
        <f t="shared" si="18"/>
        <v>4915284</v>
      </c>
      <c r="P75" s="81">
        <f t="shared" si="19"/>
        <v>9722242</v>
      </c>
    </row>
    <row r="76" spans="2:16" s="2" customFormat="1" ht="44.25" customHeight="1">
      <c r="B76" s="59">
        <v>19</v>
      </c>
      <c r="C76" s="67" t="s">
        <v>1170</v>
      </c>
      <c r="D76" s="196" t="s">
        <v>1171</v>
      </c>
      <c r="E76" s="196"/>
      <c r="F76" s="76">
        <v>22</v>
      </c>
      <c r="G76" s="54">
        <f>1200600/36</f>
        <v>33350</v>
      </c>
      <c r="H76" s="54">
        <f t="shared" si="20"/>
        <v>36685</v>
      </c>
      <c r="I76" s="54">
        <f t="shared" si="20"/>
        <v>40353.5</v>
      </c>
      <c r="J76" s="39">
        <f t="shared" si="12"/>
        <v>733700</v>
      </c>
      <c r="K76" s="39">
        <f t="shared" si="14"/>
        <v>733700</v>
      </c>
      <c r="L76" s="39">
        <f t="shared" si="15"/>
        <v>807070</v>
      </c>
      <c r="M76" s="39">
        <f t="shared" si="16"/>
        <v>9684840</v>
      </c>
      <c r="N76" s="39">
        <f t="shared" si="17"/>
        <v>887777</v>
      </c>
      <c r="O76" s="39">
        <f t="shared" si="18"/>
        <v>10653324</v>
      </c>
      <c r="P76" s="81">
        <f t="shared" si="19"/>
        <v>21071864</v>
      </c>
    </row>
    <row r="77" spans="2:16" s="2" customFormat="1" ht="44.25" customHeight="1">
      <c r="B77" s="59">
        <v>20</v>
      </c>
      <c r="C77" s="67" t="s">
        <v>1170</v>
      </c>
      <c r="D77" s="196" t="s">
        <v>1172</v>
      </c>
      <c r="E77" s="196" t="s">
        <v>1172</v>
      </c>
      <c r="F77" s="76">
        <v>8</v>
      </c>
      <c r="G77" s="54">
        <f>174840/36</f>
        <v>4856.666666666667</v>
      </c>
      <c r="H77" s="54">
        <f t="shared" si="20"/>
        <v>5342.3333333333339</v>
      </c>
      <c r="I77" s="54">
        <f t="shared" si="20"/>
        <v>5876.5666666666675</v>
      </c>
      <c r="J77" s="39">
        <f t="shared" si="12"/>
        <v>38853</v>
      </c>
      <c r="K77" s="39">
        <f t="shared" si="14"/>
        <v>38853</v>
      </c>
      <c r="L77" s="39">
        <f t="shared" si="15"/>
        <v>42739</v>
      </c>
      <c r="M77" s="39">
        <f t="shared" si="16"/>
        <v>512868</v>
      </c>
      <c r="N77" s="39">
        <f t="shared" si="17"/>
        <v>47013</v>
      </c>
      <c r="O77" s="39">
        <f t="shared" si="18"/>
        <v>564156</v>
      </c>
      <c r="P77" s="81">
        <f t="shared" si="19"/>
        <v>1115877</v>
      </c>
    </row>
    <row r="78" spans="2:16" s="2" customFormat="1" ht="44.25" customHeight="1">
      <c r="B78" s="59">
        <v>21</v>
      </c>
      <c r="C78" s="67" t="s">
        <v>1170</v>
      </c>
      <c r="D78" s="196" t="s">
        <v>1173</v>
      </c>
      <c r="E78" s="196" t="s">
        <v>1173</v>
      </c>
      <c r="F78" s="76">
        <v>15</v>
      </c>
      <c r="G78" s="54">
        <f>173760/36</f>
        <v>4826.666666666667</v>
      </c>
      <c r="H78" s="54">
        <f t="shared" si="20"/>
        <v>5309.3333333333339</v>
      </c>
      <c r="I78" s="54">
        <f t="shared" si="20"/>
        <v>5840.2666666666682</v>
      </c>
      <c r="J78" s="39">
        <f t="shared" si="12"/>
        <v>72400</v>
      </c>
      <c r="K78" s="39">
        <f t="shared" si="14"/>
        <v>72400</v>
      </c>
      <c r="L78" s="39">
        <f t="shared" si="15"/>
        <v>79640</v>
      </c>
      <c r="M78" s="39">
        <f t="shared" si="16"/>
        <v>955680</v>
      </c>
      <c r="N78" s="39">
        <f t="shared" si="17"/>
        <v>87604</v>
      </c>
      <c r="O78" s="39">
        <f t="shared" si="18"/>
        <v>1051248</v>
      </c>
      <c r="P78" s="81">
        <f t="shared" si="19"/>
        <v>2079328</v>
      </c>
    </row>
    <row r="79" spans="2:16" s="2" customFormat="1" ht="44.25" customHeight="1">
      <c r="B79" s="59">
        <v>22</v>
      </c>
      <c r="C79" s="67" t="s">
        <v>1170</v>
      </c>
      <c r="D79" s="196" t="s">
        <v>1174</v>
      </c>
      <c r="E79" s="196" t="s">
        <v>1174</v>
      </c>
      <c r="F79" s="76">
        <v>9</v>
      </c>
      <c r="G79" s="54">
        <f>210240/36</f>
        <v>5840</v>
      </c>
      <c r="H79" s="54">
        <f t="shared" si="20"/>
        <v>6424.0000000000009</v>
      </c>
      <c r="I79" s="54">
        <f t="shared" si="20"/>
        <v>7066.4000000000015</v>
      </c>
      <c r="J79" s="39">
        <f t="shared" si="12"/>
        <v>52560</v>
      </c>
      <c r="K79" s="39">
        <f t="shared" si="14"/>
        <v>52560</v>
      </c>
      <c r="L79" s="39">
        <f t="shared" si="15"/>
        <v>57816</v>
      </c>
      <c r="M79" s="39">
        <f t="shared" si="16"/>
        <v>693792</v>
      </c>
      <c r="N79" s="39">
        <f t="shared" si="17"/>
        <v>63598</v>
      </c>
      <c r="O79" s="39">
        <f t="shared" si="18"/>
        <v>763176</v>
      </c>
      <c r="P79" s="81">
        <f t="shared" si="19"/>
        <v>1509528</v>
      </c>
    </row>
    <row r="80" spans="2:16" s="2" customFormat="1" ht="44.25" customHeight="1">
      <c r="B80" s="59">
        <v>23</v>
      </c>
      <c r="C80" s="67" t="s">
        <v>1170</v>
      </c>
      <c r="D80" s="196" t="s">
        <v>1175</v>
      </c>
      <c r="E80" s="196"/>
      <c r="F80" s="76">
        <v>1</v>
      </c>
      <c r="G80" s="54">
        <f>798600/36</f>
        <v>22183.333333333332</v>
      </c>
      <c r="H80" s="54">
        <f t="shared" si="20"/>
        <v>24401.666666666668</v>
      </c>
      <c r="I80" s="54">
        <f t="shared" si="20"/>
        <v>26841.833333333336</v>
      </c>
      <c r="J80" s="39">
        <f t="shared" si="12"/>
        <v>22183</v>
      </c>
      <c r="K80" s="39">
        <f t="shared" si="14"/>
        <v>22183</v>
      </c>
      <c r="L80" s="39">
        <f t="shared" si="15"/>
        <v>24402</v>
      </c>
      <c r="M80" s="39">
        <f t="shared" si="16"/>
        <v>292824</v>
      </c>
      <c r="N80" s="39">
        <f t="shared" si="17"/>
        <v>26842</v>
      </c>
      <c r="O80" s="39">
        <f t="shared" si="18"/>
        <v>322104</v>
      </c>
      <c r="P80" s="81">
        <f t="shared" si="19"/>
        <v>637111</v>
      </c>
    </row>
    <row r="81" spans="2:16" s="2" customFormat="1" ht="24.75" customHeight="1">
      <c r="B81" s="201" t="s">
        <v>1224</v>
      </c>
      <c r="C81" s="201"/>
      <c r="D81" s="201"/>
      <c r="E81" s="201"/>
      <c r="F81" s="201"/>
      <c r="G81" s="201"/>
      <c r="H81" s="201"/>
      <c r="I81" s="201"/>
      <c r="J81" s="201"/>
      <c r="K81" s="201"/>
      <c r="L81" s="201"/>
      <c r="M81" s="201"/>
      <c r="N81" s="201"/>
      <c r="O81" s="201"/>
      <c r="P81" s="81">
        <f>SUM(P58:P80)</f>
        <v>316945751</v>
      </c>
    </row>
    <row r="82" spans="2:16" s="2" customFormat="1" ht="12.5">
      <c r="C82" s="4"/>
      <c r="D82" s="4"/>
      <c r="E82" s="4"/>
      <c r="F82" s="4"/>
      <c r="G82" s="99">
        <f>SUM(G58:G80)</f>
        <v>841281.97222222213</v>
      </c>
      <c r="H82" s="99">
        <f>SUM(H58:H80)</f>
        <v>925410.16944444459</v>
      </c>
      <c r="I82" s="99">
        <f>SUM(I58:I80)</f>
        <v>1017951.1863888891</v>
      </c>
    </row>
    <row r="83" spans="2:16" s="2" customFormat="1" ht="29.25" customHeight="1">
      <c r="B83" s="171" t="s">
        <v>1184</v>
      </c>
      <c r="C83" s="172"/>
      <c r="D83" s="172"/>
      <c r="E83" s="172"/>
      <c r="F83" s="172"/>
      <c r="G83" s="172"/>
      <c r="H83" s="172"/>
      <c r="I83" s="172"/>
      <c r="J83" s="197"/>
    </row>
    <row r="84" spans="2:16" s="2" customFormat="1" ht="29.25" customHeight="1">
      <c r="C84" s="4"/>
      <c r="D84" s="4"/>
      <c r="E84" s="4"/>
      <c r="F84" s="4"/>
      <c r="G84" s="4"/>
      <c r="H84" s="4"/>
    </row>
    <row r="85" spans="2:16" s="2" customFormat="1" ht="29.25" customHeight="1">
      <c r="B85" s="198" t="s">
        <v>1185</v>
      </c>
      <c r="C85" s="198"/>
      <c r="D85" s="198"/>
      <c r="E85" s="198"/>
      <c r="F85" s="198"/>
      <c r="G85"/>
      <c r="H85"/>
      <c r="I85"/>
      <c r="J85"/>
    </row>
    <row r="86" spans="2:16" s="2" customFormat="1" ht="29.25" customHeight="1">
      <c r="C86" s="4"/>
      <c r="D86" s="4"/>
      <c r="E86" s="4"/>
      <c r="F86" s="4"/>
      <c r="G86" s="4"/>
      <c r="H86" s="4"/>
    </row>
    <row r="87" spans="2:16" s="2" customFormat="1" ht="29.25" customHeight="1">
      <c r="B87" s="199" t="s">
        <v>133</v>
      </c>
      <c r="C87" s="199"/>
      <c r="D87" s="199"/>
      <c r="E87" s="77" t="s">
        <v>121</v>
      </c>
    </row>
    <row r="88" spans="2:16" s="2" customFormat="1" ht="29.25" customHeight="1">
      <c r="B88" s="180" t="s">
        <v>134</v>
      </c>
      <c r="C88" s="181"/>
      <c r="D88" s="182"/>
      <c r="E88" s="78">
        <f>SUM(V45:V50)</f>
        <v>6404464287</v>
      </c>
    </row>
    <row r="89" spans="2:16" s="2" customFormat="1" ht="29.25" customHeight="1">
      <c r="B89" s="180" t="s">
        <v>135</v>
      </c>
      <c r="C89" s="181"/>
      <c r="D89" s="182"/>
      <c r="E89" s="78">
        <f>SUM(P58:P80)</f>
        <v>316945751</v>
      </c>
    </row>
    <row r="90" spans="2:16" s="2" customFormat="1" ht="29.25" customHeight="1">
      <c r="B90" s="180" t="s">
        <v>136</v>
      </c>
      <c r="C90" s="181"/>
      <c r="D90" s="182"/>
      <c r="E90" s="78">
        <f>E88+E89</f>
        <v>6721410038</v>
      </c>
    </row>
    <row r="91" spans="2:16" s="2" customFormat="1" ht="29.25" customHeight="1">
      <c r="B91" s="183" t="s">
        <v>1195</v>
      </c>
      <c r="C91" s="183"/>
      <c r="D91" s="55">
        <v>0.1</v>
      </c>
      <c r="E91" s="78">
        <f>ROUND((E90)*D91,0)</f>
        <v>672141004</v>
      </c>
      <c r="G91" s="70"/>
    </row>
    <row r="92" spans="2:16" s="2" customFormat="1" ht="29.25" customHeight="1">
      <c r="B92" s="183" t="s">
        <v>137</v>
      </c>
      <c r="C92" s="183"/>
      <c r="D92" s="56">
        <v>0.19</v>
      </c>
      <c r="E92" s="78">
        <f>ROUND(E91*D92,0)</f>
        <v>127706791</v>
      </c>
      <c r="G92" s="70"/>
    </row>
    <row r="93" spans="2:16" s="2" customFormat="1" ht="29.25" customHeight="1">
      <c r="B93" s="173" t="s">
        <v>1203</v>
      </c>
      <c r="C93" s="184"/>
      <c r="D93" s="185"/>
      <c r="E93" s="79">
        <f>E90+E92</f>
        <v>6849116829</v>
      </c>
      <c r="G93" s="70"/>
    </row>
    <row r="94" spans="2:16" s="2" customFormat="1" ht="12.5">
      <c r="C94" s="4"/>
      <c r="D94" s="4"/>
      <c r="E94" s="4"/>
      <c r="G94" s="4"/>
    </row>
    <row r="95" spans="2:16" s="2" customFormat="1" ht="12.5">
      <c r="C95" s="4"/>
      <c r="D95" s="4"/>
      <c r="E95" s="4"/>
      <c r="F95" s="4"/>
      <c r="G95" s="4"/>
      <c r="H95" s="4"/>
    </row>
    <row r="96" spans="2:16" ht="27.75" customHeight="1">
      <c r="B96" s="260" t="s">
        <v>83</v>
      </c>
      <c r="C96" s="260"/>
      <c r="D96" s="260"/>
      <c r="E96" s="260"/>
      <c r="F96" s="260"/>
      <c r="G96" s="260"/>
      <c r="H96" s="260"/>
      <c r="I96" s="260"/>
    </row>
    <row r="97" spans="2:9" ht="63.75" customHeight="1">
      <c r="B97" s="259" t="s">
        <v>1225</v>
      </c>
      <c r="C97" s="259"/>
      <c r="D97" s="259"/>
      <c r="E97" s="259"/>
      <c r="F97" s="259"/>
      <c r="G97" s="259"/>
      <c r="H97" s="259"/>
      <c r="I97" s="259"/>
    </row>
    <row r="98" spans="2:9" ht="52.5" customHeight="1">
      <c r="B98" s="259" t="s">
        <v>1186</v>
      </c>
      <c r="C98" s="259"/>
      <c r="D98" s="259"/>
      <c r="E98" s="259"/>
      <c r="F98" s="259"/>
      <c r="G98" s="259"/>
      <c r="H98" s="259"/>
      <c r="I98" s="259"/>
    </row>
    <row r="99" spans="2:9" ht="12.5"/>
  </sheetData>
  <mergeCells count="72">
    <mergeCell ref="B98:I98"/>
    <mergeCell ref="B83:J83"/>
    <mergeCell ref="B85:F85"/>
    <mergeCell ref="B87:D87"/>
    <mergeCell ref="B88:D88"/>
    <mergeCell ref="B89:D89"/>
    <mergeCell ref="B90:D90"/>
    <mergeCell ref="B91:C91"/>
    <mergeCell ref="B92:C92"/>
    <mergeCell ref="B93:D93"/>
    <mergeCell ref="B96:I96"/>
    <mergeCell ref="B97:I97"/>
    <mergeCell ref="B81:O81"/>
    <mergeCell ref="D70:E70"/>
    <mergeCell ref="D71:E71"/>
    <mergeCell ref="D72:E72"/>
    <mergeCell ref="D73:E73"/>
    <mergeCell ref="D74:E74"/>
    <mergeCell ref="D75:E75"/>
    <mergeCell ref="D76:E76"/>
    <mergeCell ref="D77:E77"/>
    <mergeCell ref="D78:E78"/>
    <mergeCell ref="D79:E79"/>
    <mergeCell ref="D80:E80"/>
    <mergeCell ref="D69:E69"/>
    <mergeCell ref="D58:E58"/>
    <mergeCell ref="D59:E59"/>
    <mergeCell ref="D60:E60"/>
    <mergeCell ref="D61:E61"/>
    <mergeCell ref="D62:E62"/>
    <mergeCell ref="D63:E63"/>
    <mergeCell ref="D64:E64"/>
    <mergeCell ref="D65:E65"/>
    <mergeCell ref="D66:E66"/>
    <mergeCell ref="D67:E67"/>
    <mergeCell ref="D68:E68"/>
    <mergeCell ref="D57:E57"/>
    <mergeCell ref="F35:G35"/>
    <mergeCell ref="F36:G36"/>
    <mergeCell ref="B38:V38"/>
    <mergeCell ref="B41:V41"/>
    <mergeCell ref="B43:E43"/>
    <mergeCell ref="F43:K43"/>
    <mergeCell ref="L43:M43"/>
    <mergeCell ref="N43:O43"/>
    <mergeCell ref="P43:Q43"/>
    <mergeCell ref="R43:S43"/>
    <mergeCell ref="T43:U43"/>
    <mergeCell ref="B51:U51"/>
    <mergeCell ref="B54:V54"/>
    <mergeCell ref="B56:E56"/>
    <mergeCell ref="F56:P56"/>
    <mergeCell ref="B32:M32"/>
    <mergeCell ref="C9:E9"/>
    <mergeCell ref="G9:H9"/>
    <mergeCell ref="B10:L10"/>
    <mergeCell ref="B13:L13"/>
    <mergeCell ref="B15:L15"/>
    <mergeCell ref="B17:L17"/>
    <mergeCell ref="C20:E20"/>
    <mergeCell ref="M20:N22"/>
    <mergeCell ref="C21:E21"/>
    <mergeCell ref="B23:B30"/>
    <mergeCell ref="C23:F23"/>
    <mergeCell ref="C8:D8"/>
    <mergeCell ref="I8:J8"/>
    <mergeCell ref="K8:L8"/>
    <mergeCell ref="B2:K4"/>
    <mergeCell ref="L2:L4"/>
    <mergeCell ref="B6:L6"/>
    <mergeCell ref="B7:C7"/>
    <mergeCell ref="D7:L7"/>
  </mergeCells>
  <dataValidations count="2">
    <dataValidation type="decimal" allowBlank="1" showInputMessage="1" showErrorMessage="1" error="Tener en cuenta que las cooperativas de vigilancia y seguridad privada, podrán descontar del valor de la tarifa hasta el diez por ciento (10%)," sqref="F21" xr:uid="{3A9CE744-6D26-45F5-894B-AC2160D0DABB}">
      <formula1>0</formula1>
      <formula2>0.1</formula2>
    </dataValidation>
    <dataValidation type="list" allowBlank="1" showInputMessage="1" showErrorMessage="1" sqref="F20" xr:uid="{D8E2B4CF-B6B6-4B6E-B568-102098D4ABD4}">
      <formula1>"EMPRESA, COOPERATIVA"</formula1>
    </dataValidation>
  </dataValidations>
  <pageMargins left="0.70866141732283472" right="0.70866141732283472" top="0.74803149606299213" bottom="0.74803149606299213" header="0.31496062992125984" footer="0.31496062992125984"/>
  <pageSetup scale="43" orientation="portrait" r:id="rId1"/>
  <headerFooter>
    <oddFooter xml:space="preserve">&amp;C&amp;P/&amp;N
</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2AEC49-90A4-43DC-9380-A2FF062FBA95}">
  <sheetPr>
    <tabColor rgb="FFFFFFCC"/>
  </sheetPr>
  <dimension ref="A1:Y99"/>
  <sheetViews>
    <sheetView showGridLines="0" zoomScale="55" zoomScaleNormal="55" zoomScaleSheetLayoutView="90" workbookViewId="0">
      <selection activeCell="G45" sqref="G45:K50"/>
    </sheetView>
  </sheetViews>
  <sheetFormatPr baseColWidth="10" defaultColWidth="0" defaultRowHeight="12.65" customHeight="1" zeroHeight="1"/>
  <cols>
    <col min="1" max="1" width="2" style="4" customWidth="1"/>
    <col min="2" max="2" width="13.81640625" style="4" customWidth="1"/>
    <col min="3" max="3" width="30" style="4" customWidth="1"/>
    <col min="4" max="4" width="25.81640625" style="4" customWidth="1"/>
    <col min="5" max="5" width="32.1796875" style="5" customWidth="1"/>
    <col min="6" max="6" width="15.54296875" style="5" customWidth="1"/>
    <col min="7" max="7" width="24.1796875" style="4" customWidth="1"/>
    <col min="8" max="8" width="23.54296875" style="4" customWidth="1"/>
    <col min="9" max="9" width="22.453125" style="4" customWidth="1"/>
    <col min="10" max="10" width="21.54296875" style="4" customWidth="1"/>
    <col min="11" max="11" width="23.1796875" style="4" customWidth="1"/>
    <col min="12" max="12" width="20.81640625" style="4" customWidth="1"/>
    <col min="13" max="13" width="23.54296875" style="4" customWidth="1"/>
    <col min="14" max="14" width="21" style="4" customWidth="1"/>
    <col min="15" max="15" width="22.81640625" style="4" customWidth="1"/>
    <col min="16" max="16" width="23.54296875" style="4" customWidth="1"/>
    <col min="17" max="21" width="18.1796875" style="4" customWidth="1"/>
    <col min="22" max="23" width="18.54296875" style="4" customWidth="1"/>
    <col min="24" max="25" width="18.54296875" style="4" hidden="1" customWidth="1"/>
    <col min="26" max="16384" width="11.453125" style="4" hidden="1"/>
  </cols>
  <sheetData>
    <row r="1" spans="2:12" s="2" customFormat="1" ht="12.75" customHeight="1">
      <c r="E1" s="3"/>
      <c r="F1" s="3"/>
    </row>
    <row r="2" spans="2:12" s="2" customFormat="1" ht="21.75" customHeight="1">
      <c r="B2" s="268" t="s">
        <v>81</v>
      </c>
      <c r="C2" s="269"/>
      <c r="D2" s="269"/>
      <c r="E2" s="269"/>
      <c r="F2" s="269"/>
      <c r="G2" s="269"/>
      <c r="H2" s="269"/>
      <c r="I2" s="269"/>
      <c r="J2" s="269"/>
      <c r="K2" s="270"/>
      <c r="L2" s="257" t="s">
        <v>0</v>
      </c>
    </row>
    <row r="3" spans="2:12" s="2" customFormat="1" ht="21.75" customHeight="1">
      <c r="B3" s="271"/>
      <c r="C3" s="272"/>
      <c r="D3" s="272"/>
      <c r="E3" s="272"/>
      <c r="F3" s="272"/>
      <c r="G3" s="272"/>
      <c r="H3" s="272"/>
      <c r="I3" s="272"/>
      <c r="J3" s="272"/>
      <c r="K3" s="273"/>
      <c r="L3" s="257"/>
    </row>
    <row r="4" spans="2:12" s="2" customFormat="1" ht="21.75" customHeight="1">
      <c r="B4" s="274"/>
      <c r="C4" s="275"/>
      <c r="D4" s="275"/>
      <c r="E4" s="275"/>
      <c r="F4" s="275"/>
      <c r="G4" s="275"/>
      <c r="H4" s="275"/>
      <c r="I4" s="275"/>
      <c r="J4" s="275"/>
      <c r="K4" s="276"/>
      <c r="L4" s="257"/>
    </row>
    <row r="5" spans="2:12" s="2" customFormat="1" ht="5.25" customHeight="1">
      <c r="E5" s="3"/>
      <c r="F5" s="3"/>
    </row>
    <row r="6" spans="2:12" s="2" customFormat="1" ht="15.75" customHeight="1">
      <c r="B6" s="169" t="s">
        <v>81</v>
      </c>
      <c r="C6" s="169"/>
      <c r="D6" s="169"/>
      <c r="E6" s="169"/>
      <c r="F6" s="169"/>
      <c r="G6" s="169"/>
      <c r="H6" s="169"/>
      <c r="I6" s="169"/>
      <c r="J6" s="169"/>
      <c r="K6" s="169"/>
      <c r="L6" s="169"/>
    </row>
    <row r="7" spans="2:12" s="2" customFormat="1" ht="32.25" customHeight="1">
      <c r="B7" s="201" t="s">
        <v>82</v>
      </c>
      <c r="C7" s="201"/>
      <c r="D7" s="265" t="s">
        <v>1147</v>
      </c>
      <c r="E7" s="266"/>
      <c r="F7" s="266"/>
      <c r="G7" s="266"/>
      <c r="H7" s="266"/>
      <c r="I7" s="266"/>
      <c r="J7" s="266"/>
      <c r="K7" s="266"/>
      <c r="L7" s="267"/>
    </row>
    <row r="8" spans="2:12" s="2" customFormat="1" ht="36" customHeight="1">
      <c r="B8" s="87" t="s">
        <v>1229</v>
      </c>
      <c r="C8" s="277" t="s">
        <v>1250</v>
      </c>
      <c r="D8" s="278"/>
      <c r="E8" s="88" t="s">
        <v>1231</v>
      </c>
      <c r="F8" s="52" t="s">
        <v>1251</v>
      </c>
      <c r="G8" s="88" t="s">
        <v>1233</v>
      </c>
      <c r="H8" s="52" t="s">
        <v>1252</v>
      </c>
      <c r="I8" s="279" t="s">
        <v>1235</v>
      </c>
      <c r="J8" s="279"/>
      <c r="K8" s="280" t="s">
        <v>1253</v>
      </c>
      <c r="L8" s="281"/>
    </row>
    <row r="9" spans="2:12" s="2" customFormat="1" ht="33" customHeight="1">
      <c r="B9" s="89" t="s">
        <v>1237</v>
      </c>
      <c r="C9" s="280" t="s">
        <v>1254</v>
      </c>
      <c r="D9" s="282"/>
      <c r="E9" s="281"/>
      <c r="F9" s="88" t="s">
        <v>1239</v>
      </c>
      <c r="G9" s="277" t="s">
        <v>1255</v>
      </c>
      <c r="H9" s="278"/>
      <c r="I9" s="90" t="s">
        <v>1241</v>
      </c>
      <c r="J9" s="52">
        <v>31053858.239999998</v>
      </c>
      <c r="K9" s="91" t="s">
        <v>1243</v>
      </c>
      <c r="L9" s="52" t="s">
        <v>1256</v>
      </c>
    </row>
    <row r="10" spans="2:12" s="2" customFormat="1" ht="5.15" customHeight="1">
      <c r="B10" s="285"/>
      <c r="C10" s="286"/>
      <c r="D10" s="286"/>
      <c r="E10" s="286"/>
      <c r="F10" s="286"/>
      <c r="G10" s="286"/>
      <c r="H10" s="286"/>
      <c r="I10" s="286"/>
      <c r="J10" s="286"/>
      <c r="K10" s="286"/>
      <c r="L10" s="287"/>
    </row>
    <row r="11" spans="2:12" s="2" customFormat="1" ht="8.25" customHeight="1">
      <c r="B11" s="68"/>
      <c r="C11" s="68"/>
      <c r="D11" s="68"/>
      <c r="E11" s="68"/>
      <c r="F11" s="68"/>
      <c r="G11" s="68"/>
      <c r="H11" s="68"/>
      <c r="I11" s="68"/>
      <c r="J11" s="68"/>
      <c r="K11" s="68"/>
      <c r="L11" s="68"/>
    </row>
    <row r="12" spans="2:12" s="2" customFormat="1" ht="8.25" customHeight="1">
      <c r="B12" s="68"/>
      <c r="C12" s="68"/>
      <c r="D12" s="68"/>
      <c r="E12" s="68"/>
      <c r="F12" s="68"/>
      <c r="G12" s="68"/>
      <c r="H12" s="68"/>
      <c r="I12" s="68"/>
      <c r="J12" s="68"/>
      <c r="K12" s="68"/>
      <c r="L12" s="68"/>
    </row>
    <row r="13" spans="2:12" s="2" customFormat="1" ht="104.25" customHeight="1">
      <c r="B13" s="283" t="s">
        <v>1197</v>
      </c>
      <c r="C13" s="283"/>
      <c r="D13" s="283"/>
      <c r="E13" s="283"/>
      <c r="F13" s="283"/>
      <c r="G13" s="283"/>
      <c r="H13" s="283"/>
      <c r="I13" s="283"/>
      <c r="J13" s="283"/>
      <c r="K13" s="283"/>
      <c r="L13" s="283"/>
    </row>
    <row r="14" spans="2:12" s="2" customFormat="1" ht="8.25" customHeight="1">
      <c r="B14" s="68"/>
      <c r="C14" s="68"/>
      <c r="D14" s="68"/>
      <c r="E14" s="68"/>
      <c r="F14" s="68"/>
      <c r="G14" s="68"/>
      <c r="H14" s="68"/>
      <c r="I14" s="68"/>
      <c r="J14" s="68"/>
      <c r="K14" s="68"/>
      <c r="L14" s="68"/>
    </row>
    <row r="15" spans="2:12" s="2" customFormat="1" ht="180" customHeight="1">
      <c r="B15" s="284" t="s">
        <v>1226</v>
      </c>
      <c r="C15" s="284"/>
      <c r="D15" s="284"/>
      <c r="E15" s="284"/>
      <c r="F15" s="284"/>
      <c r="G15" s="284"/>
      <c r="H15" s="284"/>
      <c r="I15" s="284"/>
      <c r="J15" s="284"/>
      <c r="K15" s="284"/>
      <c r="L15" s="284"/>
    </row>
    <row r="16" spans="2:12" s="2" customFormat="1" ht="8.25" customHeight="1">
      <c r="B16" s="68"/>
      <c r="C16" s="68"/>
      <c r="D16" s="68"/>
      <c r="E16" s="68"/>
      <c r="F16" s="68"/>
      <c r="G16" s="68"/>
      <c r="H16" s="68"/>
      <c r="I16" s="68"/>
      <c r="J16" s="68"/>
      <c r="K16" s="68"/>
      <c r="L16" s="68"/>
    </row>
    <row r="17" spans="2:14" s="2" customFormat="1" ht="23.25" customHeight="1">
      <c r="B17" s="171" t="s">
        <v>115</v>
      </c>
      <c r="C17" s="172"/>
      <c r="D17" s="172"/>
      <c r="E17" s="172"/>
      <c r="F17" s="172"/>
      <c r="G17" s="172"/>
      <c r="H17" s="172"/>
      <c r="I17" s="172"/>
      <c r="J17" s="172"/>
      <c r="K17" s="172"/>
      <c r="L17" s="197"/>
    </row>
    <row r="18" spans="2:14" s="2" customFormat="1" ht="8.25" customHeight="1">
      <c r="B18" s="68"/>
      <c r="C18" s="68"/>
      <c r="D18" s="68"/>
      <c r="E18" s="68"/>
      <c r="F18" s="68"/>
      <c r="G18" s="68"/>
      <c r="H18" s="68"/>
      <c r="I18" s="68"/>
      <c r="J18" s="68"/>
      <c r="K18" s="68"/>
      <c r="L18" s="68"/>
    </row>
    <row r="19" spans="2:14" s="2" customFormat="1" ht="8.25" customHeight="1">
      <c r="B19" s="68"/>
      <c r="C19" s="68"/>
      <c r="D19" s="68"/>
      <c r="E19" s="68"/>
      <c r="F19" s="68"/>
      <c r="G19" s="68"/>
      <c r="H19" s="68"/>
      <c r="I19" s="68"/>
      <c r="J19" s="68"/>
      <c r="K19" s="68"/>
      <c r="L19" s="68"/>
    </row>
    <row r="20" spans="2:14" s="2" customFormat="1" ht="29.25" customHeight="1">
      <c r="B20" s="67">
        <v>1</v>
      </c>
      <c r="C20" s="264" t="s">
        <v>116</v>
      </c>
      <c r="D20" s="264"/>
      <c r="E20" s="264"/>
      <c r="F20" s="51" t="s">
        <v>1227</v>
      </c>
      <c r="G20" s="68"/>
      <c r="M20" s="263"/>
      <c r="N20" s="263"/>
    </row>
    <row r="21" spans="2:14" s="2" customFormat="1" ht="29.25" customHeight="1">
      <c r="B21" s="67">
        <v>2</v>
      </c>
      <c r="C21" s="264" t="s">
        <v>117</v>
      </c>
      <c r="D21" s="264"/>
      <c r="E21" s="264"/>
      <c r="F21" s="52">
        <v>0</v>
      </c>
      <c r="G21" s="68"/>
      <c r="M21" s="263"/>
      <c r="N21" s="263"/>
    </row>
    <row r="22" spans="2:14" s="2" customFormat="1" ht="29.25" customHeight="1">
      <c r="G22" s="68"/>
      <c r="M22" s="263"/>
      <c r="N22" s="263"/>
    </row>
    <row r="23" spans="2:14" s="2" customFormat="1" ht="43.5" customHeight="1">
      <c r="B23" s="201" t="s">
        <v>118</v>
      </c>
      <c r="C23" s="169" t="s">
        <v>1146</v>
      </c>
      <c r="D23" s="169"/>
      <c r="E23" s="169"/>
      <c r="F23" s="169"/>
      <c r="G23" s="29" t="s">
        <v>119</v>
      </c>
      <c r="H23" s="29" t="s">
        <v>119</v>
      </c>
      <c r="I23" s="29" t="s">
        <v>119</v>
      </c>
      <c r="L23" s="69"/>
      <c r="M23" s="69"/>
    </row>
    <row r="24" spans="2:14" s="2" customFormat="1" ht="29.25" customHeight="1">
      <c r="B24" s="201"/>
      <c r="C24" s="29" t="s">
        <v>104</v>
      </c>
      <c r="D24" s="29" t="s">
        <v>105</v>
      </c>
      <c r="E24" s="29" t="s">
        <v>106</v>
      </c>
      <c r="F24" s="37" t="s">
        <v>107</v>
      </c>
      <c r="G24" s="29">
        <v>2024</v>
      </c>
      <c r="H24" s="29">
        <v>2025</v>
      </c>
      <c r="I24" s="29">
        <v>2026</v>
      </c>
      <c r="L24" s="69"/>
      <c r="M24" s="69"/>
    </row>
    <row r="25" spans="2:14" s="2" customFormat="1" ht="33.75" customHeight="1">
      <c r="B25" s="201"/>
      <c r="C25" s="62">
        <v>24</v>
      </c>
      <c r="D25" s="63" t="s">
        <v>108</v>
      </c>
      <c r="E25" s="63" t="s">
        <v>109</v>
      </c>
      <c r="F25" s="63" t="s">
        <v>90</v>
      </c>
      <c r="G25" s="53">
        <v>550</v>
      </c>
      <c r="H25" s="53">
        <v>550</v>
      </c>
      <c r="I25" s="53">
        <v>550</v>
      </c>
      <c r="M25" s="69"/>
    </row>
    <row r="26" spans="2:14" s="2" customFormat="1" ht="33.75" customHeight="1">
      <c r="B26" s="201"/>
      <c r="C26" s="62">
        <v>24</v>
      </c>
      <c r="D26" s="63" t="s">
        <v>108</v>
      </c>
      <c r="E26" s="63" t="s">
        <v>109</v>
      </c>
      <c r="F26" s="63" t="s">
        <v>92</v>
      </c>
      <c r="G26" s="53">
        <v>550</v>
      </c>
      <c r="H26" s="53">
        <v>550</v>
      </c>
      <c r="I26" s="53">
        <v>550</v>
      </c>
      <c r="M26" s="69"/>
    </row>
    <row r="27" spans="2:14" s="2" customFormat="1" ht="33.75" customHeight="1">
      <c r="B27" s="201"/>
      <c r="C27" s="62">
        <v>24</v>
      </c>
      <c r="D27" s="63" t="s">
        <v>1143</v>
      </c>
      <c r="E27" s="63" t="s">
        <v>109</v>
      </c>
      <c r="F27" s="63" t="s">
        <v>92</v>
      </c>
      <c r="G27" s="53">
        <v>550</v>
      </c>
      <c r="H27" s="53">
        <v>550</v>
      </c>
      <c r="I27" s="53">
        <v>550</v>
      </c>
      <c r="M27" s="69"/>
    </row>
    <row r="28" spans="2:14" s="2" customFormat="1" ht="33.75" customHeight="1">
      <c r="B28" s="201"/>
      <c r="C28" s="62">
        <v>12</v>
      </c>
      <c r="D28" s="63" t="s">
        <v>110</v>
      </c>
      <c r="E28" s="63" t="s">
        <v>111</v>
      </c>
      <c r="F28" s="63" t="s">
        <v>1144</v>
      </c>
      <c r="G28" s="53">
        <v>550</v>
      </c>
      <c r="H28" s="53">
        <v>550</v>
      </c>
      <c r="I28" s="53">
        <v>550</v>
      </c>
      <c r="M28" s="69"/>
    </row>
    <row r="29" spans="2:14" s="2" customFormat="1" ht="33.75" customHeight="1">
      <c r="B29" s="201"/>
      <c r="C29" s="62">
        <v>12</v>
      </c>
      <c r="D29" s="63" t="s">
        <v>110</v>
      </c>
      <c r="E29" s="66" t="s">
        <v>1190</v>
      </c>
      <c r="F29" s="63" t="s">
        <v>90</v>
      </c>
      <c r="G29" s="53">
        <v>550</v>
      </c>
      <c r="H29" s="53">
        <v>550</v>
      </c>
      <c r="I29" s="53">
        <v>550</v>
      </c>
      <c r="M29" s="69"/>
    </row>
    <row r="30" spans="2:14" s="2" customFormat="1" ht="33.75" customHeight="1">
      <c r="B30" s="201"/>
      <c r="C30" s="62">
        <v>12</v>
      </c>
      <c r="D30" s="63" t="s">
        <v>108</v>
      </c>
      <c r="E30" s="63" t="s">
        <v>111</v>
      </c>
      <c r="F30" s="63" t="s">
        <v>90</v>
      </c>
      <c r="G30" s="53">
        <v>550</v>
      </c>
      <c r="H30" s="53">
        <v>550</v>
      </c>
      <c r="I30" s="53">
        <v>550</v>
      </c>
      <c r="M30" s="69"/>
    </row>
    <row r="31" spans="2:14" s="2" customFormat="1" ht="29.25" customHeight="1">
      <c r="G31" s="98">
        <f>SUM(G25:G30)</f>
        <v>3300</v>
      </c>
      <c r="H31" s="98">
        <f>SUM(H25:H30)</f>
        <v>3300</v>
      </c>
      <c r="I31" s="98">
        <f>SUM(I25:I30)</f>
        <v>3300</v>
      </c>
      <c r="M31" s="69"/>
      <c r="N31" s="69"/>
    </row>
    <row r="32" spans="2:14" s="2" customFormat="1" ht="29.25" customHeight="1">
      <c r="B32" s="200" t="s">
        <v>120</v>
      </c>
      <c r="C32" s="200"/>
      <c r="D32" s="200"/>
      <c r="E32" s="200"/>
      <c r="F32" s="200"/>
      <c r="G32" s="200"/>
      <c r="H32" s="200"/>
      <c r="I32" s="200"/>
      <c r="J32" s="200"/>
      <c r="K32" s="200"/>
      <c r="L32" s="200"/>
      <c r="M32" s="200"/>
      <c r="N32" s="69"/>
    </row>
    <row r="33" spans="1:22" s="2" customFormat="1" ht="6.75" customHeight="1">
      <c r="A33" s="70"/>
      <c r="B33" s="70"/>
      <c r="C33" s="70"/>
      <c r="D33" s="70"/>
      <c r="E33" s="70"/>
      <c r="F33" s="70"/>
      <c r="G33" s="70"/>
      <c r="H33" s="70"/>
      <c r="I33" s="70"/>
      <c r="J33" s="70"/>
      <c r="K33" s="70"/>
      <c r="L33" s="70"/>
      <c r="M33" s="70"/>
      <c r="N33" s="69"/>
    </row>
    <row r="34" spans="1:22" s="2" customFormat="1" ht="46.5" customHeight="1">
      <c r="A34" s="70"/>
      <c r="B34" s="70"/>
      <c r="C34" s="70"/>
      <c r="D34" s="70"/>
      <c r="E34" s="70"/>
      <c r="F34" s="68"/>
      <c r="G34" s="68"/>
      <c r="H34" s="67" t="s">
        <v>1198</v>
      </c>
      <c r="I34" s="59" t="s">
        <v>1210</v>
      </c>
      <c r="J34" s="59" t="s">
        <v>1205</v>
      </c>
      <c r="K34" s="59" t="s">
        <v>1206</v>
      </c>
      <c r="L34" s="59" t="s">
        <v>1207</v>
      </c>
      <c r="M34" s="59" t="s">
        <v>1208</v>
      </c>
    </row>
    <row r="35" spans="1:22" s="2" customFormat="1" ht="29.25" customHeight="1">
      <c r="F35" s="202" t="s">
        <v>122</v>
      </c>
      <c r="G35" s="203"/>
      <c r="H35" s="71">
        <f>SUM(I35:M35)</f>
        <v>25</v>
      </c>
      <c r="I35" s="72">
        <v>1</v>
      </c>
      <c r="J35" s="80">
        <v>6.5</v>
      </c>
      <c r="K35" s="80">
        <v>5.5</v>
      </c>
      <c r="L35" s="80">
        <v>6.5</v>
      </c>
      <c r="M35" s="80">
        <v>5.5</v>
      </c>
    </row>
    <row r="36" spans="1:22" s="2" customFormat="1" ht="29.25" customHeight="1">
      <c r="B36" s="70"/>
      <c r="C36" s="70"/>
      <c r="D36" s="70"/>
      <c r="E36" s="70"/>
      <c r="F36" s="202" t="s">
        <v>1191</v>
      </c>
      <c r="G36" s="203"/>
      <c r="H36" s="38" t="s">
        <v>1211</v>
      </c>
      <c r="I36" s="38">
        <f>'[25]RESUMEN CIRCULAR_DECRETO'!N26</f>
        <v>1300000</v>
      </c>
      <c r="J36" s="38">
        <f>'[25]RESUMEN CIRCULAR_DECRETO'!N27</f>
        <v>1410500</v>
      </c>
      <c r="K36" s="38">
        <f>'[25]RESUMEN CIRCULAR_DECRETO'!N27</f>
        <v>1410500</v>
      </c>
      <c r="L36" s="38">
        <f>'[25]RESUMEN CIRCULAR_DECRETO'!N28</f>
        <v>1504157.2</v>
      </c>
      <c r="M36" s="38">
        <f>'[25]RESUMEN CIRCULAR_DECRETO'!N28</f>
        <v>1504157.2</v>
      </c>
    </row>
    <row r="37" spans="1:22" s="2" customFormat="1" ht="29.25" customHeight="1">
      <c r="B37" s="70"/>
      <c r="C37" s="70"/>
      <c r="D37" s="70"/>
      <c r="E37" s="70"/>
      <c r="F37" s="83"/>
      <c r="G37" s="83"/>
      <c r="H37" s="84"/>
      <c r="I37" s="84"/>
      <c r="J37" s="84"/>
      <c r="K37" s="84"/>
      <c r="L37" s="82"/>
      <c r="M37" s="82"/>
    </row>
    <row r="38" spans="1:22" s="2" customFormat="1" ht="24" customHeight="1">
      <c r="B38" s="200" t="s">
        <v>1192</v>
      </c>
      <c r="C38" s="200"/>
      <c r="D38" s="200"/>
      <c r="E38" s="200"/>
      <c r="F38" s="200"/>
      <c r="G38" s="200"/>
      <c r="H38" s="200"/>
      <c r="I38" s="200"/>
      <c r="J38" s="200"/>
      <c r="K38" s="200"/>
      <c r="L38" s="200"/>
      <c r="M38" s="200"/>
      <c r="N38" s="200"/>
      <c r="O38" s="200"/>
      <c r="P38" s="200"/>
      <c r="Q38" s="200"/>
      <c r="R38" s="200"/>
      <c r="S38" s="200"/>
      <c r="T38" s="200"/>
      <c r="U38" s="200"/>
      <c r="V38" s="200"/>
    </row>
    <row r="39" spans="1:22" s="2" customFormat="1" ht="11.25" customHeight="1">
      <c r="M39" s="69"/>
      <c r="N39" s="69"/>
    </row>
    <row r="40" spans="1:22" s="2" customFormat="1" ht="9.75" customHeight="1">
      <c r="C40" s="4"/>
      <c r="D40" s="4"/>
      <c r="E40" s="4"/>
      <c r="F40" s="4"/>
    </row>
    <row r="41" spans="1:22" s="2" customFormat="1" ht="26.25" customHeight="1">
      <c r="B41" s="200" t="s">
        <v>1148</v>
      </c>
      <c r="C41" s="200"/>
      <c r="D41" s="200"/>
      <c r="E41" s="200"/>
      <c r="F41" s="200"/>
      <c r="G41" s="200"/>
      <c r="H41" s="200"/>
      <c r="I41" s="200"/>
      <c r="J41" s="200"/>
      <c r="K41" s="200"/>
      <c r="L41" s="200"/>
      <c r="M41" s="200"/>
      <c r="N41" s="200"/>
      <c r="O41" s="200"/>
      <c r="P41" s="200"/>
      <c r="Q41" s="200"/>
      <c r="R41" s="200"/>
      <c r="S41" s="200"/>
      <c r="T41" s="200"/>
      <c r="U41" s="200"/>
      <c r="V41" s="200"/>
    </row>
    <row r="42" spans="1:22" s="2" customFormat="1" ht="12.5">
      <c r="C42" s="4"/>
      <c r="D42" s="4"/>
      <c r="E42" s="4"/>
      <c r="F42" s="4"/>
      <c r="G42" s="4"/>
      <c r="H42" s="4"/>
    </row>
    <row r="43" spans="1:22" s="2" customFormat="1" ht="70.5" customHeight="1">
      <c r="B43" s="169" t="s">
        <v>123</v>
      </c>
      <c r="C43" s="169"/>
      <c r="D43" s="169"/>
      <c r="E43" s="169"/>
      <c r="F43" s="169" t="s">
        <v>1196</v>
      </c>
      <c r="G43" s="169"/>
      <c r="H43" s="169"/>
      <c r="I43" s="169"/>
      <c r="J43" s="169"/>
      <c r="K43" s="169"/>
      <c r="L43" s="261" t="s">
        <v>1204</v>
      </c>
      <c r="M43" s="262"/>
      <c r="N43" s="261" t="s">
        <v>1205</v>
      </c>
      <c r="O43" s="262"/>
      <c r="P43" s="261" t="s">
        <v>1206</v>
      </c>
      <c r="Q43" s="262"/>
      <c r="R43" s="261" t="s">
        <v>1207</v>
      </c>
      <c r="S43" s="262"/>
      <c r="T43" s="261" t="s">
        <v>1208</v>
      </c>
      <c r="U43" s="262"/>
      <c r="V43" s="29" t="s">
        <v>1198</v>
      </c>
    </row>
    <row r="44" spans="1:22" s="2" customFormat="1" ht="71.25" customHeight="1">
      <c r="B44" s="29" t="s">
        <v>104</v>
      </c>
      <c r="C44" s="29" t="s">
        <v>105</v>
      </c>
      <c r="D44" s="29" t="s">
        <v>106</v>
      </c>
      <c r="E44" s="29" t="s">
        <v>107</v>
      </c>
      <c r="F44" s="29" t="s">
        <v>124</v>
      </c>
      <c r="G44" s="29" t="s">
        <v>1209</v>
      </c>
      <c r="H44" s="29" t="s">
        <v>1199</v>
      </c>
      <c r="I44" s="29" t="s">
        <v>1200</v>
      </c>
      <c r="J44" s="29" t="s">
        <v>1201</v>
      </c>
      <c r="K44" s="29" t="s">
        <v>1202</v>
      </c>
      <c r="L44" s="73" t="s">
        <v>1180</v>
      </c>
      <c r="M44" s="58" t="s">
        <v>1181</v>
      </c>
      <c r="N44" s="73" t="s">
        <v>1182</v>
      </c>
      <c r="O44" s="58" t="s">
        <v>1183</v>
      </c>
      <c r="P44" s="73" t="s">
        <v>1182</v>
      </c>
      <c r="Q44" s="58" t="s">
        <v>1183</v>
      </c>
      <c r="R44" s="73" t="s">
        <v>1182</v>
      </c>
      <c r="S44" s="58" t="s">
        <v>1183</v>
      </c>
      <c r="T44" s="73" t="s">
        <v>1182</v>
      </c>
      <c r="U44" s="58" t="s">
        <v>1183</v>
      </c>
      <c r="V44" s="29" t="s">
        <v>1213</v>
      </c>
    </row>
    <row r="45" spans="1:22" s="2" customFormat="1" ht="30.75" customHeight="1">
      <c r="B45" s="62">
        <v>24</v>
      </c>
      <c r="C45" s="63" t="s">
        <v>108</v>
      </c>
      <c r="D45" s="63" t="s">
        <v>109</v>
      </c>
      <c r="E45" s="63" t="s">
        <v>90</v>
      </c>
      <c r="F45" s="59">
        <v>5</v>
      </c>
      <c r="G45" s="38">
        <f>IF(F45=0,"No se requiere",'[25]RESUMEN CIRCULAR_DECRETO'!H33)</f>
        <v>12833154</v>
      </c>
      <c r="H45" s="38">
        <f>IF(F45=0,"No se requiere",'[25]RESUMEN CIRCULAR_DECRETO'!K33)</f>
        <v>13923922</v>
      </c>
      <c r="I45" s="38">
        <f>IF(G45=0,"No se requiere",'[25]RESUMEN CIRCULAR_DECRETO'!N33)</f>
        <v>14152423</v>
      </c>
      <c r="J45" s="38">
        <f>IF(H45=0,"No se requiere",'[25]RESUMEN CIRCULAR_DECRETO'!Q33)</f>
        <v>15092104</v>
      </c>
      <c r="K45" s="38">
        <f>IF(I45=0,"No se requiere",'[25]RESUMEN CIRCULAR_DECRETO'!T33)</f>
        <v>15140839</v>
      </c>
      <c r="L45" s="39">
        <f t="shared" ref="L45:L50" si="0">G45*F45</f>
        <v>64165770</v>
      </c>
      <c r="M45" s="39">
        <f>ROUND(L45*$I$35,0)</f>
        <v>64165770</v>
      </c>
      <c r="N45" s="39">
        <f t="shared" ref="N45:N50" si="1">H45*F45</f>
        <v>69619610</v>
      </c>
      <c r="O45" s="39">
        <f>ROUND(N45*$J$35,0)</f>
        <v>452527465</v>
      </c>
      <c r="P45" s="39">
        <f>I45*F45</f>
        <v>70762115</v>
      </c>
      <c r="Q45" s="39">
        <f>ROUND(P45*$K$35,0)</f>
        <v>389191633</v>
      </c>
      <c r="R45" s="39">
        <f>J45*F45</f>
        <v>75460520</v>
      </c>
      <c r="S45" s="39">
        <f>ROUND(R45*$L$35,0)</f>
        <v>490493380</v>
      </c>
      <c r="T45" s="39">
        <f>K45*F45</f>
        <v>75704195</v>
      </c>
      <c r="U45" s="39">
        <f>ROUND(T45*$M$35,0)</f>
        <v>416373073</v>
      </c>
      <c r="V45" s="81">
        <f>O45+M45+Q45+S45+U45</f>
        <v>1812751321</v>
      </c>
    </row>
    <row r="46" spans="1:22" s="2" customFormat="1" ht="30.75" customHeight="1">
      <c r="B46" s="62">
        <v>24</v>
      </c>
      <c r="C46" s="63" t="s">
        <v>108</v>
      </c>
      <c r="D46" s="63" t="s">
        <v>109</v>
      </c>
      <c r="E46" s="63" t="s">
        <v>92</v>
      </c>
      <c r="F46" s="59">
        <v>11</v>
      </c>
      <c r="G46" s="38">
        <f>IF(F46=0,"No se requiere",'[25]RESUMEN CIRCULAR_DECRETO'!H34)</f>
        <v>13070805</v>
      </c>
      <c r="H46" s="38">
        <f>IF(F46=0,"No se requiere",'[25]RESUMEN CIRCULAR_DECRETO'!K34)</f>
        <v>14181772</v>
      </c>
      <c r="I46" s="38">
        <f>IF(G46=0,"No se requiere",'[25]RESUMEN CIRCULAR_DECRETO'!N34)</f>
        <v>14414505</v>
      </c>
      <c r="J46" s="38">
        <f>IF(H46=0,"No se requiere",'[25]RESUMEN CIRCULAR_DECRETO'!Q34)</f>
        <v>15371587</v>
      </c>
      <c r="K46" s="38">
        <f>IF(I46=0,"No se requiere",'[25]RESUMEN CIRCULAR_DECRETO'!T34)</f>
        <v>15421225</v>
      </c>
      <c r="L46" s="39">
        <f t="shared" si="0"/>
        <v>143778855</v>
      </c>
      <c r="M46" s="39">
        <f t="shared" ref="M46:M50" si="2">ROUND(L46*$I$35,0)</f>
        <v>143778855</v>
      </c>
      <c r="N46" s="39">
        <f t="shared" si="1"/>
        <v>155999492</v>
      </c>
      <c r="O46" s="39">
        <f t="shared" ref="O46:O50" si="3">ROUND(N46*$J$35,0)</f>
        <v>1013996698</v>
      </c>
      <c r="P46" s="39">
        <f t="shared" ref="P46:P50" si="4">I46*F46</f>
        <v>158559555</v>
      </c>
      <c r="Q46" s="39">
        <f t="shared" ref="Q46:Q50" si="5">ROUND(P46*$K$35,0)</f>
        <v>872077553</v>
      </c>
      <c r="R46" s="39">
        <f t="shared" ref="R46:R50" si="6">J46*F46</f>
        <v>169087457</v>
      </c>
      <c r="S46" s="39">
        <f t="shared" ref="S46:S50" si="7">ROUND(R46*$L$35,0)</f>
        <v>1099068471</v>
      </c>
      <c r="T46" s="39">
        <f t="shared" ref="T46:T50" si="8">K46*F46</f>
        <v>169633475</v>
      </c>
      <c r="U46" s="39">
        <f t="shared" ref="U46:U50" si="9">ROUND(T46*$M$35,0)</f>
        <v>932984113</v>
      </c>
      <c r="V46" s="81">
        <f t="shared" ref="V46:V50" si="10">O46+M46+Q46+S46+U46</f>
        <v>4061905690</v>
      </c>
    </row>
    <row r="47" spans="1:22" s="2" customFormat="1" ht="30.75" customHeight="1">
      <c r="B47" s="62">
        <v>24</v>
      </c>
      <c r="C47" s="63" t="s">
        <v>1143</v>
      </c>
      <c r="D47" s="63" t="s">
        <v>109</v>
      </c>
      <c r="E47" s="63" t="s">
        <v>92</v>
      </c>
      <c r="F47" s="59">
        <v>1</v>
      </c>
      <c r="G47" s="38">
        <f>IF(F47=0,"No se requiere",'[25]RESUMEN CIRCULAR_DECRETO'!H35)</f>
        <v>4357339</v>
      </c>
      <c r="H47" s="38">
        <f>IF(F47=0,"No se requiere",'[25]RESUMEN CIRCULAR_DECRETO'!K35)</f>
        <v>4727660</v>
      </c>
      <c r="I47" s="38">
        <f>IF(G47=0,"No se requiere",'[25]RESUMEN CIRCULAR_DECRETO'!N35)</f>
        <v>4805238</v>
      </c>
      <c r="J47" s="38">
        <f>IF(H47=0,"No se requiere",'[25]RESUMEN CIRCULAR_DECRETO'!Q35)</f>
        <v>5124265</v>
      </c>
      <c r="K47" s="38">
        <f>IF(I47=0,"No se requiere",'[25]RESUMEN CIRCULAR_DECRETO'!T35)</f>
        <v>5140812</v>
      </c>
      <c r="L47" s="39">
        <f t="shared" si="0"/>
        <v>4357339</v>
      </c>
      <c r="M47" s="39">
        <f t="shared" si="2"/>
        <v>4357339</v>
      </c>
      <c r="N47" s="39">
        <f t="shared" si="1"/>
        <v>4727660</v>
      </c>
      <c r="O47" s="39">
        <f t="shared" si="3"/>
        <v>30729790</v>
      </c>
      <c r="P47" s="39">
        <f t="shared" si="4"/>
        <v>4805238</v>
      </c>
      <c r="Q47" s="39">
        <f t="shared" si="5"/>
        <v>26428809</v>
      </c>
      <c r="R47" s="39">
        <f t="shared" si="6"/>
        <v>5124265</v>
      </c>
      <c r="S47" s="39">
        <f t="shared" si="7"/>
        <v>33307723</v>
      </c>
      <c r="T47" s="39">
        <f t="shared" si="8"/>
        <v>5140812</v>
      </c>
      <c r="U47" s="39">
        <f t="shared" si="9"/>
        <v>28274466</v>
      </c>
      <c r="V47" s="81">
        <f t="shared" si="10"/>
        <v>123098127</v>
      </c>
    </row>
    <row r="48" spans="1:22" s="2" customFormat="1" ht="30.75" customHeight="1">
      <c r="B48" s="62">
        <v>12</v>
      </c>
      <c r="C48" s="63" t="s">
        <v>110</v>
      </c>
      <c r="D48" s="63" t="s">
        <v>111</v>
      </c>
      <c r="E48" s="63" t="s">
        <v>1144</v>
      </c>
      <c r="F48" s="59">
        <v>1</v>
      </c>
      <c r="G48" s="38">
        <f>IF(F48=0,"No se requiere",'[25]RESUMEN CIRCULAR_DECRETO'!H36)</f>
        <v>3902147</v>
      </c>
      <c r="H48" s="38">
        <f>IF(F48=0,"No se requiere",'[25]RESUMEN CIRCULAR_DECRETO'!K36)</f>
        <v>4233778</v>
      </c>
      <c r="I48" s="38">
        <f>IF(G48=0,"No se requiere",'[25]RESUMEN CIRCULAR_DECRETO'!N36)</f>
        <v>4303251</v>
      </c>
      <c r="J48" s="38">
        <f>IF(H48=0,"No se requiere",'[25]RESUMEN CIRCULAR_DECRETO'!Q36)</f>
        <v>4588946</v>
      </c>
      <c r="K48" s="38">
        <f>IF(I48=0,"No se requiere",'[25]RESUMEN CIRCULAR_DECRETO'!T36)</f>
        <v>4603763</v>
      </c>
      <c r="L48" s="39">
        <f t="shared" si="0"/>
        <v>3902147</v>
      </c>
      <c r="M48" s="39">
        <f t="shared" si="2"/>
        <v>3902147</v>
      </c>
      <c r="N48" s="39">
        <f t="shared" si="1"/>
        <v>4233778</v>
      </c>
      <c r="O48" s="39">
        <f t="shared" si="3"/>
        <v>27519557</v>
      </c>
      <c r="P48" s="39">
        <f t="shared" si="4"/>
        <v>4303251</v>
      </c>
      <c r="Q48" s="39">
        <f t="shared" si="5"/>
        <v>23667881</v>
      </c>
      <c r="R48" s="39">
        <f t="shared" si="6"/>
        <v>4588946</v>
      </c>
      <c r="S48" s="39">
        <f t="shared" si="7"/>
        <v>29828149</v>
      </c>
      <c r="T48" s="39">
        <f t="shared" si="8"/>
        <v>4603763</v>
      </c>
      <c r="U48" s="39">
        <f t="shared" si="9"/>
        <v>25320697</v>
      </c>
      <c r="V48" s="81">
        <f t="shared" si="10"/>
        <v>110238431</v>
      </c>
    </row>
    <row r="49" spans="2:22" s="2" customFormat="1" ht="30.75" customHeight="1">
      <c r="B49" s="62">
        <v>12</v>
      </c>
      <c r="C49" s="63" t="s">
        <v>110</v>
      </c>
      <c r="D49" s="66" t="s">
        <v>1190</v>
      </c>
      <c r="E49" s="63" t="s">
        <v>90</v>
      </c>
      <c r="F49" s="59">
        <v>1</v>
      </c>
      <c r="G49" s="38">
        <f>IF(F49=0,"No se requiere",'[25]RESUMEN CIRCULAR_DECRETO'!H37)</f>
        <v>4725029</v>
      </c>
      <c r="H49" s="38">
        <f>IF(F49=0,"No se requiere",'[25]RESUMEN CIRCULAR_DECRETO'!K37)</f>
        <v>5126607</v>
      </c>
      <c r="I49" s="38">
        <f>IF(G49=0,"No se requiere",'[25]RESUMEN CIRCULAR_DECRETO'!N37)</f>
        <v>5210731</v>
      </c>
      <c r="J49" s="38">
        <f>IF(H49=0,"No se requiere",'[25]RESUMEN CIRCULAR_DECRETO'!Q37)</f>
        <v>5556684</v>
      </c>
      <c r="K49" s="38">
        <f>IF(I49=0,"No se requiere",'[25]RESUMEN CIRCULAR_DECRETO'!T37)</f>
        <v>5574626</v>
      </c>
      <c r="L49" s="39">
        <f t="shared" si="0"/>
        <v>4725029</v>
      </c>
      <c r="M49" s="39">
        <f t="shared" si="2"/>
        <v>4725029</v>
      </c>
      <c r="N49" s="39">
        <f t="shared" si="1"/>
        <v>5126607</v>
      </c>
      <c r="O49" s="39">
        <f t="shared" si="3"/>
        <v>33322946</v>
      </c>
      <c r="P49" s="39">
        <f t="shared" si="4"/>
        <v>5210731</v>
      </c>
      <c r="Q49" s="39">
        <f t="shared" si="5"/>
        <v>28659021</v>
      </c>
      <c r="R49" s="39">
        <f t="shared" si="6"/>
        <v>5556684</v>
      </c>
      <c r="S49" s="39">
        <f t="shared" si="7"/>
        <v>36118446</v>
      </c>
      <c r="T49" s="39">
        <f t="shared" si="8"/>
        <v>5574626</v>
      </c>
      <c r="U49" s="39">
        <f t="shared" si="9"/>
        <v>30660443</v>
      </c>
      <c r="V49" s="81">
        <f t="shared" si="10"/>
        <v>133485885</v>
      </c>
    </row>
    <row r="50" spans="2:22" s="2" customFormat="1" ht="30.75" customHeight="1">
      <c r="B50" s="62">
        <v>12</v>
      </c>
      <c r="C50" s="63" t="s">
        <v>108</v>
      </c>
      <c r="D50" s="63" t="s">
        <v>111</v>
      </c>
      <c r="E50" s="63" t="s">
        <v>90</v>
      </c>
      <c r="F50" s="59">
        <v>1</v>
      </c>
      <c r="G50" s="38">
        <f>IF(F50=0,"No se requiere",'[25]RESUMEN CIRCULAR_DECRETO'!H38)</f>
        <v>5746501</v>
      </c>
      <c r="H50" s="38">
        <f>IF(F50=0,"No se requiere",'[25]RESUMEN CIRCULAR_DECRETO'!K38)</f>
        <v>6234903</v>
      </c>
      <c r="I50" s="38">
        <f>IF(G50=0,"No se requiere",'[25]RESUMEN CIRCULAR_DECRETO'!N38)</f>
        <v>6337216</v>
      </c>
      <c r="J50" s="38">
        <f>IF(H50=0,"No se requiere",'[25]RESUMEN CIRCULAR_DECRETO'!Q38)</f>
        <v>6757968</v>
      </c>
      <c r="K50" s="38">
        <f>IF(I50=0,"No se requiere",'[25]RESUMEN CIRCULAR_DECRETO'!T38)</f>
        <v>6779790</v>
      </c>
      <c r="L50" s="39">
        <f t="shared" si="0"/>
        <v>5746501</v>
      </c>
      <c r="M50" s="39">
        <f t="shared" si="2"/>
        <v>5746501</v>
      </c>
      <c r="N50" s="39">
        <f t="shared" si="1"/>
        <v>6234903</v>
      </c>
      <c r="O50" s="39">
        <f t="shared" si="3"/>
        <v>40526870</v>
      </c>
      <c r="P50" s="39">
        <f t="shared" si="4"/>
        <v>6337216</v>
      </c>
      <c r="Q50" s="39">
        <f t="shared" si="5"/>
        <v>34854688</v>
      </c>
      <c r="R50" s="39">
        <f t="shared" si="6"/>
        <v>6757968</v>
      </c>
      <c r="S50" s="39">
        <f t="shared" si="7"/>
        <v>43926792</v>
      </c>
      <c r="T50" s="39">
        <f t="shared" si="8"/>
        <v>6779790</v>
      </c>
      <c r="U50" s="39">
        <f t="shared" si="9"/>
        <v>37288845</v>
      </c>
      <c r="V50" s="81">
        <f t="shared" si="10"/>
        <v>162343696</v>
      </c>
    </row>
    <row r="51" spans="2:22" s="2" customFormat="1" ht="27" customHeight="1">
      <c r="B51" s="201" t="s">
        <v>1212</v>
      </c>
      <c r="C51" s="201"/>
      <c r="D51" s="201"/>
      <c r="E51" s="201"/>
      <c r="F51" s="201"/>
      <c r="G51" s="201"/>
      <c r="H51" s="201"/>
      <c r="I51" s="201"/>
      <c r="J51" s="201"/>
      <c r="K51" s="201"/>
      <c r="L51" s="201"/>
      <c r="M51" s="201"/>
      <c r="N51" s="201"/>
      <c r="O51" s="201"/>
      <c r="P51" s="201"/>
      <c r="Q51" s="201"/>
      <c r="R51" s="201"/>
      <c r="S51" s="201"/>
      <c r="T51" s="201"/>
      <c r="U51" s="201"/>
      <c r="V51" s="81">
        <f>SUM(V45:V50)</f>
        <v>6403823150</v>
      </c>
    </row>
    <row r="52" spans="2:22" s="2" customFormat="1" ht="12.5">
      <c r="C52" s="4"/>
      <c r="D52" s="4"/>
      <c r="E52" s="4"/>
      <c r="F52" s="4"/>
      <c r="G52" s="4"/>
      <c r="H52" s="4"/>
    </row>
    <row r="53" spans="2:22" s="2" customFormat="1" ht="12.5">
      <c r="C53" s="4"/>
      <c r="D53" s="4"/>
      <c r="E53" s="4"/>
      <c r="F53" s="4"/>
      <c r="G53" s="4"/>
      <c r="H53" s="4"/>
    </row>
    <row r="54" spans="2:22" s="2" customFormat="1" ht="27.75" customHeight="1">
      <c r="B54" s="200" t="s">
        <v>1193</v>
      </c>
      <c r="C54" s="200"/>
      <c r="D54" s="200"/>
      <c r="E54" s="200"/>
      <c r="F54" s="200"/>
      <c r="G54" s="200"/>
      <c r="H54" s="200"/>
      <c r="I54" s="200"/>
      <c r="J54" s="200"/>
      <c r="K54" s="200"/>
      <c r="L54" s="200"/>
      <c r="M54" s="200"/>
      <c r="N54" s="200"/>
      <c r="O54" s="200"/>
      <c r="P54" s="200"/>
      <c r="Q54" s="200"/>
      <c r="R54" s="200"/>
      <c r="S54" s="200"/>
      <c r="T54" s="200"/>
      <c r="U54" s="200"/>
      <c r="V54" s="200"/>
    </row>
    <row r="55" spans="2:22" s="2" customFormat="1" ht="12.5">
      <c r="C55" s="4"/>
      <c r="D55" s="4"/>
      <c r="E55" s="4"/>
      <c r="F55" s="4"/>
      <c r="G55" s="4"/>
      <c r="H55" s="4"/>
    </row>
    <row r="56" spans="2:22" s="2" customFormat="1" ht="61.5" customHeight="1">
      <c r="B56" s="169" t="s">
        <v>1194</v>
      </c>
      <c r="C56" s="169"/>
      <c r="D56" s="169"/>
      <c r="E56" s="169"/>
      <c r="F56" s="169" t="s">
        <v>1214</v>
      </c>
      <c r="G56" s="169"/>
      <c r="H56" s="169"/>
      <c r="I56" s="169"/>
      <c r="J56" s="169"/>
      <c r="K56" s="169"/>
      <c r="L56" s="169"/>
      <c r="M56" s="169"/>
      <c r="N56" s="169"/>
      <c r="O56" s="169"/>
      <c r="P56" s="169"/>
    </row>
    <row r="57" spans="2:22" s="2" customFormat="1" ht="60" customHeight="1">
      <c r="B57" s="74" t="s">
        <v>1176</v>
      </c>
      <c r="C57" s="29" t="s">
        <v>1177</v>
      </c>
      <c r="D57" s="173" t="s">
        <v>125</v>
      </c>
      <c r="E57" s="174"/>
      <c r="F57" s="60" t="s">
        <v>124</v>
      </c>
      <c r="G57" s="75" t="s">
        <v>126</v>
      </c>
      <c r="H57" s="75" t="s">
        <v>1215</v>
      </c>
      <c r="I57" s="75" t="s">
        <v>1216</v>
      </c>
      <c r="J57" s="85" t="s">
        <v>1217</v>
      </c>
      <c r="K57" s="85" t="s">
        <v>1218</v>
      </c>
      <c r="L57" s="85" t="s">
        <v>1219</v>
      </c>
      <c r="M57" s="85" t="s">
        <v>1220</v>
      </c>
      <c r="N57" s="85" t="s">
        <v>1221</v>
      </c>
      <c r="O57" s="85" t="s">
        <v>1222</v>
      </c>
      <c r="P57" s="60" t="s">
        <v>1223</v>
      </c>
    </row>
    <row r="58" spans="2:22" s="2" customFormat="1" ht="57.75" customHeight="1">
      <c r="B58" s="59">
        <v>1</v>
      </c>
      <c r="C58" s="67" t="s">
        <v>1149</v>
      </c>
      <c r="D58" s="196" t="s">
        <v>1150</v>
      </c>
      <c r="E58" s="196"/>
      <c r="F58" s="76">
        <v>8</v>
      </c>
      <c r="G58" s="54">
        <v>65087.936507936516</v>
      </c>
      <c r="H58" s="54">
        <v>71596.730158730177</v>
      </c>
      <c r="I58" s="54">
        <v>78756.403174603198</v>
      </c>
      <c r="J58" s="39">
        <f t="shared" ref="J58:J80" si="11">ROUND(G58*F58,0)</f>
        <v>520703</v>
      </c>
      <c r="K58" s="39">
        <f>J58*$I$35</f>
        <v>520703</v>
      </c>
      <c r="L58" s="39">
        <f>ROUND(H58*F58,0)</f>
        <v>572774</v>
      </c>
      <c r="M58" s="39">
        <f>L58*(SUM($J$35:$K$35))</f>
        <v>6873288</v>
      </c>
      <c r="N58" s="39">
        <f>ROUND(I58*F58,0)</f>
        <v>630051</v>
      </c>
      <c r="O58" s="39">
        <f>N58*(SUM($L$35:$M$35))</f>
        <v>7560612</v>
      </c>
      <c r="P58" s="81">
        <f>K58+M58+O58</f>
        <v>14954603</v>
      </c>
    </row>
    <row r="59" spans="2:22" s="2" customFormat="1" ht="78" customHeight="1">
      <c r="B59" s="59">
        <v>2</v>
      </c>
      <c r="C59" s="67" t="s">
        <v>1149</v>
      </c>
      <c r="D59" s="196" t="s">
        <v>1151</v>
      </c>
      <c r="E59" s="196" t="s">
        <v>1151</v>
      </c>
      <c r="F59" s="76">
        <v>8</v>
      </c>
      <c r="G59" s="54">
        <v>98571.42857142858</v>
      </c>
      <c r="H59" s="54">
        <v>108428.57142857145</v>
      </c>
      <c r="I59" s="54">
        <v>119271.42857142861</v>
      </c>
      <c r="J59" s="39">
        <f t="shared" si="11"/>
        <v>788571</v>
      </c>
      <c r="K59" s="39">
        <f t="shared" ref="K59:K80" si="12">J59*$I$35</f>
        <v>788571</v>
      </c>
      <c r="L59" s="39">
        <f t="shared" ref="L59:L80" si="13">ROUND(H59*F59,0)</f>
        <v>867429</v>
      </c>
      <c r="M59" s="39">
        <f t="shared" ref="M59:M80" si="14">L59*(SUM($J$35:$K$35))</f>
        <v>10409148</v>
      </c>
      <c r="N59" s="39">
        <f t="shared" ref="N59:N80" si="15">ROUND(I59*F59,0)</f>
        <v>954171</v>
      </c>
      <c r="O59" s="39">
        <f t="shared" ref="O59:O80" si="16">N59*(SUM($L$35:$M$35))</f>
        <v>11450052</v>
      </c>
      <c r="P59" s="81">
        <f t="shared" ref="P59:P80" si="17">K59+M59+O59</f>
        <v>22647771</v>
      </c>
    </row>
    <row r="60" spans="2:22" s="2" customFormat="1" ht="78" customHeight="1">
      <c r="B60" s="59">
        <v>3</v>
      </c>
      <c r="C60" s="67" t="s">
        <v>1149</v>
      </c>
      <c r="D60" s="196" t="s">
        <v>1152</v>
      </c>
      <c r="E60" s="196" t="s">
        <v>1152</v>
      </c>
      <c r="F60" s="76">
        <f>36+5</f>
        <v>41</v>
      </c>
      <c r="G60" s="54">
        <v>35951.746031746035</v>
      </c>
      <c r="H60" s="54">
        <v>39546.920634920643</v>
      </c>
      <c r="I60" s="54">
        <v>43501.612698412711</v>
      </c>
      <c r="J60" s="39">
        <f t="shared" si="11"/>
        <v>1474022</v>
      </c>
      <c r="K60" s="39">
        <f t="shared" si="12"/>
        <v>1474022</v>
      </c>
      <c r="L60" s="39">
        <f t="shared" si="13"/>
        <v>1621424</v>
      </c>
      <c r="M60" s="39">
        <f t="shared" si="14"/>
        <v>19457088</v>
      </c>
      <c r="N60" s="39">
        <f t="shared" si="15"/>
        <v>1783566</v>
      </c>
      <c r="O60" s="39">
        <f t="shared" si="16"/>
        <v>21402792</v>
      </c>
      <c r="P60" s="81">
        <f t="shared" si="17"/>
        <v>42333902</v>
      </c>
    </row>
    <row r="61" spans="2:22" s="2" customFormat="1" ht="78" customHeight="1">
      <c r="B61" s="59">
        <v>4</v>
      </c>
      <c r="C61" s="67" t="s">
        <v>1149</v>
      </c>
      <c r="D61" s="196" t="s">
        <v>1153</v>
      </c>
      <c r="E61" s="196" t="s">
        <v>1153</v>
      </c>
      <c r="F61" s="76">
        <f>70+1</f>
        <v>71</v>
      </c>
      <c r="G61" s="54">
        <v>39371.904761904763</v>
      </c>
      <c r="H61" s="54">
        <v>43309.095238095244</v>
      </c>
      <c r="I61" s="54">
        <v>47640.004761904769</v>
      </c>
      <c r="J61" s="39">
        <f t="shared" si="11"/>
        <v>2795405</v>
      </c>
      <c r="K61" s="39">
        <f t="shared" si="12"/>
        <v>2795405</v>
      </c>
      <c r="L61" s="39">
        <f t="shared" si="13"/>
        <v>3074946</v>
      </c>
      <c r="M61" s="39">
        <f t="shared" si="14"/>
        <v>36899352</v>
      </c>
      <c r="N61" s="39">
        <f t="shared" si="15"/>
        <v>3382440</v>
      </c>
      <c r="O61" s="39">
        <f t="shared" si="16"/>
        <v>40589280</v>
      </c>
      <c r="P61" s="81">
        <f t="shared" si="17"/>
        <v>80284037</v>
      </c>
    </row>
    <row r="62" spans="2:22" s="2" customFormat="1" ht="78" customHeight="1">
      <c r="B62" s="59">
        <v>5</v>
      </c>
      <c r="C62" s="67" t="s">
        <v>1149</v>
      </c>
      <c r="D62" s="196" t="s">
        <v>1154</v>
      </c>
      <c r="E62" s="196" t="s">
        <v>1154</v>
      </c>
      <c r="F62" s="76">
        <v>4</v>
      </c>
      <c r="G62" s="54">
        <v>559166.66666666663</v>
      </c>
      <c r="H62" s="54">
        <v>615083.33333333337</v>
      </c>
      <c r="I62" s="54">
        <v>676591.66666666674</v>
      </c>
      <c r="J62" s="39">
        <f t="shared" si="11"/>
        <v>2236667</v>
      </c>
      <c r="K62" s="39">
        <f t="shared" si="12"/>
        <v>2236667</v>
      </c>
      <c r="L62" s="39">
        <f t="shared" si="13"/>
        <v>2460333</v>
      </c>
      <c r="M62" s="39">
        <f t="shared" si="14"/>
        <v>29523996</v>
      </c>
      <c r="N62" s="39">
        <f t="shared" si="15"/>
        <v>2706367</v>
      </c>
      <c r="O62" s="39">
        <f t="shared" si="16"/>
        <v>32476404</v>
      </c>
      <c r="P62" s="81">
        <f t="shared" si="17"/>
        <v>64237067</v>
      </c>
    </row>
    <row r="63" spans="2:22" s="2" customFormat="1" ht="71.25" customHeight="1">
      <c r="B63" s="59">
        <v>6</v>
      </c>
      <c r="C63" s="67" t="s">
        <v>1155</v>
      </c>
      <c r="D63" s="196" t="s">
        <v>1156</v>
      </c>
      <c r="E63" s="196"/>
      <c r="F63" s="76">
        <v>34</v>
      </c>
      <c r="G63" s="54">
        <v>11920.63492063492</v>
      </c>
      <c r="H63" s="54">
        <v>13112.698412698413</v>
      </c>
      <c r="I63" s="54">
        <v>14423.968253968256</v>
      </c>
      <c r="J63" s="39">
        <f t="shared" si="11"/>
        <v>405302</v>
      </c>
      <c r="K63" s="39">
        <f t="shared" si="12"/>
        <v>405302</v>
      </c>
      <c r="L63" s="39">
        <f t="shared" si="13"/>
        <v>445832</v>
      </c>
      <c r="M63" s="39">
        <f t="shared" si="14"/>
        <v>5349984</v>
      </c>
      <c r="N63" s="39">
        <f t="shared" si="15"/>
        <v>490415</v>
      </c>
      <c r="O63" s="39">
        <f t="shared" si="16"/>
        <v>5884980</v>
      </c>
      <c r="P63" s="81">
        <f t="shared" si="17"/>
        <v>11640266</v>
      </c>
    </row>
    <row r="64" spans="2:22" s="2" customFormat="1" ht="71.25" customHeight="1">
      <c r="B64" s="59">
        <v>7</v>
      </c>
      <c r="C64" s="67" t="s">
        <v>1155</v>
      </c>
      <c r="D64" s="196" t="s">
        <v>1157</v>
      </c>
      <c r="E64" s="196" t="s">
        <v>127</v>
      </c>
      <c r="F64" s="76">
        <v>8</v>
      </c>
      <c r="G64" s="54">
        <v>94074.60317460318</v>
      </c>
      <c r="H64" s="54">
        <v>103482.06349206351</v>
      </c>
      <c r="I64" s="54">
        <v>113830.26984126987</v>
      </c>
      <c r="J64" s="39">
        <f t="shared" si="11"/>
        <v>752597</v>
      </c>
      <c r="K64" s="39">
        <f t="shared" si="12"/>
        <v>752597</v>
      </c>
      <c r="L64" s="39">
        <f t="shared" si="13"/>
        <v>827857</v>
      </c>
      <c r="M64" s="39">
        <f t="shared" si="14"/>
        <v>9934284</v>
      </c>
      <c r="N64" s="39">
        <f t="shared" si="15"/>
        <v>910642</v>
      </c>
      <c r="O64" s="39">
        <f t="shared" si="16"/>
        <v>10927704</v>
      </c>
      <c r="P64" s="81">
        <f t="shared" si="17"/>
        <v>21614585</v>
      </c>
    </row>
    <row r="65" spans="2:16" s="2" customFormat="1" ht="71.25" customHeight="1">
      <c r="B65" s="59">
        <v>8</v>
      </c>
      <c r="C65" s="67" t="s">
        <v>1155</v>
      </c>
      <c r="D65" s="196" t="s">
        <v>1158</v>
      </c>
      <c r="E65" s="196" t="s">
        <v>128</v>
      </c>
      <c r="F65" s="76">
        <v>7</v>
      </c>
      <c r="G65" s="54">
        <v>11174.603174603175</v>
      </c>
      <c r="H65" s="54">
        <v>12292.063492063493</v>
      </c>
      <c r="I65" s="54">
        <v>13521.269841269843</v>
      </c>
      <c r="J65" s="39">
        <f t="shared" si="11"/>
        <v>78222</v>
      </c>
      <c r="K65" s="39">
        <f t="shared" si="12"/>
        <v>78222</v>
      </c>
      <c r="L65" s="39">
        <f t="shared" si="13"/>
        <v>86044</v>
      </c>
      <c r="M65" s="39">
        <f t="shared" si="14"/>
        <v>1032528</v>
      </c>
      <c r="N65" s="39">
        <f t="shared" si="15"/>
        <v>94649</v>
      </c>
      <c r="O65" s="39">
        <f t="shared" si="16"/>
        <v>1135788</v>
      </c>
      <c r="P65" s="81">
        <f t="shared" si="17"/>
        <v>2246538</v>
      </c>
    </row>
    <row r="66" spans="2:16" s="2" customFormat="1" ht="71.25" customHeight="1">
      <c r="B66" s="59">
        <v>9</v>
      </c>
      <c r="C66" s="67" t="s">
        <v>1155</v>
      </c>
      <c r="D66" s="196" t="s">
        <v>1159</v>
      </c>
      <c r="E66" s="196" t="s">
        <v>1178</v>
      </c>
      <c r="F66" s="76">
        <v>9</v>
      </c>
      <c r="G66" s="54">
        <v>8865.0793650793657</v>
      </c>
      <c r="H66" s="54">
        <v>9751.587301587304</v>
      </c>
      <c r="I66" s="54">
        <v>10726.746031746035</v>
      </c>
      <c r="J66" s="39">
        <f t="shared" si="11"/>
        <v>79786</v>
      </c>
      <c r="K66" s="39">
        <f t="shared" si="12"/>
        <v>79786</v>
      </c>
      <c r="L66" s="39">
        <f t="shared" si="13"/>
        <v>87764</v>
      </c>
      <c r="M66" s="39">
        <f t="shared" si="14"/>
        <v>1053168</v>
      </c>
      <c r="N66" s="39">
        <f t="shared" si="15"/>
        <v>96541</v>
      </c>
      <c r="O66" s="39">
        <f t="shared" si="16"/>
        <v>1158492</v>
      </c>
      <c r="P66" s="81">
        <f t="shared" si="17"/>
        <v>2291446</v>
      </c>
    </row>
    <row r="67" spans="2:16" s="2" customFormat="1" ht="71.25" customHeight="1">
      <c r="B67" s="59">
        <v>10</v>
      </c>
      <c r="C67" s="67" t="s">
        <v>1155</v>
      </c>
      <c r="D67" s="196" t="s">
        <v>1160</v>
      </c>
      <c r="E67" s="196" t="s">
        <v>1178</v>
      </c>
      <c r="F67" s="76">
        <v>8</v>
      </c>
      <c r="G67" s="54">
        <v>28150.793650793654</v>
      </c>
      <c r="H67" s="54">
        <v>30965.873015873021</v>
      </c>
      <c r="I67" s="54">
        <v>34062.460317460325</v>
      </c>
      <c r="J67" s="39">
        <f t="shared" si="11"/>
        <v>225206</v>
      </c>
      <c r="K67" s="39">
        <f t="shared" si="12"/>
        <v>225206</v>
      </c>
      <c r="L67" s="39">
        <f t="shared" si="13"/>
        <v>247727</v>
      </c>
      <c r="M67" s="39">
        <f t="shared" si="14"/>
        <v>2972724</v>
      </c>
      <c r="N67" s="39">
        <f t="shared" si="15"/>
        <v>272500</v>
      </c>
      <c r="O67" s="39">
        <f t="shared" si="16"/>
        <v>3270000</v>
      </c>
      <c r="P67" s="81">
        <f t="shared" si="17"/>
        <v>6467930</v>
      </c>
    </row>
    <row r="68" spans="2:16" s="2" customFormat="1" ht="44.25" customHeight="1">
      <c r="B68" s="59">
        <v>11</v>
      </c>
      <c r="C68" s="67" t="s">
        <v>1155</v>
      </c>
      <c r="D68" s="196" t="s">
        <v>1161</v>
      </c>
      <c r="E68" s="196" t="s">
        <v>1178</v>
      </c>
      <c r="F68" s="76">
        <v>77</v>
      </c>
      <c r="G68" s="54">
        <v>5952.3809523809523</v>
      </c>
      <c r="H68" s="54">
        <v>6547.6190476190477</v>
      </c>
      <c r="I68" s="54">
        <v>7202.3809523809532</v>
      </c>
      <c r="J68" s="39">
        <f t="shared" si="11"/>
        <v>458333</v>
      </c>
      <c r="K68" s="39">
        <f t="shared" si="12"/>
        <v>458333</v>
      </c>
      <c r="L68" s="39">
        <f t="shared" si="13"/>
        <v>504167</v>
      </c>
      <c r="M68" s="39">
        <f t="shared" si="14"/>
        <v>6050004</v>
      </c>
      <c r="N68" s="39">
        <f t="shared" si="15"/>
        <v>554583</v>
      </c>
      <c r="O68" s="39">
        <f t="shared" si="16"/>
        <v>6654996</v>
      </c>
      <c r="P68" s="81">
        <f t="shared" si="17"/>
        <v>13163333</v>
      </c>
    </row>
    <row r="69" spans="2:16" s="2" customFormat="1" ht="44.25" customHeight="1">
      <c r="B69" s="59">
        <v>12</v>
      </c>
      <c r="C69" s="67" t="s">
        <v>1155</v>
      </c>
      <c r="D69" s="196" t="s">
        <v>1162</v>
      </c>
      <c r="E69" s="196" t="s">
        <v>1179</v>
      </c>
      <c r="F69" s="76">
        <v>17</v>
      </c>
      <c r="G69" s="54">
        <v>22706.349206349209</v>
      </c>
      <c r="H69" s="54">
        <v>24976.984126984131</v>
      </c>
      <c r="I69" s="54">
        <v>27474.682539682548</v>
      </c>
      <c r="J69" s="39">
        <f t="shared" si="11"/>
        <v>386008</v>
      </c>
      <c r="K69" s="39">
        <f t="shared" si="12"/>
        <v>386008</v>
      </c>
      <c r="L69" s="39">
        <f t="shared" si="13"/>
        <v>424609</v>
      </c>
      <c r="M69" s="39">
        <f t="shared" si="14"/>
        <v>5095308</v>
      </c>
      <c r="N69" s="39">
        <f t="shared" si="15"/>
        <v>467070</v>
      </c>
      <c r="O69" s="39">
        <f t="shared" si="16"/>
        <v>5604840</v>
      </c>
      <c r="P69" s="81">
        <f t="shared" si="17"/>
        <v>11086156</v>
      </c>
    </row>
    <row r="70" spans="2:16" s="2" customFormat="1" ht="44.25" customHeight="1">
      <c r="B70" s="59">
        <v>13</v>
      </c>
      <c r="C70" s="67" t="s">
        <v>1155</v>
      </c>
      <c r="D70" s="196" t="s">
        <v>1163</v>
      </c>
      <c r="E70" s="196" t="s">
        <v>129</v>
      </c>
      <c r="F70" s="76">
        <v>12</v>
      </c>
      <c r="G70" s="54">
        <v>22491.111111111109</v>
      </c>
      <c r="H70" s="54">
        <v>24740.222222222223</v>
      </c>
      <c r="I70" s="54">
        <v>27214.244444444448</v>
      </c>
      <c r="J70" s="39">
        <f t="shared" si="11"/>
        <v>269893</v>
      </c>
      <c r="K70" s="39">
        <f t="shared" si="12"/>
        <v>269893</v>
      </c>
      <c r="L70" s="39">
        <f t="shared" si="13"/>
        <v>296883</v>
      </c>
      <c r="M70" s="39">
        <f t="shared" si="14"/>
        <v>3562596</v>
      </c>
      <c r="N70" s="39">
        <f t="shared" si="15"/>
        <v>326571</v>
      </c>
      <c r="O70" s="39">
        <f t="shared" si="16"/>
        <v>3918852</v>
      </c>
      <c r="P70" s="81">
        <f t="shared" si="17"/>
        <v>7751341</v>
      </c>
    </row>
    <row r="71" spans="2:16" s="2" customFormat="1" ht="44.25" customHeight="1">
      <c r="B71" s="59">
        <v>14</v>
      </c>
      <c r="C71" s="67" t="s">
        <v>1155</v>
      </c>
      <c r="D71" s="196" t="s">
        <v>1164</v>
      </c>
      <c r="E71" s="196" t="s">
        <v>130</v>
      </c>
      <c r="F71" s="76">
        <v>14</v>
      </c>
      <c r="G71" s="54">
        <v>3984.1269841269841</v>
      </c>
      <c r="H71" s="54">
        <v>4382.5396825396829</v>
      </c>
      <c r="I71" s="54">
        <v>4820.793650793652</v>
      </c>
      <c r="J71" s="39">
        <f t="shared" si="11"/>
        <v>55778</v>
      </c>
      <c r="K71" s="39">
        <f t="shared" si="12"/>
        <v>55778</v>
      </c>
      <c r="L71" s="39">
        <f t="shared" si="13"/>
        <v>61356</v>
      </c>
      <c r="M71" s="39">
        <f t="shared" si="14"/>
        <v>736272</v>
      </c>
      <c r="N71" s="39">
        <f t="shared" si="15"/>
        <v>67491</v>
      </c>
      <c r="O71" s="39">
        <f t="shared" si="16"/>
        <v>809892</v>
      </c>
      <c r="P71" s="81">
        <f t="shared" si="17"/>
        <v>1601942</v>
      </c>
    </row>
    <row r="72" spans="2:16" s="2" customFormat="1" ht="44.25" customHeight="1">
      <c r="B72" s="59">
        <v>15</v>
      </c>
      <c r="C72" s="67" t="s">
        <v>1155</v>
      </c>
      <c r="D72" s="196" t="s">
        <v>1165</v>
      </c>
      <c r="E72" s="196" t="s">
        <v>131</v>
      </c>
      <c r="F72" s="76">
        <v>1</v>
      </c>
      <c r="G72" s="54">
        <v>7706.3492063492076</v>
      </c>
      <c r="H72" s="54">
        <v>8476.984126984129</v>
      </c>
      <c r="I72" s="54">
        <v>9324.6825396825425</v>
      </c>
      <c r="J72" s="39">
        <f t="shared" si="11"/>
        <v>7706</v>
      </c>
      <c r="K72" s="39">
        <f t="shared" si="12"/>
        <v>7706</v>
      </c>
      <c r="L72" s="39">
        <f t="shared" si="13"/>
        <v>8477</v>
      </c>
      <c r="M72" s="39">
        <f t="shared" si="14"/>
        <v>101724</v>
      </c>
      <c r="N72" s="39">
        <f t="shared" si="15"/>
        <v>9325</v>
      </c>
      <c r="O72" s="39">
        <f t="shared" si="16"/>
        <v>111900</v>
      </c>
      <c r="P72" s="81">
        <f t="shared" si="17"/>
        <v>221330</v>
      </c>
    </row>
    <row r="73" spans="2:16" s="2" customFormat="1" ht="61.5" customHeight="1">
      <c r="B73" s="59">
        <v>16</v>
      </c>
      <c r="C73" s="67" t="s">
        <v>1155</v>
      </c>
      <c r="D73" s="196" t="s">
        <v>1166</v>
      </c>
      <c r="E73" s="196" t="s">
        <v>132</v>
      </c>
      <c r="F73" s="76">
        <v>3</v>
      </c>
      <c r="G73" s="54">
        <v>157142.85714285716</v>
      </c>
      <c r="H73" s="54">
        <v>172857.1428571429</v>
      </c>
      <c r="I73" s="54">
        <v>190142.85714285722</v>
      </c>
      <c r="J73" s="39">
        <f t="shared" si="11"/>
        <v>471429</v>
      </c>
      <c r="K73" s="39">
        <f t="shared" si="12"/>
        <v>471429</v>
      </c>
      <c r="L73" s="39">
        <f t="shared" si="13"/>
        <v>518571</v>
      </c>
      <c r="M73" s="39">
        <f t="shared" si="14"/>
        <v>6222852</v>
      </c>
      <c r="N73" s="39">
        <f t="shared" si="15"/>
        <v>570429</v>
      </c>
      <c r="O73" s="39">
        <f t="shared" si="16"/>
        <v>6845148</v>
      </c>
      <c r="P73" s="81">
        <f t="shared" si="17"/>
        <v>13539429</v>
      </c>
    </row>
    <row r="74" spans="2:16" s="2" customFormat="1" ht="44.25" customHeight="1">
      <c r="B74" s="59">
        <v>17</v>
      </c>
      <c r="C74" s="67" t="s">
        <v>1167</v>
      </c>
      <c r="D74" s="196" t="s">
        <v>1168</v>
      </c>
      <c r="E74" s="196"/>
      <c r="F74" s="76">
        <v>5</v>
      </c>
      <c r="G74" s="54">
        <v>46793.333333333336</v>
      </c>
      <c r="H74" s="54">
        <v>51472.666666666672</v>
      </c>
      <c r="I74" s="54">
        <v>56619.933333333342</v>
      </c>
      <c r="J74" s="39">
        <f t="shared" si="11"/>
        <v>233967</v>
      </c>
      <c r="K74" s="39">
        <f t="shared" si="12"/>
        <v>233967</v>
      </c>
      <c r="L74" s="39">
        <f t="shared" si="13"/>
        <v>257363</v>
      </c>
      <c r="M74" s="39">
        <f t="shared" si="14"/>
        <v>3088356</v>
      </c>
      <c r="N74" s="39">
        <f t="shared" si="15"/>
        <v>283100</v>
      </c>
      <c r="O74" s="39">
        <f t="shared" si="16"/>
        <v>3397200</v>
      </c>
      <c r="P74" s="81">
        <f t="shared" si="17"/>
        <v>6719523</v>
      </c>
    </row>
    <row r="75" spans="2:16" s="2" customFormat="1" ht="44.25" customHeight="1">
      <c r="B75" s="59">
        <v>18</v>
      </c>
      <c r="C75" s="67" t="s">
        <v>1167</v>
      </c>
      <c r="D75" s="196" t="s">
        <v>1169</v>
      </c>
      <c r="E75" s="196" t="s">
        <v>1169</v>
      </c>
      <c r="F75" s="76">
        <v>34</v>
      </c>
      <c r="G75" s="54">
        <v>49682.539682539682</v>
      </c>
      <c r="H75" s="54">
        <v>54650.793650793654</v>
      </c>
      <c r="I75" s="54">
        <v>60115.873015873025</v>
      </c>
      <c r="J75" s="39">
        <f t="shared" si="11"/>
        <v>1689206</v>
      </c>
      <c r="K75" s="39">
        <f t="shared" si="12"/>
        <v>1689206</v>
      </c>
      <c r="L75" s="39">
        <f t="shared" si="13"/>
        <v>1858127</v>
      </c>
      <c r="M75" s="39">
        <f t="shared" si="14"/>
        <v>22297524</v>
      </c>
      <c r="N75" s="39">
        <f t="shared" si="15"/>
        <v>2043940</v>
      </c>
      <c r="O75" s="39">
        <f t="shared" si="16"/>
        <v>24527280</v>
      </c>
      <c r="P75" s="81">
        <f t="shared" si="17"/>
        <v>48514010</v>
      </c>
    </row>
    <row r="76" spans="2:16" s="2" customFormat="1" ht="44.25" customHeight="1">
      <c r="B76" s="59">
        <v>19</v>
      </c>
      <c r="C76" s="67" t="s">
        <v>1170</v>
      </c>
      <c r="D76" s="196" t="s">
        <v>1171</v>
      </c>
      <c r="E76" s="196"/>
      <c r="F76" s="76">
        <v>22</v>
      </c>
      <c r="G76" s="54">
        <v>76984.126984126997</v>
      </c>
      <c r="H76" s="54">
        <v>84682.539682539704</v>
      </c>
      <c r="I76" s="54">
        <v>93150.793650793683</v>
      </c>
      <c r="J76" s="39">
        <f t="shared" si="11"/>
        <v>1693651</v>
      </c>
      <c r="K76" s="39">
        <f t="shared" si="12"/>
        <v>1693651</v>
      </c>
      <c r="L76" s="39">
        <f t="shared" si="13"/>
        <v>1863016</v>
      </c>
      <c r="M76" s="39">
        <f t="shared" si="14"/>
        <v>22356192</v>
      </c>
      <c r="N76" s="39">
        <f t="shared" si="15"/>
        <v>2049317</v>
      </c>
      <c r="O76" s="39">
        <f t="shared" si="16"/>
        <v>24591804</v>
      </c>
      <c r="P76" s="81">
        <f t="shared" si="17"/>
        <v>48641647</v>
      </c>
    </row>
    <row r="77" spans="2:16" s="2" customFormat="1" ht="44.25" customHeight="1">
      <c r="B77" s="59">
        <v>20</v>
      </c>
      <c r="C77" s="67" t="s">
        <v>1170</v>
      </c>
      <c r="D77" s="196" t="s">
        <v>1172</v>
      </c>
      <c r="E77" s="196" t="s">
        <v>1172</v>
      </c>
      <c r="F77" s="76">
        <v>8</v>
      </c>
      <c r="G77" s="54">
        <v>77428.571428571435</v>
      </c>
      <c r="H77" s="54">
        <v>85171.42857142858</v>
      </c>
      <c r="I77" s="54">
        <v>93688.571428571449</v>
      </c>
      <c r="J77" s="39">
        <f t="shared" si="11"/>
        <v>619429</v>
      </c>
      <c r="K77" s="39">
        <f t="shared" si="12"/>
        <v>619429</v>
      </c>
      <c r="L77" s="39">
        <f t="shared" si="13"/>
        <v>681371</v>
      </c>
      <c r="M77" s="39">
        <f t="shared" si="14"/>
        <v>8176452</v>
      </c>
      <c r="N77" s="39">
        <f t="shared" si="15"/>
        <v>749509</v>
      </c>
      <c r="O77" s="39">
        <f t="shared" si="16"/>
        <v>8994108</v>
      </c>
      <c r="P77" s="81">
        <f t="shared" si="17"/>
        <v>17789989</v>
      </c>
    </row>
    <row r="78" spans="2:16" s="2" customFormat="1" ht="44.25" customHeight="1">
      <c r="B78" s="59">
        <v>21</v>
      </c>
      <c r="C78" s="67" t="s">
        <v>1170</v>
      </c>
      <c r="D78" s="196" t="s">
        <v>1173</v>
      </c>
      <c r="E78" s="196" t="s">
        <v>1173</v>
      </c>
      <c r="F78" s="76">
        <v>15</v>
      </c>
      <c r="G78" s="54">
        <v>12539.682539682541</v>
      </c>
      <c r="H78" s="54">
        <v>13793.650793650795</v>
      </c>
      <c r="I78" s="54">
        <v>15173.015873015876</v>
      </c>
      <c r="J78" s="39">
        <f t="shared" si="11"/>
        <v>188095</v>
      </c>
      <c r="K78" s="39">
        <f t="shared" si="12"/>
        <v>188095</v>
      </c>
      <c r="L78" s="39">
        <f t="shared" si="13"/>
        <v>206905</v>
      </c>
      <c r="M78" s="39">
        <f t="shared" si="14"/>
        <v>2482860</v>
      </c>
      <c r="N78" s="39">
        <f t="shared" si="15"/>
        <v>227595</v>
      </c>
      <c r="O78" s="39">
        <f t="shared" si="16"/>
        <v>2731140</v>
      </c>
      <c r="P78" s="81">
        <f t="shared" si="17"/>
        <v>5402095</v>
      </c>
    </row>
    <row r="79" spans="2:16" s="2" customFormat="1" ht="44.25" customHeight="1">
      <c r="B79" s="59">
        <v>22</v>
      </c>
      <c r="C79" s="67" t="s">
        <v>1170</v>
      </c>
      <c r="D79" s="196" t="s">
        <v>1174</v>
      </c>
      <c r="E79" s="196" t="s">
        <v>1174</v>
      </c>
      <c r="F79" s="76">
        <v>9</v>
      </c>
      <c r="G79" s="54">
        <v>15476.190476190477</v>
      </c>
      <c r="H79" s="54">
        <v>17023.809523809527</v>
      </c>
      <c r="I79" s="54">
        <v>18726.190476190481</v>
      </c>
      <c r="J79" s="39">
        <f t="shared" si="11"/>
        <v>139286</v>
      </c>
      <c r="K79" s="39">
        <f t="shared" si="12"/>
        <v>139286</v>
      </c>
      <c r="L79" s="39">
        <f t="shared" si="13"/>
        <v>153214</v>
      </c>
      <c r="M79" s="39">
        <f t="shared" si="14"/>
        <v>1838568</v>
      </c>
      <c r="N79" s="39">
        <f t="shared" si="15"/>
        <v>168536</v>
      </c>
      <c r="O79" s="39">
        <f t="shared" si="16"/>
        <v>2022432</v>
      </c>
      <c r="P79" s="81">
        <f t="shared" si="17"/>
        <v>4000286</v>
      </c>
    </row>
    <row r="80" spans="2:16" s="2" customFormat="1" ht="44.25" customHeight="1">
      <c r="B80" s="59">
        <v>23</v>
      </c>
      <c r="C80" s="67" t="s">
        <v>1170</v>
      </c>
      <c r="D80" s="196" t="s">
        <v>1175</v>
      </c>
      <c r="E80" s="196"/>
      <c r="F80" s="76">
        <v>1</v>
      </c>
      <c r="G80" s="54">
        <v>64285.71428571429</v>
      </c>
      <c r="H80" s="54">
        <v>70714.285714285725</v>
      </c>
      <c r="I80" s="54">
        <v>77785.714285714304</v>
      </c>
      <c r="J80" s="39">
        <f t="shared" si="11"/>
        <v>64286</v>
      </c>
      <c r="K80" s="39">
        <f t="shared" si="12"/>
        <v>64286</v>
      </c>
      <c r="L80" s="39">
        <f t="shared" si="13"/>
        <v>70714</v>
      </c>
      <c r="M80" s="39">
        <f t="shared" si="14"/>
        <v>848568</v>
      </c>
      <c r="N80" s="39">
        <f t="shared" si="15"/>
        <v>77786</v>
      </c>
      <c r="O80" s="39">
        <f t="shared" si="16"/>
        <v>933432</v>
      </c>
      <c r="P80" s="81">
        <f t="shared" si="17"/>
        <v>1846286</v>
      </c>
    </row>
    <row r="81" spans="2:16" s="2" customFormat="1" ht="24.75" customHeight="1">
      <c r="B81" s="201" t="s">
        <v>1224</v>
      </c>
      <c r="C81" s="201"/>
      <c r="D81" s="201"/>
      <c r="E81" s="201"/>
      <c r="F81" s="201"/>
      <c r="G81" s="201"/>
      <c r="H81" s="201"/>
      <c r="I81" s="201"/>
      <c r="J81" s="201"/>
      <c r="K81" s="201"/>
      <c r="L81" s="201"/>
      <c r="M81" s="201"/>
      <c r="N81" s="201"/>
      <c r="O81" s="201"/>
      <c r="P81" s="81">
        <f>SUM(P58:P80)</f>
        <v>448995512</v>
      </c>
    </row>
    <row r="82" spans="2:16" s="2" customFormat="1" ht="12.5">
      <c r="C82" s="4"/>
      <c r="D82" s="4"/>
      <c r="E82" s="4"/>
      <c r="F82" s="4"/>
      <c r="G82" s="99">
        <f>SUM(G58:G80)</f>
        <v>1515508.7301587302</v>
      </c>
      <c r="H82" s="99">
        <f>SUM(H58:H80)</f>
        <v>1667059.6031746035</v>
      </c>
      <c r="I82" s="99">
        <f>SUM(I58:I80)</f>
        <v>1833765.5634920644</v>
      </c>
    </row>
    <row r="83" spans="2:16" s="2" customFormat="1" ht="29.25" customHeight="1">
      <c r="B83" s="171" t="s">
        <v>1184</v>
      </c>
      <c r="C83" s="172"/>
      <c r="D83" s="172"/>
      <c r="E83" s="172"/>
      <c r="F83" s="172"/>
      <c r="G83" s="172"/>
      <c r="H83" s="172"/>
      <c r="I83" s="172"/>
      <c r="J83" s="197"/>
    </row>
    <row r="84" spans="2:16" s="2" customFormat="1" ht="29.25" customHeight="1">
      <c r="C84" s="4"/>
      <c r="D84" s="4"/>
      <c r="E84" s="4"/>
      <c r="F84" s="4"/>
      <c r="G84" s="4"/>
      <c r="H84" s="4"/>
    </row>
    <row r="85" spans="2:16" s="2" customFormat="1" ht="29.25" customHeight="1">
      <c r="B85" s="198" t="s">
        <v>1185</v>
      </c>
      <c r="C85" s="198"/>
      <c r="D85" s="198"/>
      <c r="E85" s="198"/>
      <c r="F85" s="198"/>
      <c r="G85"/>
      <c r="H85"/>
      <c r="I85"/>
      <c r="J85"/>
    </row>
    <row r="86" spans="2:16" s="2" customFormat="1" ht="29.25" customHeight="1">
      <c r="C86" s="4"/>
      <c r="D86" s="4"/>
      <c r="E86" s="4"/>
      <c r="F86" s="4"/>
      <c r="G86" s="4"/>
      <c r="H86" s="4"/>
    </row>
    <row r="87" spans="2:16" s="2" customFormat="1" ht="29.25" customHeight="1">
      <c r="B87" s="199" t="s">
        <v>133</v>
      </c>
      <c r="C87" s="199"/>
      <c r="D87" s="199"/>
      <c r="E87" s="77" t="s">
        <v>121</v>
      </c>
    </row>
    <row r="88" spans="2:16" s="2" customFormat="1" ht="29.25" customHeight="1">
      <c r="B88" s="180" t="s">
        <v>134</v>
      </c>
      <c r="C88" s="181"/>
      <c r="D88" s="182"/>
      <c r="E88" s="78">
        <f>SUM(V45:V50)</f>
        <v>6403823150</v>
      </c>
    </row>
    <row r="89" spans="2:16" s="2" customFormat="1" ht="29.25" customHeight="1">
      <c r="B89" s="180" t="s">
        <v>135</v>
      </c>
      <c r="C89" s="181"/>
      <c r="D89" s="182"/>
      <c r="E89" s="78">
        <f>SUM(P58:P80)</f>
        <v>448995512</v>
      </c>
    </row>
    <row r="90" spans="2:16" s="2" customFormat="1" ht="29.25" customHeight="1">
      <c r="B90" s="180" t="s">
        <v>136</v>
      </c>
      <c r="C90" s="181"/>
      <c r="D90" s="182"/>
      <c r="E90" s="78">
        <f>E88+E89</f>
        <v>6852818662</v>
      </c>
    </row>
    <row r="91" spans="2:16" s="2" customFormat="1" ht="29.25" customHeight="1">
      <c r="B91" s="183" t="s">
        <v>1195</v>
      </c>
      <c r="C91" s="183"/>
      <c r="D91" s="55">
        <v>0.1</v>
      </c>
      <c r="E91" s="78">
        <f>ROUND((E90)*D91,0)</f>
        <v>685281866</v>
      </c>
      <c r="G91" s="70"/>
    </row>
    <row r="92" spans="2:16" s="2" customFormat="1" ht="29.25" customHeight="1">
      <c r="B92" s="183" t="s">
        <v>137</v>
      </c>
      <c r="C92" s="183"/>
      <c r="D92" s="56">
        <v>0.19</v>
      </c>
      <c r="E92" s="78">
        <f>ROUND(E91*D92,0)</f>
        <v>130203555</v>
      </c>
      <c r="G92" s="70"/>
    </row>
    <row r="93" spans="2:16" s="2" customFormat="1" ht="29.25" customHeight="1">
      <c r="B93" s="173" t="s">
        <v>1203</v>
      </c>
      <c r="C93" s="184"/>
      <c r="D93" s="185"/>
      <c r="E93" s="79">
        <f>E90+E92</f>
        <v>6983022217</v>
      </c>
      <c r="G93" s="70"/>
    </row>
    <row r="94" spans="2:16" s="2" customFormat="1" ht="12.5">
      <c r="C94" s="4"/>
      <c r="D94" s="4"/>
      <c r="E94" s="4"/>
      <c r="G94" s="4"/>
    </row>
    <row r="95" spans="2:16" s="2" customFormat="1" ht="12.5">
      <c r="C95" s="4"/>
      <c r="D95" s="4"/>
      <c r="E95" s="4"/>
      <c r="F95" s="4"/>
      <c r="G95" s="4"/>
      <c r="H95" s="4"/>
    </row>
    <row r="96" spans="2:16" ht="27.75" customHeight="1">
      <c r="B96" s="260" t="s">
        <v>83</v>
      </c>
      <c r="C96" s="260"/>
      <c r="D96" s="260"/>
      <c r="E96" s="260"/>
      <c r="F96" s="260"/>
      <c r="G96" s="260"/>
      <c r="H96" s="260"/>
      <c r="I96" s="260"/>
    </row>
    <row r="97" spans="2:9" ht="63.75" customHeight="1">
      <c r="B97" s="259" t="s">
        <v>1225</v>
      </c>
      <c r="C97" s="259"/>
      <c r="D97" s="259"/>
      <c r="E97" s="259"/>
      <c r="F97" s="259"/>
      <c r="G97" s="259"/>
      <c r="H97" s="259"/>
      <c r="I97" s="259"/>
    </row>
    <row r="98" spans="2:9" ht="52.5" customHeight="1">
      <c r="B98" s="259" t="s">
        <v>1186</v>
      </c>
      <c r="C98" s="259"/>
      <c r="D98" s="259"/>
      <c r="E98" s="259"/>
      <c r="F98" s="259"/>
      <c r="G98" s="259"/>
      <c r="H98" s="259"/>
      <c r="I98" s="259"/>
    </row>
    <row r="99" spans="2:9" ht="12.5"/>
  </sheetData>
  <mergeCells count="72">
    <mergeCell ref="B98:I98"/>
    <mergeCell ref="B83:J83"/>
    <mergeCell ref="B85:F85"/>
    <mergeCell ref="B87:D87"/>
    <mergeCell ref="B88:D88"/>
    <mergeCell ref="B89:D89"/>
    <mergeCell ref="B90:D90"/>
    <mergeCell ref="B91:C91"/>
    <mergeCell ref="B92:C92"/>
    <mergeCell ref="B93:D93"/>
    <mergeCell ref="B96:I96"/>
    <mergeCell ref="B97:I97"/>
    <mergeCell ref="B81:O81"/>
    <mergeCell ref="D70:E70"/>
    <mergeCell ref="D71:E71"/>
    <mergeCell ref="D72:E72"/>
    <mergeCell ref="D73:E73"/>
    <mergeCell ref="D74:E74"/>
    <mergeCell ref="D75:E75"/>
    <mergeCell ref="D76:E76"/>
    <mergeCell ref="D77:E77"/>
    <mergeCell ref="D78:E78"/>
    <mergeCell ref="D79:E79"/>
    <mergeCell ref="D80:E80"/>
    <mergeCell ref="D69:E69"/>
    <mergeCell ref="D58:E58"/>
    <mergeCell ref="D59:E59"/>
    <mergeCell ref="D60:E60"/>
    <mergeCell ref="D61:E61"/>
    <mergeCell ref="D62:E62"/>
    <mergeCell ref="D63:E63"/>
    <mergeCell ref="D64:E64"/>
    <mergeCell ref="D65:E65"/>
    <mergeCell ref="D66:E66"/>
    <mergeCell ref="D67:E67"/>
    <mergeCell ref="D68:E68"/>
    <mergeCell ref="D57:E57"/>
    <mergeCell ref="F35:G35"/>
    <mergeCell ref="F36:G36"/>
    <mergeCell ref="B38:V38"/>
    <mergeCell ref="B41:V41"/>
    <mergeCell ref="B43:E43"/>
    <mergeCell ref="F43:K43"/>
    <mergeCell ref="L43:M43"/>
    <mergeCell ref="N43:O43"/>
    <mergeCell ref="P43:Q43"/>
    <mergeCell ref="R43:S43"/>
    <mergeCell ref="T43:U43"/>
    <mergeCell ref="B51:U51"/>
    <mergeCell ref="B54:V54"/>
    <mergeCell ref="B56:E56"/>
    <mergeCell ref="F56:P56"/>
    <mergeCell ref="B32:M32"/>
    <mergeCell ref="C9:E9"/>
    <mergeCell ref="G9:H9"/>
    <mergeCell ref="B10:L10"/>
    <mergeCell ref="B13:L13"/>
    <mergeCell ref="B15:L15"/>
    <mergeCell ref="B17:L17"/>
    <mergeCell ref="C20:E20"/>
    <mergeCell ref="M20:N22"/>
    <mergeCell ref="C21:E21"/>
    <mergeCell ref="B23:B30"/>
    <mergeCell ref="C23:F23"/>
    <mergeCell ref="C8:D8"/>
    <mergeCell ref="I8:J8"/>
    <mergeCell ref="K8:L8"/>
    <mergeCell ref="B2:K4"/>
    <mergeCell ref="L2:L4"/>
    <mergeCell ref="B6:L6"/>
    <mergeCell ref="B7:C7"/>
    <mergeCell ref="D7:L7"/>
  </mergeCells>
  <dataValidations count="2">
    <dataValidation type="decimal" allowBlank="1" showInputMessage="1" showErrorMessage="1" error="Tener en cuenta que las cooperativas de vigilancia y seguridad privada, podrán descontar del valor de la tarifa hasta el diez por ciento (10%)," sqref="F21" xr:uid="{DB2DE1B7-F2C7-4F89-85A1-597DF9370555}">
      <formula1>0</formula1>
      <formula2>0.1</formula2>
    </dataValidation>
    <dataValidation type="list" allowBlank="1" showInputMessage="1" showErrorMessage="1" sqref="F20" xr:uid="{BBEB2DA1-14D7-4FF6-A976-8E04CA2365A3}">
      <formula1>"EMPRESA, COOPERATIVA"</formula1>
    </dataValidation>
  </dataValidations>
  <pageMargins left="0.70866141732283472" right="0.70866141732283472" top="0.74803149606299213" bottom="0.74803149606299213" header="0.31496062992125984" footer="0.31496062992125984"/>
  <pageSetup scale="43" orientation="portrait" r:id="rId1"/>
  <headerFooter>
    <oddFooter xml:space="preserve">&amp;C&amp;P/&amp;N
</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FEC863-B16A-4A94-B7A0-E76AFDDF7B75}">
  <sheetPr>
    <tabColor rgb="FFFFFFCC"/>
  </sheetPr>
  <dimension ref="A1:Y99"/>
  <sheetViews>
    <sheetView showGridLines="0" zoomScale="80" zoomScaleNormal="80" zoomScaleSheetLayoutView="90" workbookViewId="0">
      <selection activeCell="G45" sqref="G45:K50"/>
    </sheetView>
  </sheetViews>
  <sheetFormatPr baseColWidth="10" defaultColWidth="0" defaultRowHeight="12.65" customHeight="1" zeroHeight="1"/>
  <cols>
    <col min="1" max="1" width="2" style="4" customWidth="1"/>
    <col min="2" max="2" width="13.81640625" style="4" customWidth="1"/>
    <col min="3" max="3" width="30" style="4" customWidth="1"/>
    <col min="4" max="4" width="25.81640625" style="4" customWidth="1"/>
    <col min="5" max="5" width="32.1796875" style="5" customWidth="1"/>
    <col min="6" max="6" width="15.7265625" style="5" customWidth="1"/>
    <col min="7" max="7" width="24.1796875" style="4" customWidth="1"/>
    <col min="8" max="8" width="23.54296875" style="4" customWidth="1"/>
    <col min="9" max="9" width="22.26953125" style="4" customWidth="1"/>
    <col min="10" max="10" width="21.54296875" style="4" customWidth="1"/>
    <col min="11" max="11" width="23.1796875" style="4" customWidth="1"/>
    <col min="12" max="12" width="20.81640625" style="4" customWidth="1"/>
    <col min="13" max="13" width="23.7265625" style="4" customWidth="1"/>
    <col min="14" max="14" width="21" style="4" customWidth="1"/>
    <col min="15" max="15" width="22.81640625" style="4" customWidth="1"/>
    <col min="16" max="16" width="23.7265625" style="4" customWidth="1"/>
    <col min="17" max="21" width="18.1796875" style="4" customWidth="1"/>
    <col min="22" max="23" width="18.54296875" style="4" customWidth="1"/>
    <col min="24" max="25" width="18.54296875" style="4" hidden="1" customWidth="1"/>
    <col min="26" max="16384" width="11.453125" style="4" hidden="1"/>
  </cols>
  <sheetData>
    <row r="1" spans="2:12" s="2" customFormat="1" ht="12.75" customHeight="1">
      <c r="E1" s="3"/>
      <c r="F1" s="3"/>
    </row>
    <row r="2" spans="2:12" s="2" customFormat="1" ht="21.75" customHeight="1">
      <c r="B2" s="268" t="s">
        <v>81</v>
      </c>
      <c r="C2" s="269"/>
      <c r="D2" s="269"/>
      <c r="E2" s="269"/>
      <c r="F2" s="269"/>
      <c r="G2" s="269"/>
      <c r="H2" s="269"/>
      <c r="I2" s="269"/>
      <c r="J2" s="269"/>
      <c r="K2" s="270"/>
      <c r="L2" s="257" t="s">
        <v>0</v>
      </c>
    </row>
    <row r="3" spans="2:12" s="2" customFormat="1" ht="21.75" customHeight="1">
      <c r="B3" s="271"/>
      <c r="C3" s="272"/>
      <c r="D3" s="272"/>
      <c r="E3" s="272"/>
      <c r="F3" s="272"/>
      <c r="G3" s="272"/>
      <c r="H3" s="272"/>
      <c r="I3" s="272"/>
      <c r="J3" s="272"/>
      <c r="K3" s="273"/>
      <c r="L3" s="257"/>
    </row>
    <row r="4" spans="2:12" s="2" customFormat="1" ht="21.75" customHeight="1">
      <c r="B4" s="274"/>
      <c r="C4" s="275"/>
      <c r="D4" s="275"/>
      <c r="E4" s="275"/>
      <c r="F4" s="275"/>
      <c r="G4" s="275"/>
      <c r="H4" s="275"/>
      <c r="I4" s="275"/>
      <c r="J4" s="275"/>
      <c r="K4" s="276"/>
      <c r="L4" s="257"/>
    </row>
    <row r="5" spans="2:12" s="2" customFormat="1" ht="5.25" customHeight="1">
      <c r="E5" s="3"/>
      <c r="F5" s="3"/>
    </row>
    <row r="6" spans="2:12" s="2" customFormat="1" ht="15.75" customHeight="1">
      <c r="B6" s="169" t="s">
        <v>81</v>
      </c>
      <c r="C6" s="169"/>
      <c r="D6" s="169"/>
      <c r="E6" s="169"/>
      <c r="F6" s="169"/>
      <c r="G6" s="169"/>
      <c r="H6" s="169"/>
      <c r="I6" s="169"/>
      <c r="J6" s="169"/>
      <c r="K6" s="169"/>
      <c r="L6" s="169"/>
    </row>
    <row r="7" spans="2:12" s="2" customFormat="1" ht="32.25" customHeight="1">
      <c r="B7" s="201" t="s">
        <v>82</v>
      </c>
      <c r="C7" s="201"/>
      <c r="D7" s="265" t="s">
        <v>1147</v>
      </c>
      <c r="E7" s="266"/>
      <c r="F7" s="266"/>
      <c r="G7" s="266"/>
      <c r="H7" s="266"/>
      <c r="I7" s="266"/>
      <c r="J7" s="266"/>
      <c r="K7" s="266"/>
      <c r="L7" s="267"/>
    </row>
    <row r="8" spans="2:12" s="2" customFormat="1" ht="36" customHeight="1">
      <c r="B8" s="87" t="s">
        <v>1229</v>
      </c>
      <c r="C8" s="277" t="s">
        <v>1257</v>
      </c>
      <c r="D8" s="278"/>
      <c r="E8" s="88" t="s">
        <v>1231</v>
      </c>
      <c r="F8" s="52" t="s">
        <v>1258</v>
      </c>
      <c r="G8" s="88" t="s">
        <v>1233</v>
      </c>
      <c r="H8" s="52" t="s">
        <v>1259</v>
      </c>
      <c r="I8" s="279" t="s">
        <v>1235</v>
      </c>
      <c r="J8" s="279"/>
      <c r="K8" s="280" t="s">
        <v>1260</v>
      </c>
      <c r="L8" s="281"/>
    </row>
    <row r="9" spans="2:12" s="2" customFormat="1" ht="33" customHeight="1">
      <c r="B9" s="89" t="s">
        <v>1237</v>
      </c>
      <c r="C9" s="280" t="s">
        <v>1261</v>
      </c>
      <c r="D9" s="282"/>
      <c r="E9" s="281"/>
      <c r="F9" s="88" t="s">
        <v>1239</v>
      </c>
      <c r="G9" s="277" t="s">
        <v>1262</v>
      </c>
      <c r="H9" s="278"/>
      <c r="I9" s="90" t="s">
        <v>1241</v>
      </c>
      <c r="J9" s="52">
        <v>31652939.609999999</v>
      </c>
      <c r="K9" s="91" t="s">
        <v>1243</v>
      </c>
      <c r="L9" s="95">
        <v>45505</v>
      </c>
    </row>
    <row r="10" spans="2:12" s="2" customFormat="1" ht="5.15" customHeight="1">
      <c r="B10" s="285"/>
      <c r="C10" s="286"/>
      <c r="D10" s="286"/>
      <c r="E10" s="286"/>
      <c r="F10" s="286"/>
      <c r="G10" s="286"/>
      <c r="H10" s="286"/>
      <c r="I10" s="286"/>
      <c r="J10" s="286"/>
      <c r="K10" s="286"/>
      <c r="L10" s="287"/>
    </row>
    <row r="11" spans="2:12" s="2" customFormat="1" ht="8.25" customHeight="1">
      <c r="B11" s="68"/>
      <c r="C11" s="68"/>
      <c r="D11" s="68"/>
      <c r="E11" s="68"/>
      <c r="F11" s="68"/>
      <c r="G11" s="68"/>
      <c r="H11" s="68"/>
      <c r="I11" s="68"/>
      <c r="J11" s="68"/>
      <c r="K11" s="68"/>
      <c r="L11" s="68"/>
    </row>
    <row r="12" spans="2:12" s="2" customFormat="1" ht="8.25" customHeight="1">
      <c r="B12" s="68"/>
      <c r="C12" s="68"/>
      <c r="D12" s="68"/>
      <c r="E12" s="68"/>
      <c r="F12" s="68"/>
      <c r="G12" s="68"/>
      <c r="H12" s="68"/>
      <c r="I12" s="68"/>
      <c r="J12" s="68"/>
      <c r="K12" s="68"/>
      <c r="L12" s="68"/>
    </row>
    <row r="13" spans="2:12" s="2" customFormat="1" ht="104.25" customHeight="1">
      <c r="B13" s="283" t="s">
        <v>1197</v>
      </c>
      <c r="C13" s="283"/>
      <c r="D13" s="283"/>
      <c r="E13" s="283"/>
      <c r="F13" s="283"/>
      <c r="G13" s="283"/>
      <c r="H13" s="283"/>
      <c r="I13" s="283"/>
      <c r="J13" s="283"/>
      <c r="K13" s="283"/>
      <c r="L13" s="283"/>
    </row>
    <row r="14" spans="2:12" s="2" customFormat="1" ht="8.25" customHeight="1">
      <c r="B14" s="68"/>
      <c r="C14" s="68"/>
      <c r="D14" s="68"/>
      <c r="E14" s="68"/>
      <c r="F14" s="68"/>
      <c r="G14" s="68"/>
      <c r="H14" s="68"/>
      <c r="I14" s="68"/>
      <c r="J14" s="68"/>
      <c r="K14" s="68"/>
      <c r="L14" s="68"/>
    </row>
    <row r="15" spans="2:12" s="2" customFormat="1" ht="180" customHeight="1">
      <c r="B15" s="284" t="s">
        <v>1226</v>
      </c>
      <c r="C15" s="284"/>
      <c r="D15" s="284"/>
      <c r="E15" s="284"/>
      <c r="F15" s="284"/>
      <c r="G15" s="284"/>
      <c r="H15" s="284"/>
      <c r="I15" s="284"/>
      <c r="J15" s="284"/>
      <c r="K15" s="284"/>
      <c r="L15" s="284"/>
    </row>
    <row r="16" spans="2:12" s="2" customFormat="1" ht="8.25" customHeight="1">
      <c r="B16" s="68"/>
      <c r="C16" s="68"/>
      <c r="D16" s="68"/>
      <c r="E16" s="68"/>
      <c r="F16" s="68"/>
      <c r="G16" s="68"/>
      <c r="H16" s="68"/>
      <c r="I16" s="68"/>
      <c r="J16" s="68"/>
      <c r="K16" s="68"/>
      <c r="L16" s="68"/>
    </row>
    <row r="17" spans="2:14" s="2" customFormat="1" ht="23.25" customHeight="1">
      <c r="B17" s="171" t="s">
        <v>115</v>
      </c>
      <c r="C17" s="172"/>
      <c r="D17" s="172"/>
      <c r="E17" s="172"/>
      <c r="F17" s="172"/>
      <c r="G17" s="172"/>
      <c r="H17" s="172"/>
      <c r="I17" s="172"/>
      <c r="J17" s="172"/>
      <c r="K17" s="172"/>
      <c r="L17" s="197"/>
    </row>
    <row r="18" spans="2:14" s="2" customFormat="1" ht="8.25" customHeight="1">
      <c r="B18" s="68"/>
      <c r="C18" s="68"/>
      <c r="D18" s="68"/>
      <c r="E18" s="68"/>
      <c r="F18" s="68"/>
      <c r="G18" s="68"/>
      <c r="H18" s="68"/>
      <c r="I18" s="68"/>
      <c r="J18" s="68"/>
      <c r="K18" s="68"/>
      <c r="L18" s="68"/>
    </row>
    <row r="19" spans="2:14" s="2" customFormat="1" ht="8.25" customHeight="1">
      <c r="B19" s="68"/>
      <c r="C19" s="68"/>
      <c r="D19" s="68"/>
      <c r="E19" s="68"/>
      <c r="F19" s="68"/>
      <c r="G19" s="68"/>
      <c r="H19" s="68"/>
      <c r="I19" s="68"/>
      <c r="J19" s="68"/>
      <c r="K19" s="68"/>
      <c r="L19" s="68"/>
    </row>
    <row r="20" spans="2:14" s="2" customFormat="1" ht="29.25" customHeight="1">
      <c r="B20" s="67">
        <v>1</v>
      </c>
      <c r="C20" s="264" t="s">
        <v>116</v>
      </c>
      <c r="D20" s="264"/>
      <c r="E20" s="264"/>
      <c r="F20" s="51" t="s">
        <v>1227</v>
      </c>
      <c r="G20" s="68"/>
      <c r="M20" s="263"/>
      <c r="N20" s="263"/>
    </row>
    <row r="21" spans="2:14" s="2" customFormat="1" ht="29.25" customHeight="1">
      <c r="B21" s="67">
        <v>2</v>
      </c>
      <c r="C21" s="264" t="s">
        <v>117</v>
      </c>
      <c r="D21" s="264"/>
      <c r="E21" s="264"/>
      <c r="F21" s="52"/>
      <c r="G21" s="68"/>
      <c r="M21" s="263"/>
      <c r="N21" s="263"/>
    </row>
    <row r="22" spans="2:14" s="2" customFormat="1" ht="29.25" customHeight="1">
      <c r="G22" s="68"/>
      <c r="M22" s="263"/>
      <c r="N22" s="263"/>
    </row>
    <row r="23" spans="2:14" s="2" customFormat="1" ht="43.5" customHeight="1">
      <c r="B23" s="201" t="s">
        <v>118</v>
      </c>
      <c r="C23" s="169" t="s">
        <v>1146</v>
      </c>
      <c r="D23" s="169"/>
      <c r="E23" s="169"/>
      <c r="F23" s="169"/>
      <c r="G23" s="29" t="s">
        <v>119</v>
      </c>
      <c r="H23" s="29" t="s">
        <v>119</v>
      </c>
      <c r="I23" s="29" t="s">
        <v>119</v>
      </c>
      <c r="L23" s="69"/>
      <c r="M23" s="69"/>
    </row>
    <row r="24" spans="2:14" s="2" customFormat="1" ht="29.25" customHeight="1">
      <c r="B24" s="201"/>
      <c r="C24" s="29" t="s">
        <v>104</v>
      </c>
      <c r="D24" s="29" t="s">
        <v>105</v>
      </c>
      <c r="E24" s="29" t="s">
        <v>106</v>
      </c>
      <c r="F24" s="37" t="s">
        <v>107</v>
      </c>
      <c r="G24" s="29">
        <v>2024</v>
      </c>
      <c r="H24" s="29">
        <v>2025</v>
      </c>
      <c r="I24" s="29">
        <v>2026</v>
      </c>
      <c r="L24" s="69"/>
      <c r="M24" s="69"/>
    </row>
    <row r="25" spans="2:14" s="2" customFormat="1" ht="33.75" customHeight="1">
      <c r="B25" s="201"/>
      <c r="C25" s="62">
        <v>24</v>
      </c>
      <c r="D25" s="63" t="s">
        <v>108</v>
      </c>
      <c r="E25" s="63" t="s">
        <v>109</v>
      </c>
      <c r="F25" s="63" t="s">
        <v>90</v>
      </c>
      <c r="G25" s="53">
        <v>36000</v>
      </c>
      <c r="H25" s="53">
        <v>39060</v>
      </c>
      <c r="I25" s="53">
        <v>41637.96</v>
      </c>
      <c r="M25" s="69"/>
    </row>
    <row r="26" spans="2:14" s="2" customFormat="1" ht="33.75" customHeight="1">
      <c r="B26" s="201"/>
      <c r="C26" s="62">
        <v>24</v>
      </c>
      <c r="D26" s="63" t="s">
        <v>108</v>
      </c>
      <c r="E26" s="63" t="s">
        <v>109</v>
      </c>
      <c r="F26" s="63" t="s">
        <v>92</v>
      </c>
      <c r="G26" s="53">
        <v>36000</v>
      </c>
      <c r="H26" s="53">
        <v>39060</v>
      </c>
      <c r="I26" s="53">
        <v>41637.96</v>
      </c>
      <c r="M26" s="69"/>
    </row>
    <row r="27" spans="2:14" s="2" customFormat="1" ht="33.75" customHeight="1">
      <c r="B27" s="201"/>
      <c r="C27" s="62">
        <v>24</v>
      </c>
      <c r="D27" s="63" t="s">
        <v>1143</v>
      </c>
      <c r="E27" s="63" t="s">
        <v>109</v>
      </c>
      <c r="F27" s="63" t="s">
        <v>92</v>
      </c>
      <c r="G27" s="53">
        <v>36000</v>
      </c>
      <c r="H27" s="53">
        <v>39060</v>
      </c>
      <c r="I27" s="53">
        <v>41637.96</v>
      </c>
      <c r="M27" s="69"/>
    </row>
    <row r="28" spans="2:14" s="2" customFormat="1" ht="33.75" customHeight="1">
      <c r="B28" s="201"/>
      <c r="C28" s="62">
        <v>12</v>
      </c>
      <c r="D28" s="63" t="s">
        <v>110</v>
      </c>
      <c r="E28" s="63" t="s">
        <v>111</v>
      </c>
      <c r="F28" s="63" t="s">
        <v>1144</v>
      </c>
      <c r="G28" s="53">
        <v>24000</v>
      </c>
      <c r="H28" s="53">
        <v>26040</v>
      </c>
      <c r="I28" s="53">
        <v>27758.640000000003</v>
      </c>
      <c r="M28" s="69"/>
    </row>
    <row r="29" spans="2:14" s="2" customFormat="1" ht="33.75" customHeight="1">
      <c r="B29" s="201"/>
      <c r="C29" s="62">
        <v>12</v>
      </c>
      <c r="D29" s="63" t="s">
        <v>110</v>
      </c>
      <c r="E29" s="66" t="s">
        <v>1190</v>
      </c>
      <c r="F29" s="63" t="s">
        <v>90</v>
      </c>
      <c r="G29" s="53">
        <v>24000</v>
      </c>
      <c r="H29" s="53">
        <v>26040</v>
      </c>
      <c r="I29" s="53">
        <v>27758.640000000003</v>
      </c>
      <c r="M29" s="69"/>
    </row>
    <row r="30" spans="2:14" s="2" customFormat="1" ht="33.75" customHeight="1">
      <c r="B30" s="201"/>
      <c r="C30" s="62">
        <v>12</v>
      </c>
      <c r="D30" s="63" t="s">
        <v>108</v>
      </c>
      <c r="E30" s="63" t="s">
        <v>111</v>
      </c>
      <c r="F30" s="63" t="s">
        <v>90</v>
      </c>
      <c r="G30" s="53">
        <v>24000</v>
      </c>
      <c r="H30" s="53">
        <v>26040</v>
      </c>
      <c r="I30" s="53">
        <v>27758.640000000003</v>
      </c>
      <c r="M30" s="69"/>
    </row>
    <row r="31" spans="2:14" s="2" customFormat="1" ht="29.25" customHeight="1">
      <c r="G31" s="98">
        <f>SUM(G25:G30)</f>
        <v>180000</v>
      </c>
      <c r="H31" s="98">
        <f>SUM(H25:H30)</f>
        <v>195300</v>
      </c>
      <c r="I31" s="98">
        <f>SUM(I25:I30)</f>
        <v>208189.80000000005</v>
      </c>
      <c r="M31" s="69"/>
      <c r="N31" s="69"/>
    </row>
    <row r="32" spans="2:14" s="2" customFormat="1" ht="29.25" customHeight="1">
      <c r="B32" s="200" t="s">
        <v>120</v>
      </c>
      <c r="C32" s="200"/>
      <c r="D32" s="200"/>
      <c r="E32" s="200"/>
      <c r="F32" s="200"/>
      <c r="G32" s="200"/>
      <c r="H32" s="200"/>
      <c r="I32" s="200"/>
      <c r="J32" s="200"/>
      <c r="K32" s="200"/>
      <c r="L32" s="200"/>
      <c r="M32" s="200"/>
      <c r="N32" s="69"/>
    </row>
    <row r="33" spans="1:22" s="2" customFormat="1" ht="6.75" customHeight="1">
      <c r="A33" s="70"/>
      <c r="B33" s="70"/>
      <c r="C33" s="70"/>
      <c r="D33" s="70"/>
      <c r="E33" s="70"/>
      <c r="F33" s="70"/>
      <c r="G33" s="70"/>
      <c r="H33" s="70"/>
      <c r="I33" s="70"/>
      <c r="J33" s="70"/>
      <c r="K33" s="70"/>
      <c r="L33" s="70"/>
      <c r="M33" s="70"/>
      <c r="N33" s="69"/>
    </row>
    <row r="34" spans="1:22" s="2" customFormat="1" ht="46.5" customHeight="1">
      <c r="A34" s="70"/>
      <c r="B34" s="70"/>
      <c r="C34" s="70"/>
      <c r="D34" s="70"/>
      <c r="E34" s="70"/>
      <c r="F34" s="68"/>
      <c r="G34" s="68"/>
      <c r="H34" s="67" t="s">
        <v>1198</v>
      </c>
      <c r="I34" s="59" t="s">
        <v>1210</v>
      </c>
      <c r="J34" s="59" t="s">
        <v>1205</v>
      </c>
      <c r="K34" s="59" t="s">
        <v>1206</v>
      </c>
      <c r="L34" s="59" t="s">
        <v>1207</v>
      </c>
      <c r="M34" s="59" t="s">
        <v>1208</v>
      </c>
    </row>
    <row r="35" spans="1:22" s="2" customFormat="1" ht="29.25" customHeight="1">
      <c r="F35" s="202" t="s">
        <v>122</v>
      </c>
      <c r="G35" s="203"/>
      <c r="H35" s="71">
        <f>SUM(I35:M35)</f>
        <v>25</v>
      </c>
      <c r="I35" s="72">
        <v>1</v>
      </c>
      <c r="J35" s="80">
        <v>6.5</v>
      </c>
      <c r="K35" s="80">
        <v>5.5</v>
      </c>
      <c r="L35" s="80">
        <v>6.5</v>
      </c>
      <c r="M35" s="80">
        <v>5.5</v>
      </c>
    </row>
    <row r="36" spans="1:22" s="2" customFormat="1" ht="29.25" customHeight="1">
      <c r="B36" s="70"/>
      <c r="C36" s="70"/>
      <c r="D36" s="70"/>
      <c r="E36" s="70"/>
      <c r="F36" s="202" t="s">
        <v>1191</v>
      </c>
      <c r="G36" s="203"/>
      <c r="H36" s="38" t="s">
        <v>1211</v>
      </c>
      <c r="I36" s="38">
        <f>'[26]RESUMEN CIRCULAR_DECRETO'!N26</f>
        <v>1300000</v>
      </c>
      <c r="J36" s="38">
        <f>'[26]RESUMEN CIRCULAR_DECRETO'!N27</f>
        <v>1410500</v>
      </c>
      <c r="K36" s="38">
        <f>'[26]RESUMEN CIRCULAR_DECRETO'!N27</f>
        <v>1410500</v>
      </c>
      <c r="L36" s="38">
        <f>'[26]RESUMEN CIRCULAR_DECRETO'!N28</f>
        <v>1504157.2</v>
      </c>
      <c r="M36" s="38">
        <f>'[26]RESUMEN CIRCULAR_DECRETO'!N28</f>
        <v>1504157.2</v>
      </c>
    </row>
    <row r="37" spans="1:22" s="2" customFormat="1" ht="29.25" customHeight="1">
      <c r="B37" s="70"/>
      <c r="C37" s="70"/>
      <c r="D37" s="70"/>
      <c r="E37" s="70"/>
      <c r="F37" s="83"/>
      <c r="G37" s="83"/>
      <c r="H37" s="84"/>
      <c r="I37" s="84"/>
      <c r="J37" s="84"/>
      <c r="K37" s="84"/>
      <c r="L37" s="82"/>
      <c r="M37" s="82"/>
    </row>
    <row r="38" spans="1:22" s="2" customFormat="1" ht="24" customHeight="1">
      <c r="B38" s="200" t="s">
        <v>1192</v>
      </c>
      <c r="C38" s="200"/>
      <c r="D38" s="200"/>
      <c r="E38" s="200"/>
      <c r="F38" s="200"/>
      <c r="G38" s="200"/>
      <c r="H38" s="200"/>
      <c r="I38" s="200"/>
      <c r="J38" s="200"/>
      <c r="K38" s="200"/>
      <c r="L38" s="200"/>
      <c r="M38" s="200"/>
      <c r="N38" s="200"/>
      <c r="O38" s="200"/>
      <c r="P38" s="200"/>
      <c r="Q38" s="200"/>
      <c r="R38" s="200"/>
      <c r="S38" s="200"/>
      <c r="T38" s="200"/>
      <c r="U38" s="200"/>
      <c r="V38" s="200"/>
    </row>
    <row r="39" spans="1:22" s="2" customFormat="1" ht="11.25" customHeight="1">
      <c r="M39" s="69"/>
      <c r="N39" s="69"/>
    </row>
    <row r="40" spans="1:22" s="2" customFormat="1" ht="9.75" customHeight="1">
      <c r="C40" s="4"/>
      <c r="D40" s="4"/>
      <c r="E40" s="4"/>
      <c r="F40" s="4"/>
    </row>
    <row r="41" spans="1:22" s="2" customFormat="1" ht="26.25" customHeight="1">
      <c r="B41" s="200" t="s">
        <v>1148</v>
      </c>
      <c r="C41" s="200"/>
      <c r="D41" s="200"/>
      <c r="E41" s="200"/>
      <c r="F41" s="200"/>
      <c r="G41" s="200"/>
      <c r="H41" s="200"/>
      <c r="I41" s="200"/>
      <c r="J41" s="200"/>
      <c r="K41" s="200"/>
      <c r="L41" s="200"/>
      <c r="M41" s="200"/>
      <c r="N41" s="200"/>
      <c r="O41" s="200"/>
      <c r="P41" s="200"/>
      <c r="Q41" s="200"/>
      <c r="R41" s="200"/>
      <c r="S41" s="200"/>
      <c r="T41" s="200"/>
      <c r="U41" s="200"/>
      <c r="V41" s="200"/>
    </row>
    <row r="42" spans="1:22" s="2" customFormat="1" ht="12.5">
      <c r="C42" s="4"/>
      <c r="D42" s="4"/>
      <c r="E42" s="4"/>
      <c r="F42" s="4"/>
      <c r="G42" s="4"/>
      <c r="H42" s="4"/>
    </row>
    <row r="43" spans="1:22" s="2" customFormat="1" ht="70.5" customHeight="1">
      <c r="B43" s="169" t="s">
        <v>123</v>
      </c>
      <c r="C43" s="169"/>
      <c r="D43" s="169"/>
      <c r="E43" s="169"/>
      <c r="F43" s="169" t="s">
        <v>1196</v>
      </c>
      <c r="G43" s="169"/>
      <c r="H43" s="169"/>
      <c r="I43" s="169"/>
      <c r="J43" s="169"/>
      <c r="K43" s="169"/>
      <c r="L43" s="261" t="s">
        <v>1204</v>
      </c>
      <c r="M43" s="262"/>
      <c r="N43" s="261" t="s">
        <v>1205</v>
      </c>
      <c r="O43" s="262"/>
      <c r="P43" s="261" t="s">
        <v>1206</v>
      </c>
      <c r="Q43" s="262"/>
      <c r="R43" s="261" t="s">
        <v>1207</v>
      </c>
      <c r="S43" s="262"/>
      <c r="T43" s="261" t="s">
        <v>1208</v>
      </c>
      <c r="U43" s="262"/>
      <c r="V43" s="29" t="s">
        <v>1198</v>
      </c>
    </row>
    <row r="44" spans="1:22" s="2" customFormat="1" ht="71.25" customHeight="1">
      <c r="B44" s="29" t="s">
        <v>104</v>
      </c>
      <c r="C44" s="29" t="s">
        <v>105</v>
      </c>
      <c r="D44" s="29" t="s">
        <v>106</v>
      </c>
      <c r="E44" s="29" t="s">
        <v>107</v>
      </c>
      <c r="F44" s="29" t="s">
        <v>124</v>
      </c>
      <c r="G44" s="29" t="s">
        <v>1209</v>
      </c>
      <c r="H44" s="29" t="s">
        <v>1199</v>
      </c>
      <c r="I44" s="29" t="s">
        <v>1200</v>
      </c>
      <c r="J44" s="29" t="s">
        <v>1201</v>
      </c>
      <c r="K44" s="29" t="s">
        <v>1202</v>
      </c>
      <c r="L44" s="73" t="s">
        <v>1180</v>
      </c>
      <c r="M44" s="58" t="s">
        <v>1181</v>
      </c>
      <c r="N44" s="73" t="s">
        <v>1182</v>
      </c>
      <c r="O44" s="58" t="s">
        <v>1183</v>
      </c>
      <c r="P44" s="73" t="s">
        <v>1182</v>
      </c>
      <c r="Q44" s="58" t="s">
        <v>1183</v>
      </c>
      <c r="R44" s="73" t="s">
        <v>1182</v>
      </c>
      <c r="S44" s="58" t="s">
        <v>1183</v>
      </c>
      <c r="T44" s="73" t="s">
        <v>1182</v>
      </c>
      <c r="U44" s="58" t="s">
        <v>1183</v>
      </c>
      <c r="V44" s="29" t="s">
        <v>1213</v>
      </c>
    </row>
    <row r="45" spans="1:22" s="2" customFormat="1" ht="30.75" customHeight="1">
      <c r="B45" s="62">
        <v>24</v>
      </c>
      <c r="C45" s="63" t="s">
        <v>108</v>
      </c>
      <c r="D45" s="63" t="s">
        <v>109</v>
      </c>
      <c r="E45" s="63" t="s">
        <v>90</v>
      </c>
      <c r="F45" s="59">
        <v>5</v>
      </c>
      <c r="G45" s="38">
        <f>IF(F45=0,"No se requiere",'[26]RESUMEN CIRCULAR_DECRETO'!H33)</f>
        <v>12871440</v>
      </c>
      <c r="H45" s="38">
        <f>IF(F45=0,"No se requiere",'[26]RESUMEN CIRCULAR_DECRETO'!K33)</f>
        <v>13965512</v>
      </c>
      <c r="I45" s="38">
        <f>IF(G45=0,"No se requiere",'[26]RESUMEN CIRCULAR_DECRETO'!N33)</f>
        <v>14194013</v>
      </c>
      <c r="J45" s="38">
        <f>IF(H45=0,"No se requiere",'[26]RESUMEN CIRCULAR_DECRETO'!Q33)</f>
        <v>15136478.960000001</v>
      </c>
      <c r="K45" s="38">
        <f>IF(I45=0,"No se requiere",'[26]RESUMEN CIRCULAR_DECRETO'!T33)</f>
        <v>15185213.960000001</v>
      </c>
      <c r="L45" s="39">
        <f t="shared" ref="L45:L50" si="0">G45*F45</f>
        <v>64357200</v>
      </c>
      <c r="M45" s="39">
        <f>ROUND(L45*$I$35,0)</f>
        <v>64357200</v>
      </c>
      <c r="N45" s="39">
        <f t="shared" ref="N45:N50" si="1">H45*F45</f>
        <v>69827560</v>
      </c>
      <c r="O45" s="39">
        <f>ROUND(N45*$J$35,0)</f>
        <v>453879140</v>
      </c>
      <c r="P45" s="39">
        <f>I45*F45</f>
        <v>70970065</v>
      </c>
      <c r="Q45" s="39">
        <f>ROUND(P45*$K$35,0)</f>
        <v>390335358</v>
      </c>
      <c r="R45" s="39">
        <f>J45*F45</f>
        <v>75682394.800000012</v>
      </c>
      <c r="S45" s="39">
        <f>ROUND(R45*$L$35,0)</f>
        <v>491935566</v>
      </c>
      <c r="T45" s="39">
        <f>K45*F45</f>
        <v>75926069.800000012</v>
      </c>
      <c r="U45" s="39">
        <f>ROUND(T45*$M$35,0)</f>
        <v>417593384</v>
      </c>
      <c r="V45" s="81">
        <f>O45+M45+Q45+S45+U45</f>
        <v>1818100648</v>
      </c>
    </row>
    <row r="46" spans="1:22" s="2" customFormat="1" ht="30.75" customHeight="1">
      <c r="B46" s="62">
        <v>24</v>
      </c>
      <c r="C46" s="63" t="s">
        <v>108</v>
      </c>
      <c r="D46" s="63" t="s">
        <v>109</v>
      </c>
      <c r="E46" s="63" t="s">
        <v>92</v>
      </c>
      <c r="F46" s="59">
        <v>11</v>
      </c>
      <c r="G46" s="38">
        <f>IF(F46=0,"No se requiere",'[26]RESUMEN CIRCULAR_DECRETO'!H34)</f>
        <v>13109800</v>
      </c>
      <c r="H46" s="38">
        <f>IF(F46=0,"No se requiere",'[26]RESUMEN CIRCULAR_DECRETO'!K34)</f>
        <v>14224133</v>
      </c>
      <c r="I46" s="38">
        <f>IF(G46=0,"No se requiere",'[26]RESUMEN CIRCULAR_DECRETO'!N34)</f>
        <v>14456866</v>
      </c>
      <c r="J46" s="38">
        <f>IF(H46=0,"No se requiere",'[26]RESUMEN CIRCULAR_DECRETO'!Q34)</f>
        <v>15416783.960000001</v>
      </c>
      <c r="K46" s="38">
        <f>IF(I46=0,"No se requiere",'[26]RESUMEN CIRCULAR_DECRETO'!T34)</f>
        <v>15466420.960000001</v>
      </c>
      <c r="L46" s="39">
        <f t="shared" si="0"/>
        <v>144207800</v>
      </c>
      <c r="M46" s="39">
        <f t="shared" ref="M46:M50" si="2">ROUND(L46*$I$35,0)</f>
        <v>144207800</v>
      </c>
      <c r="N46" s="39">
        <f t="shared" si="1"/>
        <v>156465463</v>
      </c>
      <c r="O46" s="39">
        <f t="shared" ref="O46:O50" si="3">ROUND(N46*$J$35,0)</f>
        <v>1017025510</v>
      </c>
      <c r="P46" s="39">
        <f t="shared" ref="P46:P50" si="4">I46*F46</f>
        <v>159025526</v>
      </c>
      <c r="Q46" s="39">
        <f t="shared" ref="Q46:Q50" si="5">ROUND(P46*$K$35,0)</f>
        <v>874640393</v>
      </c>
      <c r="R46" s="39">
        <f t="shared" ref="R46:R50" si="6">J46*F46</f>
        <v>169584623.56</v>
      </c>
      <c r="S46" s="39">
        <f t="shared" ref="S46:S50" si="7">ROUND(R46*$L$35,0)</f>
        <v>1102300053</v>
      </c>
      <c r="T46" s="39">
        <f t="shared" ref="T46:T50" si="8">K46*F46</f>
        <v>170130630.56</v>
      </c>
      <c r="U46" s="39">
        <f t="shared" ref="U46:U50" si="9">ROUND(T46*$M$35,0)</f>
        <v>935718468</v>
      </c>
      <c r="V46" s="81">
        <f t="shared" ref="V46:V50" si="10">O46+M46+Q46+S46+U46</f>
        <v>4073892224</v>
      </c>
    </row>
    <row r="47" spans="1:22" s="2" customFormat="1" ht="30.75" customHeight="1">
      <c r="B47" s="62">
        <v>24</v>
      </c>
      <c r="C47" s="63" t="s">
        <v>1143</v>
      </c>
      <c r="D47" s="63" t="s">
        <v>109</v>
      </c>
      <c r="E47" s="63" t="s">
        <v>92</v>
      </c>
      <c r="F47" s="59">
        <v>1</v>
      </c>
      <c r="G47" s="38">
        <f>IF(F47=0,"No se requiere",'[26]RESUMEN CIRCULAR_DECRETO'!H35)</f>
        <v>4396334</v>
      </c>
      <c r="H47" s="38">
        <f>IF(F47=0,"No se requiere",'[26]RESUMEN CIRCULAR_DECRETO'!K35)</f>
        <v>4770021</v>
      </c>
      <c r="I47" s="38">
        <f>IF(G47=0,"No se requiere",'[26]RESUMEN CIRCULAR_DECRETO'!N35)</f>
        <v>4847599</v>
      </c>
      <c r="J47" s="38">
        <f>IF(H47=0,"No se requiere",'[26]RESUMEN CIRCULAR_DECRETO'!Q35)</f>
        <v>5169461.96</v>
      </c>
      <c r="K47" s="38">
        <f>IF(I47=0,"No se requiere",'[26]RESUMEN CIRCULAR_DECRETO'!T35)</f>
        <v>5186007.96</v>
      </c>
      <c r="L47" s="39">
        <f t="shared" si="0"/>
        <v>4396334</v>
      </c>
      <c r="M47" s="39">
        <f t="shared" si="2"/>
        <v>4396334</v>
      </c>
      <c r="N47" s="39">
        <f t="shared" si="1"/>
        <v>4770021</v>
      </c>
      <c r="O47" s="39">
        <f t="shared" si="3"/>
        <v>31005137</v>
      </c>
      <c r="P47" s="39">
        <f t="shared" si="4"/>
        <v>4847599</v>
      </c>
      <c r="Q47" s="39">
        <f t="shared" si="5"/>
        <v>26661795</v>
      </c>
      <c r="R47" s="39">
        <f t="shared" si="6"/>
        <v>5169461.96</v>
      </c>
      <c r="S47" s="39">
        <f t="shared" si="7"/>
        <v>33601503</v>
      </c>
      <c r="T47" s="39">
        <f t="shared" si="8"/>
        <v>5186007.96</v>
      </c>
      <c r="U47" s="39">
        <f t="shared" si="9"/>
        <v>28523044</v>
      </c>
      <c r="V47" s="81">
        <f t="shared" si="10"/>
        <v>124187813</v>
      </c>
    </row>
    <row r="48" spans="1:22" s="2" customFormat="1" ht="30.75" customHeight="1">
      <c r="B48" s="62">
        <v>12</v>
      </c>
      <c r="C48" s="63" t="s">
        <v>110</v>
      </c>
      <c r="D48" s="63" t="s">
        <v>111</v>
      </c>
      <c r="E48" s="63" t="s">
        <v>1144</v>
      </c>
      <c r="F48" s="59">
        <v>1</v>
      </c>
      <c r="G48" s="38">
        <f>IF(F48=0,"No se requiere",'[26]RESUMEN CIRCULAR_DECRETO'!H36)</f>
        <v>3927942</v>
      </c>
      <c r="H48" s="38">
        <f>IF(F48=0,"No se requiere",'[26]RESUMEN CIRCULAR_DECRETO'!K36)</f>
        <v>4261817</v>
      </c>
      <c r="I48" s="38">
        <f>IF(G48=0,"No se requiere",'[26]RESUMEN CIRCULAR_DECRETO'!N36)</f>
        <v>4331290</v>
      </c>
      <c r="J48" s="38">
        <f>IF(H48=0,"No se requiere",'[26]RESUMEN CIRCULAR_DECRETO'!Q36)</f>
        <v>4618875.6399999997</v>
      </c>
      <c r="K48" s="38">
        <f>IF(I48=0,"No se requiere",'[26]RESUMEN CIRCULAR_DECRETO'!T36)</f>
        <v>4633692.6399999997</v>
      </c>
      <c r="L48" s="39">
        <f t="shared" si="0"/>
        <v>3927942</v>
      </c>
      <c r="M48" s="39">
        <f t="shared" si="2"/>
        <v>3927942</v>
      </c>
      <c r="N48" s="39">
        <f t="shared" si="1"/>
        <v>4261817</v>
      </c>
      <c r="O48" s="39">
        <f t="shared" si="3"/>
        <v>27701811</v>
      </c>
      <c r="P48" s="39">
        <f t="shared" si="4"/>
        <v>4331290</v>
      </c>
      <c r="Q48" s="39">
        <f t="shared" si="5"/>
        <v>23822095</v>
      </c>
      <c r="R48" s="39">
        <f t="shared" si="6"/>
        <v>4618875.6399999997</v>
      </c>
      <c r="S48" s="39">
        <f t="shared" si="7"/>
        <v>30022692</v>
      </c>
      <c r="T48" s="39">
        <f t="shared" si="8"/>
        <v>4633692.6399999997</v>
      </c>
      <c r="U48" s="39">
        <f t="shared" si="9"/>
        <v>25485310</v>
      </c>
      <c r="V48" s="81">
        <f t="shared" si="10"/>
        <v>110959850</v>
      </c>
    </row>
    <row r="49" spans="2:22" s="2" customFormat="1" ht="30.75" customHeight="1">
      <c r="B49" s="62">
        <v>12</v>
      </c>
      <c r="C49" s="63" t="s">
        <v>110</v>
      </c>
      <c r="D49" s="66" t="s">
        <v>1190</v>
      </c>
      <c r="E49" s="63" t="s">
        <v>90</v>
      </c>
      <c r="F49" s="59">
        <v>1</v>
      </c>
      <c r="G49" s="38">
        <f>IF(F49=0,"No se requiere",'[26]RESUMEN CIRCULAR_DECRETO'!H37)</f>
        <v>4750355</v>
      </c>
      <c r="H49" s="38">
        <f>IF(F49=0,"No se requiere",'[26]RESUMEN CIRCULAR_DECRETO'!K37)</f>
        <v>5154136</v>
      </c>
      <c r="I49" s="38">
        <f>IF(G49=0,"No se requiere",'[26]RESUMEN CIRCULAR_DECRETO'!N37)</f>
        <v>5238260</v>
      </c>
      <c r="J49" s="38">
        <f>IF(H49=0,"No se requiere",'[26]RESUMEN CIRCULAR_DECRETO'!Q37)</f>
        <v>5586069.6399999997</v>
      </c>
      <c r="K49" s="38">
        <f>IF(I49=0,"No se requiere",'[26]RESUMEN CIRCULAR_DECRETO'!T37)</f>
        <v>5604011.6399999997</v>
      </c>
      <c r="L49" s="39">
        <f t="shared" si="0"/>
        <v>4750355</v>
      </c>
      <c r="M49" s="39">
        <f t="shared" si="2"/>
        <v>4750355</v>
      </c>
      <c r="N49" s="39">
        <f t="shared" si="1"/>
        <v>5154136</v>
      </c>
      <c r="O49" s="39">
        <f t="shared" si="3"/>
        <v>33501884</v>
      </c>
      <c r="P49" s="39">
        <f t="shared" si="4"/>
        <v>5238260</v>
      </c>
      <c r="Q49" s="39">
        <f t="shared" si="5"/>
        <v>28810430</v>
      </c>
      <c r="R49" s="39">
        <f t="shared" si="6"/>
        <v>5586069.6399999997</v>
      </c>
      <c r="S49" s="39">
        <f t="shared" si="7"/>
        <v>36309453</v>
      </c>
      <c r="T49" s="39">
        <f t="shared" si="8"/>
        <v>5604011.6399999997</v>
      </c>
      <c r="U49" s="39">
        <f t="shared" si="9"/>
        <v>30822064</v>
      </c>
      <c r="V49" s="81">
        <f t="shared" si="10"/>
        <v>134194186</v>
      </c>
    </row>
    <row r="50" spans="2:22" s="2" customFormat="1" ht="30.75" customHeight="1">
      <c r="B50" s="62">
        <v>12</v>
      </c>
      <c r="C50" s="63" t="s">
        <v>108</v>
      </c>
      <c r="D50" s="63" t="s">
        <v>111</v>
      </c>
      <c r="E50" s="63" t="s">
        <v>90</v>
      </c>
      <c r="F50" s="59">
        <v>1</v>
      </c>
      <c r="G50" s="38">
        <f>IF(F50=0,"No se requiere",'[26]RESUMEN CIRCULAR_DECRETO'!H38)</f>
        <v>5771827</v>
      </c>
      <c r="H50" s="38">
        <f>IF(F50=0,"No se requiere",'[26]RESUMEN CIRCULAR_DECRETO'!K38)</f>
        <v>6262432</v>
      </c>
      <c r="I50" s="38">
        <f>IF(G50=0,"No se requiere",'[26]RESUMEN CIRCULAR_DECRETO'!N38)</f>
        <v>6364746</v>
      </c>
      <c r="J50" s="38">
        <f>IF(H50=0,"No se requiere",'[26]RESUMEN CIRCULAR_DECRETO'!Q38)</f>
        <v>6787353.6399999997</v>
      </c>
      <c r="K50" s="38">
        <f>IF(I50=0,"No se requiere",'[26]RESUMEN CIRCULAR_DECRETO'!T38)</f>
        <v>6809174.6399999997</v>
      </c>
      <c r="L50" s="39">
        <f t="shared" si="0"/>
        <v>5771827</v>
      </c>
      <c r="M50" s="39">
        <f t="shared" si="2"/>
        <v>5771827</v>
      </c>
      <c r="N50" s="39">
        <f t="shared" si="1"/>
        <v>6262432</v>
      </c>
      <c r="O50" s="39">
        <f t="shared" si="3"/>
        <v>40705808</v>
      </c>
      <c r="P50" s="39">
        <f t="shared" si="4"/>
        <v>6364746</v>
      </c>
      <c r="Q50" s="39">
        <f t="shared" si="5"/>
        <v>35006103</v>
      </c>
      <c r="R50" s="39">
        <f t="shared" si="6"/>
        <v>6787353.6399999997</v>
      </c>
      <c r="S50" s="39">
        <f t="shared" si="7"/>
        <v>44117799</v>
      </c>
      <c r="T50" s="39">
        <f t="shared" si="8"/>
        <v>6809174.6399999997</v>
      </c>
      <c r="U50" s="39">
        <f t="shared" si="9"/>
        <v>37450461</v>
      </c>
      <c r="V50" s="81">
        <f t="shared" si="10"/>
        <v>163051998</v>
      </c>
    </row>
    <row r="51" spans="2:22" s="2" customFormat="1" ht="27" customHeight="1">
      <c r="B51" s="201" t="s">
        <v>1212</v>
      </c>
      <c r="C51" s="201"/>
      <c r="D51" s="201"/>
      <c r="E51" s="201"/>
      <c r="F51" s="201"/>
      <c r="G51" s="201"/>
      <c r="H51" s="201"/>
      <c r="I51" s="201"/>
      <c r="J51" s="201"/>
      <c r="K51" s="201"/>
      <c r="L51" s="201"/>
      <c r="M51" s="201"/>
      <c r="N51" s="201"/>
      <c r="O51" s="201"/>
      <c r="P51" s="201"/>
      <c r="Q51" s="201"/>
      <c r="R51" s="201"/>
      <c r="S51" s="201"/>
      <c r="T51" s="201"/>
      <c r="U51" s="201"/>
      <c r="V51" s="81">
        <f>SUM(V45:V50)</f>
        <v>6424386719</v>
      </c>
    </row>
    <row r="52" spans="2:22" s="2" customFormat="1" ht="12.5">
      <c r="C52" s="4"/>
      <c r="D52" s="4"/>
      <c r="E52" s="4"/>
      <c r="F52" s="4"/>
      <c r="G52" s="4"/>
      <c r="H52" s="4"/>
    </row>
    <row r="53" spans="2:22" s="2" customFormat="1" ht="12.5">
      <c r="C53" s="4"/>
      <c r="D53" s="4"/>
      <c r="E53" s="4"/>
      <c r="F53" s="4"/>
      <c r="G53" s="4"/>
      <c r="H53" s="4"/>
    </row>
    <row r="54" spans="2:22" s="2" customFormat="1" ht="27.75" customHeight="1">
      <c r="B54" s="200" t="s">
        <v>1193</v>
      </c>
      <c r="C54" s="200"/>
      <c r="D54" s="200"/>
      <c r="E54" s="200"/>
      <c r="F54" s="200"/>
      <c r="G54" s="200"/>
      <c r="H54" s="200"/>
      <c r="I54" s="200"/>
      <c r="J54" s="200"/>
      <c r="K54" s="200"/>
      <c r="L54" s="200"/>
      <c r="M54" s="200"/>
      <c r="N54" s="200"/>
      <c r="O54" s="200"/>
      <c r="P54" s="200"/>
      <c r="Q54" s="200"/>
      <c r="R54" s="200"/>
      <c r="S54" s="200"/>
      <c r="T54" s="200"/>
      <c r="U54" s="200"/>
      <c r="V54" s="200"/>
    </row>
    <row r="55" spans="2:22" s="2" customFormat="1" ht="12.5">
      <c r="C55" s="4"/>
      <c r="D55" s="4"/>
      <c r="E55" s="4"/>
      <c r="F55" s="4"/>
      <c r="G55" s="4"/>
      <c r="H55" s="4"/>
    </row>
    <row r="56" spans="2:22" s="2" customFormat="1" ht="61.5" customHeight="1">
      <c r="B56" s="169" t="s">
        <v>1194</v>
      </c>
      <c r="C56" s="169"/>
      <c r="D56" s="169"/>
      <c r="E56" s="169"/>
      <c r="F56" s="169" t="s">
        <v>1214</v>
      </c>
      <c r="G56" s="169"/>
      <c r="H56" s="169"/>
      <c r="I56" s="169"/>
      <c r="J56" s="169"/>
      <c r="K56" s="169"/>
      <c r="L56" s="169"/>
      <c r="M56" s="169"/>
      <c r="N56" s="169"/>
      <c r="O56" s="169"/>
      <c r="P56" s="169"/>
    </row>
    <row r="57" spans="2:22" s="2" customFormat="1" ht="60" customHeight="1">
      <c r="B57" s="74" t="s">
        <v>1176</v>
      </c>
      <c r="C57" s="29" t="s">
        <v>1177</v>
      </c>
      <c r="D57" s="173" t="s">
        <v>125</v>
      </c>
      <c r="E57" s="174"/>
      <c r="F57" s="60" t="s">
        <v>124</v>
      </c>
      <c r="G57" s="75" t="s">
        <v>126</v>
      </c>
      <c r="H57" s="75" t="s">
        <v>1215</v>
      </c>
      <c r="I57" s="75" t="s">
        <v>1216</v>
      </c>
      <c r="J57" s="85" t="s">
        <v>1217</v>
      </c>
      <c r="K57" s="85" t="s">
        <v>1218</v>
      </c>
      <c r="L57" s="85" t="s">
        <v>1219</v>
      </c>
      <c r="M57" s="85" t="s">
        <v>1220</v>
      </c>
      <c r="N57" s="85" t="s">
        <v>1221</v>
      </c>
      <c r="O57" s="85" t="s">
        <v>1222</v>
      </c>
      <c r="P57" s="60" t="s">
        <v>1223</v>
      </c>
    </row>
    <row r="58" spans="2:22" s="2" customFormat="1" ht="57.75" customHeight="1">
      <c r="B58" s="59">
        <v>1</v>
      </c>
      <c r="C58" s="67" t="s">
        <v>1149</v>
      </c>
      <c r="D58" s="196" t="s">
        <v>1150</v>
      </c>
      <c r="E58" s="196"/>
      <c r="F58" s="76">
        <v>8</v>
      </c>
      <c r="G58" s="54">
        <v>1113445</v>
      </c>
      <c r="H58" s="54">
        <v>1224789.5</v>
      </c>
      <c r="I58" s="54">
        <v>1347268.4500000002</v>
      </c>
      <c r="J58" s="39">
        <f t="shared" ref="J58:J80" si="11">ROUND(G58*F58,0)</f>
        <v>8907560</v>
      </c>
      <c r="K58" s="39">
        <f>J58*$I$35</f>
        <v>8907560</v>
      </c>
      <c r="L58" s="39">
        <f>ROUND(H58*F58,0)</f>
        <v>9798316</v>
      </c>
      <c r="M58" s="39">
        <f>L58*(SUM($J$35:$K$35))</f>
        <v>117579792</v>
      </c>
      <c r="N58" s="39">
        <f>ROUND(I58*F58,0)</f>
        <v>10778148</v>
      </c>
      <c r="O58" s="39">
        <f>N58*(SUM($L$35:$M$35))</f>
        <v>129337776</v>
      </c>
      <c r="P58" s="81">
        <f>K58+M58+O58</f>
        <v>255825128</v>
      </c>
    </row>
    <row r="59" spans="2:22" s="2" customFormat="1" ht="78" customHeight="1">
      <c r="B59" s="59">
        <v>2</v>
      </c>
      <c r="C59" s="67" t="s">
        <v>1149</v>
      </c>
      <c r="D59" s="196" t="s">
        <v>1151</v>
      </c>
      <c r="E59" s="196" t="s">
        <v>1151</v>
      </c>
      <c r="F59" s="76">
        <v>8</v>
      </c>
      <c r="G59" s="54">
        <v>2857731</v>
      </c>
      <c r="H59" s="54">
        <v>3143504.1</v>
      </c>
      <c r="I59" s="54">
        <v>3457854.5100000002</v>
      </c>
      <c r="J59" s="39">
        <f t="shared" si="11"/>
        <v>22861848</v>
      </c>
      <c r="K59" s="39">
        <f t="shared" ref="K59:K80" si="12">J59*$I$35</f>
        <v>22861848</v>
      </c>
      <c r="L59" s="39">
        <f t="shared" ref="L59:L80" si="13">ROUND(H59*F59,0)</f>
        <v>25148033</v>
      </c>
      <c r="M59" s="39">
        <f t="shared" ref="M59:M80" si="14">L59*(SUM($J$35:$K$35))</f>
        <v>301776396</v>
      </c>
      <c r="N59" s="39">
        <f t="shared" ref="N59:N80" si="15">ROUND(I59*F59,0)</f>
        <v>27662836</v>
      </c>
      <c r="O59" s="39">
        <f t="shared" ref="O59:O80" si="16">N59*(SUM($L$35:$M$35))</f>
        <v>331954032</v>
      </c>
      <c r="P59" s="81">
        <f t="shared" ref="P59:P80" si="17">K59+M59+O59</f>
        <v>656592276</v>
      </c>
    </row>
    <row r="60" spans="2:22" s="2" customFormat="1" ht="78" customHeight="1">
      <c r="B60" s="59">
        <v>3</v>
      </c>
      <c r="C60" s="67" t="s">
        <v>1149</v>
      </c>
      <c r="D60" s="196" t="s">
        <v>1152</v>
      </c>
      <c r="E60" s="196" t="s">
        <v>1152</v>
      </c>
      <c r="F60" s="76">
        <f>36+5</f>
        <v>41</v>
      </c>
      <c r="G60" s="54">
        <v>811697</v>
      </c>
      <c r="H60" s="54">
        <v>892866.70000000007</v>
      </c>
      <c r="I60" s="54">
        <v>982153.37000000011</v>
      </c>
      <c r="J60" s="39">
        <f t="shared" si="11"/>
        <v>33279577</v>
      </c>
      <c r="K60" s="39">
        <f t="shared" si="12"/>
        <v>33279577</v>
      </c>
      <c r="L60" s="39">
        <f t="shared" si="13"/>
        <v>36607535</v>
      </c>
      <c r="M60" s="39">
        <f t="shared" si="14"/>
        <v>439290420</v>
      </c>
      <c r="N60" s="39">
        <f t="shared" si="15"/>
        <v>40268288</v>
      </c>
      <c r="O60" s="39">
        <f t="shared" si="16"/>
        <v>483219456</v>
      </c>
      <c r="P60" s="81">
        <f t="shared" si="17"/>
        <v>955789453</v>
      </c>
    </row>
    <row r="61" spans="2:22" s="2" customFormat="1" ht="78" customHeight="1">
      <c r="B61" s="59">
        <v>4</v>
      </c>
      <c r="C61" s="67" t="s">
        <v>1149</v>
      </c>
      <c r="D61" s="196" t="s">
        <v>1153</v>
      </c>
      <c r="E61" s="196" t="s">
        <v>1153</v>
      </c>
      <c r="F61" s="76">
        <f>70+1</f>
        <v>71</v>
      </c>
      <c r="G61" s="54">
        <v>1527058</v>
      </c>
      <c r="H61" s="54">
        <v>1679763.8</v>
      </c>
      <c r="I61" s="54">
        <v>1847740.1800000002</v>
      </c>
      <c r="J61" s="39">
        <f t="shared" si="11"/>
        <v>108421118</v>
      </c>
      <c r="K61" s="39">
        <f t="shared" si="12"/>
        <v>108421118</v>
      </c>
      <c r="L61" s="39">
        <f t="shared" si="13"/>
        <v>119263230</v>
      </c>
      <c r="M61" s="39">
        <f t="shared" si="14"/>
        <v>1431158760</v>
      </c>
      <c r="N61" s="39">
        <f t="shared" si="15"/>
        <v>131189553</v>
      </c>
      <c r="O61" s="39">
        <f t="shared" si="16"/>
        <v>1574274636</v>
      </c>
      <c r="P61" s="81">
        <f t="shared" si="17"/>
        <v>3113854514</v>
      </c>
    </row>
    <row r="62" spans="2:22" s="2" customFormat="1" ht="78" customHeight="1">
      <c r="B62" s="59">
        <v>5</v>
      </c>
      <c r="C62" s="67" t="s">
        <v>1149</v>
      </c>
      <c r="D62" s="196" t="s">
        <v>1154</v>
      </c>
      <c r="E62" s="196" t="s">
        <v>1154</v>
      </c>
      <c r="F62" s="76">
        <v>4</v>
      </c>
      <c r="G62" s="54">
        <v>2844112</v>
      </c>
      <c r="H62" s="54">
        <v>3128523.2</v>
      </c>
      <c r="I62" s="54">
        <v>3441375.5200000005</v>
      </c>
      <c r="J62" s="39">
        <f t="shared" si="11"/>
        <v>11376448</v>
      </c>
      <c r="K62" s="39">
        <f t="shared" si="12"/>
        <v>11376448</v>
      </c>
      <c r="L62" s="39">
        <f t="shared" si="13"/>
        <v>12514093</v>
      </c>
      <c r="M62" s="39">
        <f t="shared" si="14"/>
        <v>150169116</v>
      </c>
      <c r="N62" s="39">
        <f t="shared" si="15"/>
        <v>13765502</v>
      </c>
      <c r="O62" s="39">
        <f t="shared" si="16"/>
        <v>165186024</v>
      </c>
      <c r="P62" s="81">
        <f t="shared" si="17"/>
        <v>326731588</v>
      </c>
    </row>
    <row r="63" spans="2:22" s="2" customFormat="1" ht="71.25" customHeight="1">
      <c r="B63" s="59">
        <v>6</v>
      </c>
      <c r="C63" s="67" t="s">
        <v>1155</v>
      </c>
      <c r="D63" s="196" t="s">
        <v>1156</v>
      </c>
      <c r="E63" s="196"/>
      <c r="F63" s="76">
        <v>34</v>
      </c>
      <c r="G63" s="54">
        <v>115966</v>
      </c>
      <c r="H63" s="54">
        <v>127562.6</v>
      </c>
      <c r="I63" s="54">
        <v>140318.86000000002</v>
      </c>
      <c r="J63" s="39">
        <f t="shared" si="11"/>
        <v>3942844</v>
      </c>
      <c r="K63" s="39">
        <f t="shared" si="12"/>
        <v>3942844</v>
      </c>
      <c r="L63" s="39">
        <f t="shared" si="13"/>
        <v>4337128</v>
      </c>
      <c r="M63" s="39">
        <f t="shared" si="14"/>
        <v>52045536</v>
      </c>
      <c r="N63" s="39">
        <f t="shared" si="15"/>
        <v>4770841</v>
      </c>
      <c r="O63" s="39">
        <f t="shared" si="16"/>
        <v>57250092</v>
      </c>
      <c r="P63" s="81">
        <f t="shared" si="17"/>
        <v>113238472</v>
      </c>
    </row>
    <row r="64" spans="2:22" s="2" customFormat="1" ht="71.25" customHeight="1">
      <c r="B64" s="59">
        <v>7</v>
      </c>
      <c r="C64" s="67" t="s">
        <v>1155</v>
      </c>
      <c r="D64" s="196" t="s">
        <v>1157</v>
      </c>
      <c r="E64" s="196" t="s">
        <v>127</v>
      </c>
      <c r="F64" s="76">
        <v>8</v>
      </c>
      <c r="G64" s="54">
        <v>1138301</v>
      </c>
      <c r="H64" s="54">
        <v>1252131.1000000001</v>
      </c>
      <c r="I64" s="54">
        <v>1377344.2100000002</v>
      </c>
      <c r="J64" s="39">
        <f t="shared" si="11"/>
        <v>9106408</v>
      </c>
      <c r="K64" s="39">
        <f t="shared" si="12"/>
        <v>9106408</v>
      </c>
      <c r="L64" s="39">
        <f t="shared" si="13"/>
        <v>10017049</v>
      </c>
      <c r="M64" s="39">
        <f t="shared" si="14"/>
        <v>120204588</v>
      </c>
      <c r="N64" s="39">
        <f t="shared" si="15"/>
        <v>11018754</v>
      </c>
      <c r="O64" s="39">
        <f t="shared" si="16"/>
        <v>132225048</v>
      </c>
      <c r="P64" s="81">
        <f t="shared" si="17"/>
        <v>261536044</v>
      </c>
    </row>
    <row r="65" spans="2:16" s="2" customFormat="1" ht="71.25" customHeight="1">
      <c r="B65" s="59">
        <v>8</v>
      </c>
      <c r="C65" s="67" t="s">
        <v>1155</v>
      </c>
      <c r="D65" s="196" t="s">
        <v>1158</v>
      </c>
      <c r="E65" s="196" t="s">
        <v>128</v>
      </c>
      <c r="F65" s="76">
        <v>7</v>
      </c>
      <c r="G65" s="54">
        <v>296470</v>
      </c>
      <c r="H65" s="54">
        <v>326117</v>
      </c>
      <c r="I65" s="54">
        <v>358728.7</v>
      </c>
      <c r="J65" s="39">
        <f t="shared" si="11"/>
        <v>2075290</v>
      </c>
      <c r="K65" s="39">
        <f t="shared" si="12"/>
        <v>2075290</v>
      </c>
      <c r="L65" s="39">
        <f t="shared" si="13"/>
        <v>2282819</v>
      </c>
      <c r="M65" s="39">
        <f t="shared" si="14"/>
        <v>27393828</v>
      </c>
      <c r="N65" s="39">
        <f t="shared" si="15"/>
        <v>2511101</v>
      </c>
      <c r="O65" s="39">
        <f t="shared" si="16"/>
        <v>30133212</v>
      </c>
      <c r="P65" s="81">
        <f t="shared" si="17"/>
        <v>59602330</v>
      </c>
    </row>
    <row r="66" spans="2:16" s="2" customFormat="1" ht="71.25" customHeight="1">
      <c r="B66" s="59">
        <v>9</v>
      </c>
      <c r="C66" s="67" t="s">
        <v>1155</v>
      </c>
      <c r="D66" s="196" t="s">
        <v>1159</v>
      </c>
      <c r="E66" s="196" t="s">
        <v>1178</v>
      </c>
      <c r="F66" s="76">
        <v>9</v>
      </c>
      <c r="G66" s="54">
        <v>327311</v>
      </c>
      <c r="H66" s="54">
        <v>360042.10000000003</v>
      </c>
      <c r="I66" s="54">
        <v>396046.31000000006</v>
      </c>
      <c r="J66" s="39">
        <f t="shared" si="11"/>
        <v>2945799</v>
      </c>
      <c r="K66" s="39">
        <f t="shared" si="12"/>
        <v>2945799</v>
      </c>
      <c r="L66" s="39">
        <f t="shared" si="13"/>
        <v>3240379</v>
      </c>
      <c r="M66" s="39">
        <f t="shared" si="14"/>
        <v>38884548</v>
      </c>
      <c r="N66" s="39">
        <f t="shared" si="15"/>
        <v>3564417</v>
      </c>
      <c r="O66" s="39">
        <f t="shared" si="16"/>
        <v>42773004</v>
      </c>
      <c r="P66" s="81">
        <f t="shared" si="17"/>
        <v>84603351</v>
      </c>
    </row>
    <row r="67" spans="2:16" s="2" customFormat="1" ht="71.25" customHeight="1">
      <c r="B67" s="59">
        <v>10</v>
      </c>
      <c r="C67" s="67" t="s">
        <v>1155</v>
      </c>
      <c r="D67" s="196" t="s">
        <v>1160</v>
      </c>
      <c r="E67" s="196" t="s">
        <v>1178</v>
      </c>
      <c r="F67" s="76">
        <v>8</v>
      </c>
      <c r="G67" s="54">
        <v>177240</v>
      </c>
      <c r="H67" s="54">
        <v>194964.00000000003</v>
      </c>
      <c r="I67" s="54">
        <v>214460.40000000005</v>
      </c>
      <c r="J67" s="39">
        <f t="shared" si="11"/>
        <v>1417920</v>
      </c>
      <c r="K67" s="39">
        <f t="shared" si="12"/>
        <v>1417920</v>
      </c>
      <c r="L67" s="39">
        <f t="shared" si="13"/>
        <v>1559712</v>
      </c>
      <c r="M67" s="39">
        <f t="shared" si="14"/>
        <v>18716544</v>
      </c>
      <c r="N67" s="39">
        <f t="shared" si="15"/>
        <v>1715683</v>
      </c>
      <c r="O67" s="39">
        <f t="shared" si="16"/>
        <v>20588196</v>
      </c>
      <c r="P67" s="81">
        <f t="shared" si="17"/>
        <v>40722660</v>
      </c>
    </row>
    <row r="68" spans="2:16" s="2" customFormat="1" ht="44.25" customHeight="1">
      <c r="B68" s="59">
        <v>11</v>
      </c>
      <c r="C68" s="67" t="s">
        <v>1155</v>
      </c>
      <c r="D68" s="196" t="s">
        <v>1161</v>
      </c>
      <c r="E68" s="196" t="s">
        <v>1178</v>
      </c>
      <c r="F68" s="76">
        <v>77</v>
      </c>
      <c r="G68" s="54">
        <v>393024</v>
      </c>
      <c r="H68" s="54">
        <v>432326.40000000002</v>
      </c>
      <c r="I68" s="54">
        <v>475559.04000000004</v>
      </c>
      <c r="J68" s="39">
        <f t="shared" si="11"/>
        <v>30262848</v>
      </c>
      <c r="K68" s="39">
        <f t="shared" si="12"/>
        <v>30262848</v>
      </c>
      <c r="L68" s="39">
        <f t="shared" si="13"/>
        <v>33289133</v>
      </c>
      <c r="M68" s="39">
        <f t="shared" si="14"/>
        <v>399469596</v>
      </c>
      <c r="N68" s="39">
        <f t="shared" si="15"/>
        <v>36618046</v>
      </c>
      <c r="O68" s="39">
        <f t="shared" si="16"/>
        <v>439416552</v>
      </c>
      <c r="P68" s="81">
        <f t="shared" si="17"/>
        <v>869148996</v>
      </c>
    </row>
    <row r="69" spans="2:16" s="2" customFormat="1" ht="44.25" customHeight="1">
      <c r="B69" s="59">
        <v>12</v>
      </c>
      <c r="C69" s="67" t="s">
        <v>1155</v>
      </c>
      <c r="D69" s="196" t="s">
        <v>1162</v>
      </c>
      <c r="E69" s="196" t="s">
        <v>1179</v>
      </c>
      <c r="F69" s="76">
        <v>17</v>
      </c>
      <c r="G69" s="54">
        <v>678151</v>
      </c>
      <c r="H69" s="54">
        <v>745966.10000000009</v>
      </c>
      <c r="I69" s="54">
        <v>820562.7100000002</v>
      </c>
      <c r="J69" s="39">
        <f t="shared" si="11"/>
        <v>11528567</v>
      </c>
      <c r="K69" s="39">
        <f t="shared" si="12"/>
        <v>11528567</v>
      </c>
      <c r="L69" s="39">
        <f t="shared" si="13"/>
        <v>12681424</v>
      </c>
      <c r="M69" s="39">
        <f t="shared" si="14"/>
        <v>152177088</v>
      </c>
      <c r="N69" s="39">
        <f t="shared" si="15"/>
        <v>13949566</v>
      </c>
      <c r="O69" s="39">
        <f t="shared" si="16"/>
        <v>167394792</v>
      </c>
      <c r="P69" s="81">
        <f t="shared" si="17"/>
        <v>331100447</v>
      </c>
    </row>
    <row r="70" spans="2:16" s="2" customFormat="1" ht="44.25" customHeight="1">
      <c r="B70" s="59">
        <v>13</v>
      </c>
      <c r="C70" s="67" t="s">
        <v>1155</v>
      </c>
      <c r="D70" s="196" t="s">
        <v>1163</v>
      </c>
      <c r="E70" s="196" t="s">
        <v>129</v>
      </c>
      <c r="F70" s="76">
        <v>12</v>
      </c>
      <c r="G70" s="54">
        <v>248824</v>
      </c>
      <c r="H70" s="54">
        <v>273706.40000000002</v>
      </c>
      <c r="I70" s="54">
        <v>301077.04000000004</v>
      </c>
      <c r="J70" s="39">
        <f t="shared" si="11"/>
        <v>2985888</v>
      </c>
      <c r="K70" s="39">
        <f t="shared" si="12"/>
        <v>2985888</v>
      </c>
      <c r="L70" s="39">
        <f t="shared" si="13"/>
        <v>3284477</v>
      </c>
      <c r="M70" s="39">
        <f t="shared" si="14"/>
        <v>39413724</v>
      </c>
      <c r="N70" s="39">
        <f t="shared" si="15"/>
        <v>3612924</v>
      </c>
      <c r="O70" s="39">
        <f t="shared" si="16"/>
        <v>43355088</v>
      </c>
      <c r="P70" s="81">
        <f t="shared" si="17"/>
        <v>85754700</v>
      </c>
    </row>
    <row r="71" spans="2:16" s="2" customFormat="1" ht="44.25" customHeight="1">
      <c r="B71" s="59">
        <v>14</v>
      </c>
      <c r="C71" s="67" t="s">
        <v>1155</v>
      </c>
      <c r="D71" s="196" t="s">
        <v>1164</v>
      </c>
      <c r="E71" s="196" t="s">
        <v>130</v>
      </c>
      <c r="F71" s="76">
        <v>14</v>
      </c>
      <c r="G71" s="54">
        <v>37815</v>
      </c>
      <c r="H71" s="54">
        <v>41596.5</v>
      </c>
      <c r="I71" s="54">
        <v>45756.15</v>
      </c>
      <c r="J71" s="39">
        <f t="shared" si="11"/>
        <v>529410</v>
      </c>
      <c r="K71" s="39">
        <f t="shared" si="12"/>
        <v>529410</v>
      </c>
      <c r="L71" s="39">
        <f t="shared" si="13"/>
        <v>582351</v>
      </c>
      <c r="M71" s="39">
        <f t="shared" si="14"/>
        <v>6988212</v>
      </c>
      <c r="N71" s="39">
        <f t="shared" si="15"/>
        <v>640586</v>
      </c>
      <c r="O71" s="39">
        <f t="shared" si="16"/>
        <v>7687032</v>
      </c>
      <c r="P71" s="81">
        <f t="shared" si="17"/>
        <v>15204654</v>
      </c>
    </row>
    <row r="72" spans="2:16" s="2" customFormat="1" ht="44.25" customHeight="1">
      <c r="B72" s="59">
        <v>15</v>
      </c>
      <c r="C72" s="67" t="s">
        <v>1155</v>
      </c>
      <c r="D72" s="196" t="s">
        <v>1165</v>
      </c>
      <c r="E72" s="196" t="s">
        <v>131</v>
      </c>
      <c r="F72" s="76">
        <v>1</v>
      </c>
      <c r="G72" s="54">
        <v>37815</v>
      </c>
      <c r="H72" s="54">
        <v>41596.5</v>
      </c>
      <c r="I72" s="54">
        <v>45756.15</v>
      </c>
      <c r="J72" s="39">
        <f t="shared" si="11"/>
        <v>37815</v>
      </c>
      <c r="K72" s="39">
        <f t="shared" si="12"/>
        <v>37815</v>
      </c>
      <c r="L72" s="39">
        <f t="shared" si="13"/>
        <v>41597</v>
      </c>
      <c r="M72" s="39">
        <f t="shared" si="14"/>
        <v>499164</v>
      </c>
      <c r="N72" s="39">
        <f t="shared" si="15"/>
        <v>45756</v>
      </c>
      <c r="O72" s="39">
        <f t="shared" si="16"/>
        <v>549072</v>
      </c>
      <c r="P72" s="81">
        <f t="shared" si="17"/>
        <v>1086051</v>
      </c>
    </row>
    <row r="73" spans="2:16" s="2" customFormat="1" ht="61.5" customHeight="1">
      <c r="B73" s="59">
        <v>16</v>
      </c>
      <c r="C73" s="67" t="s">
        <v>1155</v>
      </c>
      <c r="D73" s="196" t="s">
        <v>1166</v>
      </c>
      <c r="E73" s="196" t="s">
        <v>132</v>
      </c>
      <c r="F73" s="76">
        <v>3</v>
      </c>
      <c r="G73" s="54">
        <v>2880000</v>
      </c>
      <c r="H73" s="54">
        <v>3168000.0000000005</v>
      </c>
      <c r="I73" s="54">
        <v>3484800.0000000009</v>
      </c>
      <c r="J73" s="39">
        <f t="shared" si="11"/>
        <v>8640000</v>
      </c>
      <c r="K73" s="39">
        <f t="shared" si="12"/>
        <v>8640000</v>
      </c>
      <c r="L73" s="39">
        <f t="shared" si="13"/>
        <v>9504000</v>
      </c>
      <c r="M73" s="39">
        <f t="shared" si="14"/>
        <v>114048000</v>
      </c>
      <c r="N73" s="39">
        <f t="shared" si="15"/>
        <v>10454400</v>
      </c>
      <c r="O73" s="39">
        <f t="shared" si="16"/>
        <v>125452800</v>
      </c>
      <c r="P73" s="81">
        <f t="shared" si="17"/>
        <v>248140800</v>
      </c>
    </row>
    <row r="74" spans="2:16" s="2" customFormat="1" ht="44.25" customHeight="1">
      <c r="B74" s="59">
        <v>17</v>
      </c>
      <c r="C74" s="67" t="s">
        <v>1167</v>
      </c>
      <c r="D74" s="196" t="s">
        <v>1168</v>
      </c>
      <c r="E74" s="196"/>
      <c r="F74" s="76">
        <v>5</v>
      </c>
      <c r="G74" s="54">
        <v>605882</v>
      </c>
      <c r="H74" s="54">
        <v>666470.20000000007</v>
      </c>
      <c r="I74" s="54">
        <v>733117.22000000009</v>
      </c>
      <c r="J74" s="39">
        <f t="shared" si="11"/>
        <v>3029410</v>
      </c>
      <c r="K74" s="39">
        <f t="shared" si="12"/>
        <v>3029410</v>
      </c>
      <c r="L74" s="39">
        <f t="shared" si="13"/>
        <v>3332351</v>
      </c>
      <c r="M74" s="39">
        <f t="shared" si="14"/>
        <v>39988212</v>
      </c>
      <c r="N74" s="39">
        <f t="shared" si="15"/>
        <v>3665586</v>
      </c>
      <c r="O74" s="39">
        <f t="shared" si="16"/>
        <v>43987032</v>
      </c>
      <c r="P74" s="81">
        <f t="shared" si="17"/>
        <v>87004654</v>
      </c>
    </row>
    <row r="75" spans="2:16" s="2" customFormat="1" ht="44.25" customHeight="1">
      <c r="B75" s="59">
        <v>18</v>
      </c>
      <c r="C75" s="67" t="s">
        <v>1167</v>
      </c>
      <c r="D75" s="196" t="s">
        <v>1169</v>
      </c>
      <c r="E75" s="196" t="s">
        <v>1169</v>
      </c>
      <c r="F75" s="76">
        <v>34</v>
      </c>
      <c r="G75" s="54">
        <v>3000000</v>
      </c>
      <c r="H75" s="54">
        <v>3300000.0000000005</v>
      </c>
      <c r="I75" s="54">
        <v>3630000.0000000009</v>
      </c>
      <c r="J75" s="39">
        <f t="shared" si="11"/>
        <v>102000000</v>
      </c>
      <c r="K75" s="39">
        <f t="shared" si="12"/>
        <v>102000000</v>
      </c>
      <c r="L75" s="39">
        <f t="shared" si="13"/>
        <v>112200000</v>
      </c>
      <c r="M75" s="39">
        <f t="shared" si="14"/>
        <v>1346400000</v>
      </c>
      <c r="N75" s="39">
        <f t="shared" si="15"/>
        <v>123420000</v>
      </c>
      <c r="O75" s="39">
        <f t="shared" si="16"/>
        <v>1481040000</v>
      </c>
      <c r="P75" s="81">
        <f t="shared" si="17"/>
        <v>2929440000</v>
      </c>
    </row>
    <row r="76" spans="2:16" s="2" customFormat="1" ht="44.25" customHeight="1">
      <c r="B76" s="59">
        <v>19</v>
      </c>
      <c r="C76" s="67" t="s">
        <v>1170</v>
      </c>
      <c r="D76" s="196" t="s">
        <v>1171</v>
      </c>
      <c r="E76" s="196"/>
      <c r="F76" s="76">
        <v>22</v>
      </c>
      <c r="G76" s="54">
        <v>1832875</v>
      </c>
      <c r="H76" s="54">
        <v>2016162.5000000002</v>
      </c>
      <c r="I76" s="54">
        <v>2217778.7500000005</v>
      </c>
      <c r="J76" s="39">
        <f t="shared" si="11"/>
        <v>40323250</v>
      </c>
      <c r="K76" s="39">
        <f t="shared" si="12"/>
        <v>40323250</v>
      </c>
      <c r="L76" s="39">
        <f t="shared" si="13"/>
        <v>44355575</v>
      </c>
      <c r="M76" s="39">
        <f t="shared" si="14"/>
        <v>532266900</v>
      </c>
      <c r="N76" s="39">
        <f t="shared" si="15"/>
        <v>48791133</v>
      </c>
      <c r="O76" s="39">
        <f t="shared" si="16"/>
        <v>585493596</v>
      </c>
      <c r="P76" s="81">
        <f t="shared" si="17"/>
        <v>1158083746</v>
      </c>
    </row>
    <row r="77" spans="2:16" s="2" customFormat="1" ht="44.25" customHeight="1">
      <c r="B77" s="59">
        <v>20</v>
      </c>
      <c r="C77" s="67" t="s">
        <v>1170</v>
      </c>
      <c r="D77" s="196" t="s">
        <v>1172</v>
      </c>
      <c r="E77" s="196" t="s">
        <v>1172</v>
      </c>
      <c r="F77" s="76">
        <v>8</v>
      </c>
      <c r="G77" s="54">
        <v>2097370</v>
      </c>
      <c r="H77" s="54">
        <v>2307107</v>
      </c>
      <c r="I77" s="54">
        <v>2537817.7000000002</v>
      </c>
      <c r="J77" s="39">
        <f t="shared" si="11"/>
        <v>16778960</v>
      </c>
      <c r="K77" s="39">
        <f t="shared" si="12"/>
        <v>16778960</v>
      </c>
      <c r="L77" s="39">
        <f t="shared" si="13"/>
        <v>18456856</v>
      </c>
      <c r="M77" s="39">
        <f t="shared" si="14"/>
        <v>221482272</v>
      </c>
      <c r="N77" s="39">
        <f t="shared" si="15"/>
        <v>20302542</v>
      </c>
      <c r="O77" s="39">
        <f t="shared" si="16"/>
        <v>243630504</v>
      </c>
      <c r="P77" s="81">
        <f t="shared" si="17"/>
        <v>481891736</v>
      </c>
    </row>
    <row r="78" spans="2:16" s="2" customFormat="1" ht="44.25" customHeight="1">
      <c r="B78" s="59">
        <v>21</v>
      </c>
      <c r="C78" s="67" t="s">
        <v>1170</v>
      </c>
      <c r="D78" s="196" t="s">
        <v>1173</v>
      </c>
      <c r="E78" s="196" t="s">
        <v>1173</v>
      </c>
      <c r="F78" s="76">
        <v>15</v>
      </c>
      <c r="G78" s="54">
        <v>200318</v>
      </c>
      <c r="H78" s="54">
        <v>220349.80000000002</v>
      </c>
      <c r="I78" s="54">
        <v>242384.78000000003</v>
      </c>
      <c r="J78" s="39">
        <f t="shared" si="11"/>
        <v>3004770</v>
      </c>
      <c r="K78" s="39">
        <f t="shared" si="12"/>
        <v>3004770</v>
      </c>
      <c r="L78" s="39">
        <f t="shared" si="13"/>
        <v>3305247</v>
      </c>
      <c r="M78" s="39">
        <f t="shared" si="14"/>
        <v>39662964</v>
      </c>
      <c r="N78" s="39">
        <f t="shared" si="15"/>
        <v>3635772</v>
      </c>
      <c r="O78" s="39">
        <f t="shared" si="16"/>
        <v>43629264</v>
      </c>
      <c r="P78" s="81">
        <f t="shared" si="17"/>
        <v>86296998</v>
      </c>
    </row>
    <row r="79" spans="2:16" s="2" customFormat="1" ht="44.25" customHeight="1">
      <c r="B79" s="59">
        <v>22</v>
      </c>
      <c r="C79" s="67" t="s">
        <v>1170</v>
      </c>
      <c r="D79" s="196" t="s">
        <v>1174</v>
      </c>
      <c r="E79" s="196" t="s">
        <v>1174</v>
      </c>
      <c r="F79" s="76">
        <v>9</v>
      </c>
      <c r="G79" s="54">
        <v>266999</v>
      </c>
      <c r="H79" s="54">
        <v>293698.90000000002</v>
      </c>
      <c r="I79" s="54">
        <v>323068.79000000004</v>
      </c>
      <c r="J79" s="39">
        <f t="shared" si="11"/>
        <v>2402991</v>
      </c>
      <c r="K79" s="39">
        <f t="shared" si="12"/>
        <v>2402991</v>
      </c>
      <c r="L79" s="39">
        <f t="shared" si="13"/>
        <v>2643290</v>
      </c>
      <c r="M79" s="39">
        <f t="shared" si="14"/>
        <v>31719480</v>
      </c>
      <c r="N79" s="39">
        <f t="shared" si="15"/>
        <v>2907619</v>
      </c>
      <c r="O79" s="39">
        <f t="shared" si="16"/>
        <v>34891428</v>
      </c>
      <c r="P79" s="81">
        <f t="shared" si="17"/>
        <v>69013899</v>
      </c>
    </row>
    <row r="80" spans="2:16" s="2" customFormat="1" ht="44.25" customHeight="1">
      <c r="B80" s="59">
        <v>23</v>
      </c>
      <c r="C80" s="67" t="s">
        <v>1170</v>
      </c>
      <c r="D80" s="196" t="s">
        <v>1175</v>
      </c>
      <c r="E80" s="196"/>
      <c r="F80" s="76">
        <v>1</v>
      </c>
      <c r="G80" s="54">
        <v>700000</v>
      </c>
      <c r="H80" s="54">
        <v>770000.00000000012</v>
      </c>
      <c r="I80" s="54">
        <v>847000.00000000023</v>
      </c>
      <c r="J80" s="39">
        <f t="shared" si="11"/>
        <v>700000</v>
      </c>
      <c r="K80" s="39">
        <f t="shared" si="12"/>
        <v>700000</v>
      </c>
      <c r="L80" s="39">
        <f t="shared" si="13"/>
        <v>770000</v>
      </c>
      <c r="M80" s="39">
        <f t="shared" si="14"/>
        <v>9240000</v>
      </c>
      <c r="N80" s="39">
        <f t="shared" si="15"/>
        <v>847000</v>
      </c>
      <c r="O80" s="39">
        <f t="shared" si="16"/>
        <v>10164000</v>
      </c>
      <c r="P80" s="81">
        <f t="shared" si="17"/>
        <v>20104000</v>
      </c>
    </row>
    <row r="81" spans="2:16" s="2" customFormat="1" ht="24.75" customHeight="1">
      <c r="B81" s="201" t="s">
        <v>1224</v>
      </c>
      <c r="C81" s="201"/>
      <c r="D81" s="201"/>
      <c r="E81" s="201"/>
      <c r="F81" s="201"/>
      <c r="G81" s="201"/>
      <c r="H81" s="201"/>
      <c r="I81" s="201"/>
      <c r="J81" s="201"/>
      <c r="K81" s="201"/>
      <c r="L81" s="201"/>
      <c r="M81" s="201"/>
      <c r="N81" s="201"/>
      <c r="O81" s="201"/>
      <c r="P81" s="81">
        <f>SUM(P58:P80)</f>
        <v>12250766497</v>
      </c>
    </row>
    <row r="82" spans="2:16" s="2" customFormat="1" ht="12.5">
      <c r="C82" s="4"/>
      <c r="D82" s="4"/>
      <c r="E82" s="4"/>
      <c r="F82" s="4"/>
      <c r="G82" s="99">
        <f>SUM(G58:G80)</f>
        <v>24188404</v>
      </c>
      <c r="H82" s="99">
        <f>SUM(H58:H80)</f>
        <v>26607244.399999999</v>
      </c>
      <c r="I82" s="99">
        <f>SUM(I58:I80)</f>
        <v>29267968.84</v>
      </c>
    </row>
    <row r="83" spans="2:16" s="2" customFormat="1" ht="29.25" customHeight="1">
      <c r="B83" s="171" t="s">
        <v>1184</v>
      </c>
      <c r="C83" s="172"/>
      <c r="D83" s="172"/>
      <c r="E83" s="172"/>
      <c r="F83" s="172"/>
      <c r="G83" s="172"/>
      <c r="H83" s="172"/>
      <c r="I83" s="172"/>
      <c r="J83" s="197"/>
    </row>
    <row r="84" spans="2:16" s="2" customFormat="1" ht="29.25" customHeight="1">
      <c r="C84" s="4"/>
      <c r="D84" s="4"/>
      <c r="E84" s="4"/>
      <c r="F84" s="4"/>
      <c r="G84" s="4"/>
      <c r="H84" s="4"/>
    </row>
    <row r="85" spans="2:16" s="2" customFormat="1" ht="29.25" customHeight="1">
      <c r="B85" s="198" t="s">
        <v>1185</v>
      </c>
      <c r="C85" s="198"/>
      <c r="D85" s="198"/>
      <c r="E85" s="198"/>
      <c r="F85" s="198"/>
      <c r="G85"/>
      <c r="H85"/>
      <c r="I85"/>
      <c r="J85"/>
    </row>
    <row r="86" spans="2:16" s="2" customFormat="1" ht="29.25" customHeight="1">
      <c r="C86" s="4"/>
      <c r="D86" s="4"/>
      <c r="E86" s="4"/>
      <c r="F86" s="4"/>
      <c r="G86" s="4"/>
      <c r="H86" s="4"/>
    </row>
    <row r="87" spans="2:16" s="2" customFormat="1" ht="29.25" customHeight="1">
      <c r="B87" s="199" t="s">
        <v>133</v>
      </c>
      <c r="C87" s="199"/>
      <c r="D87" s="199"/>
      <c r="E87" s="77" t="s">
        <v>121</v>
      </c>
    </row>
    <row r="88" spans="2:16" s="2" customFormat="1" ht="29.25" customHeight="1">
      <c r="B88" s="180" t="s">
        <v>134</v>
      </c>
      <c r="C88" s="181"/>
      <c r="D88" s="182"/>
      <c r="E88" s="78">
        <f>SUM(V45:V50)</f>
        <v>6424386719</v>
      </c>
    </row>
    <row r="89" spans="2:16" s="2" customFormat="1" ht="29.25" customHeight="1">
      <c r="B89" s="180" t="s">
        <v>135</v>
      </c>
      <c r="C89" s="181"/>
      <c r="D89" s="182"/>
      <c r="E89" s="78">
        <f>SUM(P58:P80)</f>
        <v>12250766497</v>
      </c>
    </row>
    <row r="90" spans="2:16" s="2" customFormat="1" ht="29.25" customHeight="1">
      <c r="B90" s="180" t="s">
        <v>136</v>
      </c>
      <c r="C90" s="181"/>
      <c r="D90" s="182"/>
      <c r="E90" s="78">
        <f>E88+E89</f>
        <v>18675153216</v>
      </c>
    </row>
    <row r="91" spans="2:16" s="2" customFormat="1" ht="29.25" customHeight="1">
      <c r="B91" s="183" t="s">
        <v>1195</v>
      </c>
      <c r="C91" s="183"/>
      <c r="D91" s="55">
        <v>0.1</v>
      </c>
      <c r="E91" s="78">
        <f>ROUND((E90)*D91,0)</f>
        <v>1867515322</v>
      </c>
      <c r="G91" s="70"/>
    </row>
    <row r="92" spans="2:16" s="2" customFormat="1" ht="29.25" customHeight="1">
      <c r="B92" s="183" t="s">
        <v>137</v>
      </c>
      <c r="C92" s="183"/>
      <c r="D92" s="56">
        <v>0.19</v>
      </c>
      <c r="E92" s="78">
        <f>ROUND(E91*D92,0)</f>
        <v>354827911</v>
      </c>
      <c r="G92" s="70"/>
    </row>
    <row r="93" spans="2:16" s="2" customFormat="1" ht="29.25" customHeight="1">
      <c r="B93" s="173" t="s">
        <v>1203</v>
      </c>
      <c r="C93" s="184"/>
      <c r="D93" s="185"/>
      <c r="E93" s="79">
        <f>E90+E92</f>
        <v>19029981127</v>
      </c>
      <c r="G93" s="70"/>
    </row>
    <row r="94" spans="2:16" s="2" customFormat="1" ht="12.5">
      <c r="C94" s="4"/>
      <c r="D94" s="4"/>
      <c r="E94" s="4"/>
      <c r="G94" s="4"/>
    </row>
    <row r="95" spans="2:16" s="2" customFormat="1" ht="12.5">
      <c r="C95" s="4"/>
      <c r="D95" s="4"/>
      <c r="E95" s="4"/>
      <c r="F95" s="4"/>
      <c r="G95" s="4"/>
      <c r="H95" s="4"/>
    </row>
    <row r="96" spans="2:16" ht="27.75" customHeight="1">
      <c r="B96" s="260" t="s">
        <v>83</v>
      </c>
      <c r="C96" s="260"/>
      <c r="D96" s="260"/>
      <c r="E96" s="260"/>
      <c r="F96" s="260"/>
      <c r="G96" s="260"/>
      <c r="H96" s="260"/>
      <c r="I96" s="260"/>
    </row>
    <row r="97" spans="2:9" ht="63.75" customHeight="1">
      <c r="B97" s="259" t="s">
        <v>1225</v>
      </c>
      <c r="C97" s="259"/>
      <c r="D97" s="259"/>
      <c r="E97" s="259"/>
      <c r="F97" s="259"/>
      <c r="G97" s="259"/>
      <c r="H97" s="259"/>
      <c r="I97" s="259"/>
    </row>
    <row r="98" spans="2:9" ht="52.5" customHeight="1">
      <c r="B98" s="259" t="s">
        <v>1186</v>
      </c>
      <c r="C98" s="259"/>
      <c r="D98" s="259"/>
      <c r="E98" s="259"/>
      <c r="F98" s="259"/>
      <c r="G98" s="259"/>
      <c r="H98" s="259"/>
      <c r="I98" s="259"/>
    </row>
    <row r="99" spans="2:9" ht="12.5"/>
  </sheetData>
  <mergeCells count="72">
    <mergeCell ref="B98:I98"/>
    <mergeCell ref="B83:J83"/>
    <mergeCell ref="B85:F85"/>
    <mergeCell ref="B87:D87"/>
    <mergeCell ref="B88:D88"/>
    <mergeCell ref="B89:D89"/>
    <mergeCell ref="B90:D90"/>
    <mergeCell ref="B91:C91"/>
    <mergeCell ref="B92:C92"/>
    <mergeCell ref="B93:D93"/>
    <mergeCell ref="B96:I96"/>
    <mergeCell ref="B97:I97"/>
    <mergeCell ref="B81:O81"/>
    <mergeCell ref="D70:E70"/>
    <mergeCell ref="D71:E71"/>
    <mergeCell ref="D72:E72"/>
    <mergeCell ref="D73:E73"/>
    <mergeCell ref="D74:E74"/>
    <mergeCell ref="D75:E75"/>
    <mergeCell ref="D76:E76"/>
    <mergeCell ref="D77:E77"/>
    <mergeCell ref="D78:E78"/>
    <mergeCell ref="D79:E79"/>
    <mergeCell ref="D80:E80"/>
    <mergeCell ref="D69:E69"/>
    <mergeCell ref="D58:E58"/>
    <mergeCell ref="D59:E59"/>
    <mergeCell ref="D60:E60"/>
    <mergeCell ref="D61:E61"/>
    <mergeCell ref="D62:E62"/>
    <mergeCell ref="D63:E63"/>
    <mergeCell ref="D64:E64"/>
    <mergeCell ref="D65:E65"/>
    <mergeCell ref="D66:E66"/>
    <mergeCell ref="D67:E67"/>
    <mergeCell ref="D68:E68"/>
    <mergeCell ref="D57:E57"/>
    <mergeCell ref="F35:G35"/>
    <mergeCell ref="F36:G36"/>
    <mergeCell ref="B38:V38"/>
    <mergeCell ref="B41:V41"/>
    <mergeCell ref="B43:E43"/>
    <mergeCell ref="F43:K43"/>
    <mergeCell ref="L43:M43"/>
    <mergeCell ref="N43:O43"/>
    <mergeCell ref="P43:Q43"/>
    <mergeCell ref="R43:S43"/>
    <mergeCell ref="T43:U43"/>
    <mergeCell ref="B51:U51"/>
    <mergeCell ref="B54:V54"/>
    <mergeCell ref="B56:E56"/>
    <mergeCell ref="F56:P56"/>
    <mergeCell ref="B32:M32"/>
    <mergeCell ref="C9:E9"/>
    <mergeCell ref="G9:H9"/>
    <mergeCell ref="B10:L10"/>
    <mergeCell ref="B13:L13"/>
    <mergeCell ref="B15:L15"/>
    <mergeCell ref="B17:L17"/>
    <mergeCell ref="C20:E20"/>
    <mergeCell ref="M20:N22"/>
    <mergeCell ref="C21:E21"/>
    <mergeCell ref="B23:B30"/>
    <mergeCell ref="C23:F23"/>
    <mergeCell ref="C8:D8"/>
    <mergeCell ref="I8:J8"/>
    <mergeCell ref="K8:L8"/>
    <mergeCell ref="B2:K4"/>
    <mergeCell ref="L2:L4"/>
    <mergeCell ref="B6:L6"/>
    <mergeCell ref="B7:C7"/>
    <mergeCell ref="D7:L7"/>
  </mergeCells>
  <dataValidations disablePrompts="1" count="2">
    <dataValidation type="decimal" allowBlank="1" showInputMessage="1" showErrorMessage="1" error="Tener en cuenta que las cooperativas de vigilancia y seguridad privada, podrán descontar del valor de la tarifa hasta el diez por ciento (10%)," sqref="F21" xr:uid="{14FAB78B-E00A-483A-873D-E56934CD3BEC}">
      <formula1>0</formula1>
      <formula2>0.1</formula2>
    </dataValidation>
    <dataValidation type="list" allowBlank="1" showInputMessage="1" showErrorMessage="1" sqref="F20" xr:uid="{5C4E2C8C-F72B-4252-83CA-5B5637246854}">
      <formula1>"EMPRESA, COOPERATIVA"</formula1>
    </dataValidation>
  </dataValidations>
  <pageMargins left="0.70866141732283472" right="0.70866141732283472" top="0.74803149606299213" bottom="0.74803149606299213" header="0.31496062992125984" footer="0.31496062992125984"/>
  <pageSetup scale="43" orientation="portrait" r:id="rId1"/>
  <headerFooter>
    <oddFooter xml:space="preserve">&amp;C&amp;P/&amp;N
</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FF1E02-F256-40E0-916A-32F86ACD3FD4}">
  <sheetPr>
    <tabColor rgb="FFFFFFCC"/>
  </sheetPr>
  <dimension ref="A1:Y99"/>
  <sheetViews>
    <sheetView showGridLines="0" zoomScale="80" zoomScaleNormal="80" zoomScaleSheetLayoutView="90" workbookViewId="0">
      <selection activeCell="G45" sqref="G45:K50"/>
    </sheetView>
  </sheetViews>
  <sheetFormatPr baseColWidth="10" defaultColWidth="0" defaultRowHeight="12.65" customHeight="1" zeroHeight="1"/>
  <cols>
    <col min="1" max="1" width="2" style="4" customWidth="1"/>
    <col min="2" max="2" width="13.81640625" style="4" customWidth="1"/>
    <col min="3" max="3" width="30" style="4" customWidth="1"/>
    <col min="4" max="4" width="25.81640625" style="4" customWidth="1"/>
    <col min="5" max="5" width="32.1796875" style="5" customWidth="1"/>
    <col min="6" max="6" width="15.7265625" style="5" customWidth="1"/>
    <col min="7" max="7" width="24.1796875" style="4" customWidth="1"/>
    <col min="8" max="8" width="23.54296875" style="4" customWidth="1"/>
    <col min="9" max="9" width="22.26953125" style="4" customWidth="1"/>
    <col min="10" max="10" width="21.54296875" style="4" customWidth="1"/>
    <col min="11" max="11" width="23.1796875" style="4" customWidth="1"/>
    <col min="12" max="12" width="20.81640625" style="4" customWidth="1"/>
    <col min="13" max="13" width="23.7265625" style="4" customWidth="1"/>
    <col min="14" max="14" width="21" style="4" customWidth="1"/>
    <col min="15" max="15" width="22.81640625" style="4" customWidth="1"/>
    <col min="16" max="16" width="23.7265625" style="4" customWidth="1"/>
    <col min="17" max="21" width="18.1796875" style="4" customWidth="1"/>
    <col min="22" max="23" width="18.54296875" style="4" customWidth="1"/>
    <col min="24" max="25" width="18.54296875" style="4" hidden="1" customWidth="1"/>
    <col min="26" max="16384" width="11.453125" style="4" hidden="1"/>
  </cols>
  <sheetData>
    <row r="1" spans="2:12" s="2" customFormat="1" ht="12.75" customHeight="1">
      <c r="E1" s="3"/>
      <c r="F1" s="3"/>
    </row>
    <row r="2" spans="2:12" s="2" customFormat="1" ht="21.75" customHeight="1">
      <c r="B2" s="268" t="s">
        <v>81</v>
      </c>
      <c r="C2" s="269"/>
      <c r="D2" s="269"/>
      <c r="E2" s="269"/>
      <c r="F2" s="269"/>
      <c r="G2" s="269"/>
      <c r="H2" s="269"/>
      <c r="I2" s="269"/>
      <c r="J2" s="269"/>
      <c r="K2" s="270"/>
      <c r="L2" s="257" t="s">
        <v>0</v>
      </c>
    </row>
    <row r="3" spans="2:12" s="2" customFormat="1" ht="21.75" customHeight="1">
      <c r="B3" s="271"/>
      <c r="C3" s="272"/>
      <c r="D3" s="272"/>
      <c r="E3" s="272"/>
      <c r="F3" s="272"/>
      <c r="G3" s="272"/>
      <c r="H3" s="272"/>
      <c r="I3" s="272"/>
      <c r="J3" s="272"/>
      <c r="K3" s="273"/>
      <c r="L3" s="257"/>
    </row>
    <row r="4" spans="2:12" s="2" customFormat="1" ht="21.75" customHeight="1">
      <c r="B4" s="274"/>
      <c r="C4" s="275"/>
      <c r="D4" s="275"/>
      <c r="E4" s="275"/>
      <c r="F4" s="275"/>
      <c r="G4" s="275"/>
      <c r="H4" s="275"/>
      <c r="I4" s="275"/>
      <c r="J4" s="275"/>
      <c r="K4" s="276"/>
      <c r="L4" s="257"/>
    </row>
    <row r="5" spans="2:12" s="2" customFormat="1" ht="5.25" customHeight="1">
      <c r="E5" s="3"/>
      <c r="F5" s="3"/>
    </row>
    <row r="6" spans="2:12" s="2" customFormat="1" ht="15.75" customHeight="1">
      <c r="B6" s="169" t="s">
        <v>81</v>
      </c>
      <c r="C6" s="169"/>
      <c r="D6" s="169"/>
      <c r="E6" s="169"/>
      <c r="F6" s="169"/>
      <c r="G6" s="169"/>
      <c r="H6" s="169"/>
      <c r="I6" s="169"/>
      <c r="J6" s="169"/>
      <c r="K6" s="169"/>
      <c r="L6" s="169"/>
    </row>
    <row r="7" spans="2:12" s="2" customFormat="1" ht="32.25" customHeight="1">
      <c r="B7" s="201" t="s">
        <v>82</v>
      </c>
      <c r="C7" s="201"/>
      <c r="D7" s="265" t="s">
        <v>1147</v>
      </c>
      <c r="E7" s="266"/>
      <c r="F7" s="266"/>
      <c r="G7" s="266"/>
      <c r="H7" s="266"/>
      <c r="I7" s="266"/>
      <c r="J7" s="266"/>
      <c r="K7" s="266"/>
      <c r="L7" s="267"/>
    </row>
    <row r="8" spans="2:12" s="2" customFormat="1" ht="36" customHeight="1">
      <c r="B8" s="87" t="s">
        <v>1229</v>
      </c>
      <c r="C8" s="277" t="s">
        <v>1263</v>
      </c>
      <c r="D8" s="278"/>
      <c r="E8" s="88" t="s">
        <v>1231</v>
      </c>
      <c r="F8" s="52" t="s">
        <v>1245</v>
      </c>
      <c r="G8" s="88" t="s">
        <v>1233</v>
      </c>
      <c r="H8" s="52" t="s">
        <v>1264</v>
      </c>
      <c r="I8" s="279" t="s">
        <v>1235</v>
      </c>
      <c r="J8" s="279"/>
      <c r="K8" s="280" t="s">
        <v>1265</v>
      </c>
      <c r="L8" s="281"/>
    </row>
    <row r="9" spans="2:12" s="2" customFormat="1" ht="33" customHeight="1">
      <c r="B9" s="89" t="s">
        <v>1237</v>
      </c>
      <c r="C9" s="280" t="s">
        <v>1266</v>
      </c>
      <c r="D9" s="282"/>
      <c r="E9" s="281"/>
      <c r="F9" s="88" t="s">
        <v>1239</v>
      </c>
      <c r="G9" s="277" t="s">
        <v>1267</v>
      </c>
      <c r="H9" s="278"/>
      <c r="I9" s="90" t="s">
        <v>1241</v>
      </c>
      <c r="J9" s="52">
        <v>3202325352</v>
      </c>
      <c r="K9" s="91" t="s">
        <v>1243</v>
      </c>
      <c r="L9" s="52" t="s">
        <v>1268</v>
      </c>
    </row>
    <row r="10" spans="2:12" s="2" customFormat="1" ht="5.15" customHeight="1">
      <c r="B10" s="285"/>
      <c r="C10" s="286"/>
      <c r="D10" s="286"/>
      <c r="E10" s="286"/>
      <c r="F10" s="286"/>
      <c r="G10" s="286"/>
      <c r="H10" s="286"/>
      <c r="I10" s="286"/>
      <c r="J10" s="286"/>
      <c r="K10" s="286"/>
      <c r="L10" s="287"/>
    </row>
    <row r="11" spans="2:12" s="2" customFormat="1" ht="8.25" customHeight="1">
      <c r="B11" s="68"/>
      <c r="C11" s="68"/>
      <c r="D11" s="68"/>
      <c r="E11" s="68"/>
      <c r="F11" s="68"/>
      <c r="G11" s="68"/>
      <c r="H11" s="68"/>
      <c r="I11" s="68"/>
      <c r="J11" s="68"/>
      <c r="K11" s="68"/>
      <c r="L11" s="68"/>
    </row>
    <row r="12" spans="2:12" s="2" customFormat="1" ht="8.25" customHeight="1">
      <c r="B12" s="68"/>
      <c r="C12" s="68"/>
      <c r="D12" s="68"/>
      <c r="E12" s="68"/>
      <c r="F12" s="68"/>
      <c r="G12" s="68"/>
      <c r="H12" s="68"/>
      <c r="I12" s="68"/>
      <c r="J12" s="68"/>
      <c r="K12" s="68"/>
      <c r="L12" s="68"/>
    </row>
    <row r="13" spans="2:12" s="2" customFormat="1" ht="104.25" customHeight="1">
      <c r="B13" s="283" t="s">
        <v>1197</v>
      </c>
      <c r="C13" s="283"/>
      <c r="D13" s="283"/>
      <c r="E13" s="283"/>
      <c r="F13" s="283"/>
      <c r="G13" s="283"/>
      <c r="H13" s="283"/>
      <c r="I13" s="283"/>
      <c r="J13" s="283"/>
      <c r="K13" s="283"/>
      <c r="L13" s="283"/>
    </row>
    <row r="14" spans="2:12" s="2" customFormat="1" ht="8.25" customHeight="1">
      <c r="B14" s="68"/>
      <c r="C14" s="68"/>
      <c r="D14" s="68"/>
      <c r="E14" s="68"/>
      <c r="F14" s="68"/>
      <c r="G14" s="68"/>
      <c r="H14" s="68"/>
      <c r="I14" s="68"/>
      <c r="J14" s="68"/>
      <c r="K14" s="68"/>
      <c r="L14" s="68"/>
    </row>
    <row r="15" spans="2:12" s="2" customFormat="1" ht="180" customHeight="1">
      <c r="B15" s="284" t="s">
        <v>1226</v>
      </c>
      <c r="C15" s="284"/>
      <c r="D15" s="284"/>
      <c r="E15" s="284"/>
      <c r="F15" s="284"/>
      <c r="G15" s="284"/>
      <c r="H15" s="284"/>
      <c r="I15" s="284"/>
      <c r="J15" s="284"/>
      <c r="K15" s="284"/>
      <c r="L15" s="284"/>
    </row>
    <row r="16" spans="2:12" s="2" customFormat="1" ht="8.25" customHeight="1">
      <c r="B16" s="68"/>
      <c r="C16" s="68"/>
      <c r="D16" s="68"/>
      <c r="E16" s="68"/>
      <c r="F16" s="68"/>
      <c r="G16" s="68"/>
      <c r="H16" s="68"/>
      <c r="I16" s="68"/>
      <c r="J16" s="68"/>
      <c r="K16" s="68"/>
      <c r="L16" s="68"/>
    </row>
    <row r="17" spans="2:14" s="2" customFormat="1" ht="23.25" customHeight="1">
      <c r="B17" s="171" t="s">
        <v>115</v>
      </c>
      <c r="C17" s="172"/>
      <c r="D17" s="172"/>
      <c r="E17" s="172"/>
      <c r="F17" s="172"/>
      <c r="G17" s="172"/>
      <c r="H17" s="172"/>
      <c r="I17" s="172"/>
      <c r="J17" s="172"/>
      <c r="K17" s="172"/>
      <c r="L17" s="197"/>
    </row>
    <row r="18" spans="2:14" s="2" customFormat="1" ht="8.25" customHeight="1">
      <c r="B18" s="68"/>
      <c r="C18" s="68"/>
      <c r="D18" s="68"/>
      <c r="E18" s="68"/>
      <c r="F18" s="68"/>
      <c r="G18" s="68"/>
      <c r="H18" s="68"/>
      <c r="I18" s="68"/>
      <c r="J18" s="68"/>
      <c r="K18" s="68"/>
      <c r="L18" s="68"/>
    </row>
    <row r="19" spans="2:14" s="2" customFormat="1" ht="8.25" customHeight="1">
      <c r="B19" s="68"/>
      <c r="C19" s="68"/>
      <c r="D19" s="68"/>
      <c r="E19" s="68"/>
      <c r="F19" s="68"/>
      <c r="G19" s="68"/>
      <c r="H19" s="68"/>
      <c r="I19" s="68"/>
      <c r="J19" s="68"/>
      <c r="K19" s="68"/>
      <c r="L19" s="68"/>
    </row>
    <row r="20" spans="2:14" s="2" customFormat="1" ht="29.25" customHeight="1">
      <c r="B20" s="67">
        <v>1</v>
      </c>
      <c r="C20" s="264" t="s">
        <v>116</v>
      </c>
      <c r="D20" s="264"/>
      <c r="E20" s="264"/>
      <c r="F20" s="51" t="s">
        <v>1227</v>
      </c>
      <c r="G20" s="68"/>
      <c r="M20" s="263"/>
      <c r="N20" s="263"/>
    </row>
    <row r="21" spans="2:14" s="2" customFormat="1" ht="29.25" customHeight="1">
      <c r="B21" s="67">
        <v>2</v>
      </c>
      <c r="C21" s="264" t="s">
        <v>117</v>
      </c>
      <c r="D21" s="264"/>
      <c r="E21" s="264"/>
      <c r="F21" s="52"/>
      <c r="G21" s="68"/>
      <c r="M21" s="263"/>
      <c r="N21" s="263"/>
    </row>
    <row r="22" spans="2:14" s="2" customFormat="1" ht="29.25" customHeight="1">
      <c r="G22" s="68"/>
      <c r="M22" s="263"/>
      <c r="N22" s="263"/>
    </row>
    <row r="23" spans="2:14" s="2" customFormat="1" ht="43.5" customHeight="1">
      <c r="B23" s="201" t="s">
        <v>118</v>
      </c>
      <c r="C23" s="169" t="s">
        <v>1146</v>
      </c>
      <c r="D23" s="169"/>
      <c r="E23" s="169"/>
      <c r="F23" s="169"/>
      <c r="G23" s="29" t="s">
        <v>119</v>
      </c>
      <c r="H23" s="29" t="s">
        <v>119</v>
      </c>
      <c r="I23" s="29" t="s">
        <v>119</v>
      </c>
      <c r="L23" s="69"/>
      <c r="M23" s="69"/>
    </row>
    <row r="24" spans="2:14" s="2" customFormat="1" ht="29.25" customHeight="1">
      <c r="B24" s="201"/>
      <c r="C24" s="29" t="s">
        <v>104</v>
      </c>
      <c r="D24" s="29" t="s">
        <v>105</v>
      </c>
      <c r="E24" s="29" t="s">
        <v>106</v>
      </c>
      <c r="F24" s="37" t="s">
        <v>107</v>
      </c>
      <c r="G24" s="29">
        <v>2024</v>
      </c>
      <c r="H24" s="29">
        <v>2025</v>
      </c>
      <c r="I24" s="29">
        <v>2026</v>
      </c>
      <c r="L24" s="69"/>
      <c r="M24" s="69"/>
    </row>
    <row r="25" spans="2:14" s="2" customFormat="1" ht="33.75" customHeight="1">
      <c r="B25" s="201"/>
      <c r="C25" s="62">
        <v>24</v>
      </c>
      <c r="D25" s="63" t="s">
        <v>108</v>
      </c>
      <c r="E25" s="63" t="s">
        <v>109</v>
      </c>
      <c r="F25" s="63" t="s">
        <v>90</v>
      </c>
      <c r="G25" s="53">
        <v>2500</v>
      </c>
      <c r="H25" s="53">
        <v>2500</v>
      </c>
      <c r="I25" s="53">
        <v>2500</v>
      </c>
      <c r="M25" s="69"/>
    </row>
    <row r="26" spans="2:14" s="2" customFormat="1" ht="33.75" customHeight="1">
      <c r="B26" s="201"/>
      <c r="C26" s="62">
        <v>24</v>
      </c>
      <c r="D26" s="63" t="s">
        <v>108</v>
      </c>
      <c r="E26" s="63" t="s">
        <v>109</v>
      </c>
      <c r="F26" s="63" t="s">
        <v>92</v>
      </c>
      <c r="G26" s="53">
        <v>2500</v>
      </c>
      <c r="H26" s="53">
        <v>2500</v>
      </c>
      <c r="I26" s="53">
        <v>2500</v>
      </c>
      <c r="M26" s="69"/>
    </row>
    <row r="27" spans="2:14" s="2" customFormat="1" ht="33.75" customHeight="1">
      <c r="B27" s="201"/>
      <c r="C27" s="62">
        <v>24</v>
      </c>
      <c r="D27" s="63" t="s">
        <v>1143</v>
      </c>
      <c r="E27" s="63" t="s">
        <v>109</v>
      </c>
      <c r="F27" s="63" t="s">
        <v>92</v>
      </c>
      <c r="G27" s="53">
        <v>2500</v>
      </c>
      <c r="H27" s="53">
        <v>2500</v>
      </c>
      <c r="I27" s="53">
        <v>2500</v>
      </c>
      <c r="M27" s="69"/>
    </row>
    <row r="28" spans="2:14" s="2" customFormat="1" ht="33.75" customHeight="1">
      <c r="B28" s="201"/>
      <c r="C28" s="62">
        <v>12</v>
      </c>
      <c r="D28" s="63" t="s">
        <v>110</v>
      </c>
      <c r="E28" s="63" t="s">
        <v>111</v>
      </c>
      <c r="F28" s="63" t="s">
        <v>1144</v>
      </c>
      <c r="G28" s="53">
        <v>2500</v>
      </c>
      <c r="H28" s="53">
        <v>2500</v>
      </c>
      <c r="I28" s="53">
        <v>2500</v>
      </c>
      <c r="M28" s="69"/>
    </row>
    <row r="29" spans="2:14" s="2" customFormat="1" ht="33.75" customHeight="1">
      <c r="B29" s="201"/>
      <c r="C29" s="62">
        <v>12</v>
      </c>
      <c r="D29" s="63" t="s">
        <v>110</v>
      </c>
      <c r="E29" s="66" t="s">
        <v>1190</v>
      </c>
      <c r="F29" s="63" t="s">
        <v>90</v>
      </c>
      <c r="G29" s="53">
        <v>2500</v>
      </c>
      <c r="H29" s="53">
        <v>2500</v>
      </c>
      <c r="I29" s="53">
        <v>2500</v>
      </c>
      <c r="M29" s="69"/>
    </row>
    <row r="30" spans="2:14" s="2" customFormat="1" ht="33.75" customHeight="1">
      <c r="B30" s="201"/>
      <c r="C30" s="62">
        <v>12</v>
      </c>
      <c r="D30" s="63" t="s">
        <v>108</v>
      </c>
      <c r="E30" s="63" t="s">
        <v>111</v>
      </c>
      <c r="F30" s="63" t="s">
        <v>90</v>
      </c>
      <c r="G30" s="53">
        <v>2500</v>
      </c>
      <c r="H30" s="53">
        <v>2500</v>
      </c>
      <c r="I30" s="53">
        <v>2500</v>
      </c>
      <c r="M30" s="69"/>
    </row>
    <row r="31" spans="2:14" s="2" customFormat="1" ht="29.25" customHeight="1">
      <c r="G31" s="98">
        <f>SUM(G25:G30)</f>
        <v>15000</v>
      </c>
      <c r="H31" s="98">
        <f>SUM(H25:H30)</f>
        <v>15000</v>
      </c>
      <c r="I31" s="98">
        <f>SUM(I25:I30)</f>
        <v>15000</v>
      </c>
      <c r="M31" s="69"/>
      <c r="N31" s="69"/>
    </row>
    <row r="32" spans="2:14" s="2" customFormat="1" ht="29.25" customHeight="1">
      <c r="B32" s="200" t="s">
        <v>120</v>
      </c>
      <c r="C32" s="200"/>
      <c r="D32" s="200"/>
      <c r="E32" s="200"/>
      <c r="F32" s="200"/>
      <c r="G32" s="200"/>
      <c r="H32" s="200"/>
      <c r="I32" s="200"/>
      <c r="J32" s="200"/>
      <c r="K32" s="200"/>
      <c r="L32" s="200"/>
      <c r="M32" s="200"/>
      <c r="N32" s="69"/>
    </row>
    <row r="33" spans="1:22" s="2" customFormat="1" ht="6.75" customHeight="1">
      <c r="A33" s="70"/>
      <c r="B33" s="70"/>
      <c r="C33" s="70"/>
      <c r="D33" s="70"/>
      <c r="E33" s="70"/>
      <c r="F33" s="70"/>
      <c r="G33" s="70"/>
      <c r="H33" s="70"/>
      <c r="I33" s="70"/>
      <c r="J33" s="70"/>
      <c r="K33" s="70"/>
      <c r="L33" s="70"/>
      <c r="M33" s="70"/>
      <c r="N33" s="69"/>
    </row>
    <row r="34" spans="1:22" s="2" customFormat="1" ht="46.5" customHeight="1">
      <c r="A34" s="70"/>
      <c r="B34" s="70"/>
      <c r="C34" s="70"/>
      <c r="D34" s="70"/>
      <c r="E34" s="70"/>
      <c r="F34" s="68"/>
      <c r="G34" s="68"/>
      <c r="H34" s="67" t="s">
        <v>1198</v>
      </c>
      <c r="I34" s="59" t="s">
        <v>1210</v>
      </c>
      <c r="J34" s="59" t="s">
        <v>1205</v>
      </c>
      <c r="K34" s="59" t="s">
        <v>1206</v>
      </c>
      <c r="L34" s="59" t="s">
        <v>1207</v>
      </c>
      <c r="M34" s="59" t="s">
        <v>1208</v>
      </c>
    </row>
    <row r="35" spans="1:22" s="2" customFormat="1" ht="29.25" customHeight="1">
      <c r="F35" s="202" t="s">
        <v>122</v>
      </c>
      <c r="G35" s="203"/>
      <c r="H35" s="71">
        <f>SUM(I35:M35)</f>
        <v>25</v>
      </c>
      <c r="I35" s="72">
        <v>1</v>
      </c>
      <c r="J35" s="80">
        <v>6.5</v>
      </c>
      <c r="K35" s="80">
        <v>5.5</v>
      </c>
      <c r="L35" s="80">
        <v>6.5</v>
      </c>
      <c r="M35" s="80">
        <v>5.5</v>
      </c>
    </row>
    <row r="36" spans="1:22" s="2" customFormat="1" ht="29.25" customHeight="1">
      <c r="B36" s="70"/>
      <c r="C36" s="70"/>
      <c r="D36" s="70"/>
      <c r="E36" s="70"/>
      <c r="F36" s="202" t="s">
        <v>1191</v>
      </c>
      <c r="G36" s="203"/>
      <c r="H36" s="38" t="s">
        <v>1211</v>
      </c>
      <c r="I36" s="38">
        <f>'[27]RESUMEN CIRCULAR_DECRETO'!N26</f>
        <v>1300000</v>
      </c>
      <c r="J36" s="38">
        <f>'[27]RESUMEN CIRCULAR_DECRETO'!N27</f>
        <v>1410500</v>
      </c>
      <c r="K36" s="38">
        <f>'[27]RESUMEN CIRCULAR_DECRETO'!N27</f>
        <v>1410500</v>
      </c>
      <c r="L36" s="38">
        <f>'[27]RESUMEN CIRCULAR_DECRETO'!N28</f>
        <v>1504157.2</v>
      </c>
      <c r="M36" s="38">
        <f>'[27]RESUMEN CIRCULAR_DECRETO'!N28</f>
        <v>1504157.2</v>
      </c>
    </row>
    <row r="37" spans="1:22" s="2" customFormat="1" ht="29.25" customHeight="1">
      <c r="B37" s="70"/>
      <c r="C37" s="70"/>
      <c r="D37" s="70"/>
      <c r="E37" s="70"/>
      <c r="F37" s="83"/>
      <c r="G37" s="83"/>
      <c r="H37" s="84"/>
      <c r="I37" s="84"/>
      <c r="J37" s="84"/>
      <c r="K37" s="84"/>
      <c r="L37" s="82"/>
      <c r="M37" s="82"/>
    </row>
    <row r="38" spans="1:22" s="2" customFormat="1" ht="24" customHeight="1">
      <c r="B38" s="200" t="s">
        <v>1192</v>
      </c>
      <c r="C38" s="200"/>
      <c r="D38" s="200"/>
      <c r="E38" s="200"/>
      <c r="F38" s="200"/>
      <c r="G38" s="200"/>
      <c r="H38" s="200"/>
      <c r="I38" s="200"/>
      <c r="J38" s="200"/>
      <c r="K38" s="200"/>
      <c r="L38" s="200"/>
      <c r="M38" s="200"/>
      <c r="N38" s="200"/>
      <c r="O38" s="200"/>
      <c r="P38" s="200"/>
      <c r="Q38" s="200"/>
      <c r="R38" s="200"/>
      <c r="S38" s="200"/>
      <c r="T38" s="200"/>
      <c r="U38" s="200"/>
      <c r="V38" s="200"/>
    </row>
    <row r="39" spans="1:22" s="2" customFormat="1" ht="11.25" customHeight="1">
      <c r="M39" s="69"/>
      <c r="N39" s="69"/>
    </row>
    <row r="40" spans="1:22" s="2" customFormat="1" ht="9.75" customHeight="1">
      <c r="C40" s="4"/>
      <c r="D40" s="4"/>
      <c r="E40" s="4"/>
      <c r="F40" s="4"/>
    </row>
    <row r="41" spans="1:22" s="2" customFormat="1" ht="26.25" customHeight="1">
      <c r="B41" s="200" t="s">
        <v>1148</v>
      </c>
      <c r="C41" s="200"/>
      <c r="D41" s="200"/>
      <c r="E41" s="200"/>
      <c r="F41" s="200"/>
      <c r="G41" s="200"/>
      <c r="H41" s="200"/>
      <c r="I41" s="200"/>
      <c r="J41" s="200"/>
      <c r="K41" s="200"/>
      <c r="L41" s="200"/>
      <c r="M41" s="200"/>
      <c r="N41" s="200"/>
      <c r="O41" s="200"/>
      <c r="P41" s="200"/>
      <c r="Q41" s="200"/>
      <c r="R41" s="200"/>
      <c r="S41" s="200"/>
      <c r="T41" s="200"/>
      <c r="U41" s="200"/>
      <c r="V41" s="200"/>
    </row>
    <row r="42" spans="1:22" s="2" customFormat="1" ht="12.5">
      <c r="C42" s="4"/>
      <c r="D42" s="4"/>
      <c r="E42" s="4"/>
      <c r="F42" s="4"/>
      <c r="G42" s="4"/>
      <c r="H42" s="4"/>
    </row>
    <row r="43" spans="1:22" s="2" customFormat="1" ht="70.5" customHeight="1">
      <c r="B43" s="169" t="s">
        <v>123</v>
      </c>
      <c r="C43" s="169"/>
      <c r="D43" s="169"/>
      <c r="E43" s="169"/>
      <c r="F43" s="169" t="s">
        <v>1196</v>
      </c>
      <c r="G43" s="169"/>
      <c r="H43" s="169"/>
      <c r="I43" s="169"/>
      <c r="J43" s="169"/>
      <c r="K43" s="169"/>
      <c r="L43" s="261" t="s">
        <v>1204</v>
      </c>
      <c r="M43" s="262"/>
      <c r="N43" s="261" t="s">
        <v>1205</v>
      </c>
      <c r="O43" s="262"/>
      <c r="P43" s="261" t="s">
        <v>1206</v>
      </c>
      <c r="Q43" s="262"/>
      <c r="R43" s="261" t="s">
        <v>1207</v>
      </c>
      <c r="S43" s="262"/>
      <c r="T43" s="261" t="s">
        <v>1208</v>
      </c>
      <c r="U43" s="262"/>
      <c r="V43" s="29" t="s">
        <v>1198</v>
      </c>
    </row>
    <row r="44" spans="1:22" s="2" customFormat="1" ht="71.25" customHeight="1">
      <c r="B44" s="29" t="s">
        <v>104</v>
      </c>
      <c r="C44" s="29" t="s">
        <v>105</v>
      </c>
      <c r="D44" s="29" t="s">
        <v>106</v>
      </c>
      <c r="E44" s="29" t="s">
        <v>107</v>
      </c>
      <c r="F44" s="29" t="s">
        <v>124</v>
      </c>
      <c r="G44" s="29" t="s">
        <v>1209</v>
      </c>
      <c r="H44" s="29" t="s">
        <v>1199</v>
      </c>
      <c r="I44" s="29" t="s">
        <v>1200</v>
      </c>
      <c r="J44" s="29" t="s">
        <v>1201</v>
      </c>
      <c r="K44" s="29" t="s">
        <v>1202</v>
      </c>
      <c r="L44" s="73" t="s">
        <v>1180</v>
      </c>
      <c r="M44" s="58" t="s">
        <v>1181</v>
      </c>
      <c r="N44" s="73" t="s">
        <v>1182</v>
      </c>
      <c r="O44" s="58" t="s">
        <v>1183</v>
      </c>
      <c r="P44" s="73" t="s">
        <v>1182</v>
      </c>
      <c r="Q44" s="58" t="s">
        <v>1183</v>
      </c>
      <c r="R44" s="73" t="s">
        <v>1182</v>
      </c>
      <c r="S44" s="58" t="s">
        <v>1183</v>
      </c>
      <c r="T44" s="73" t="s">
        <v>1182</v>
      </c>
      <c r="U44" s="58" t="s">
        <v>1183</v>
      </c>
      <c r="V44" s="29" t="s">
        <v>1213</v>
      </c>
    </row>
    <row r="45" spans="1:22" s="2" customFormat="1" ht="30.75" customHeight="1">
      <c r="B45" s="62">
        <v>24</v>
      </c>
      <c r="C45" s="63" t="s">
        <v>108</v>
      </c>
      <c r="D45" s="63" t="s">
        <v>109</v>
      </c>
      <c r="E45" s="63" t="s">
        <v>90</v>
      </c>
      <c r="F45" s="59">
        <v>5</v>
      </c>
      <c r="G45" s="38">
        <f>IF(F45=0,"No se requiere",'[27]RESUMEN CIRCULAR_DECRETO'!H33)</f>
        <v>12835260</v>
      </c>
      <c r="H45" s="38">
        <f>IF(F45=0,"No se requiere",'[27]RESUMEN CIRCULAR_DECRETO'!K33)</f>
        <v>13926028</v>
      </c>
      <c r="I45" s="38">
        <f>IF(G45=0,"No se requiere",'[27]RESUMEN CIRCULAR_DECRETO'!N33)</f>
        <v>14154529</v>
      </c>
      <c r="J45" s="38">
        <f>IF(H45=0,"No se requiere",'[27]RESUMEN CIRCULAR_DECRETO'!Q33)</f>
        <v>15094210</v>
      </c>
      <c r="K45" s="38">
        <f>IF(I45=0,"No se requiere",'[27]RESUMEN CIRCULAR_DECRETO'!T33)</f>
        <v>15142945</v>
      </c>
      <c r="L45" s="39">
        <f t="shared" ref="L45:L50" si="0">G45*F45</f>
        <v>64176300</v>
      </c>
      <c r="M45" s="39">
        <f>ROUND(L45*$I$35,0)</f>
        <v>64176300</v>
      </c>
      <c r="N45" s="39">
        <f t="shared" ref="N45:N50" si="1">H45*F45</f>
        <v>69630140</v>
      </c>
      <c r="O45" s="39">
        <f>ROUND(N45*$J$35,0)</f>
        <v>452595910</v>
      </c>
      <c r="P45" s="39">
        <f>I45*F45</f>
        <v>70772645</v>
      </c>
      <c r="Q45" s="39">
        <f>ROUND(P45*$K$35,0)</f>
        <v>389249548</v>
      </c>
      <c r="R45" s="39">
        <f>J45*F45</f>
        <v>75471050</v>
      </c>
      <c r="S45" s="39">
        <f>ROUND(R45*$L$35,0)</f>
        <v>490561825</v>
      </c>
      <c r="T45" s="39">
        <f>K45*F45</f>
        <v>75714725</v>
      </c>
      <c r="U45" s="39">
        <f>ROUND(T45*$M$35,0)</f>
        <v>416430988</v>
      </c>
      <c r="V45" s="81">
        <f>O45+M45+Q45+S45+U45</f>
        <v>1813014571</v>
      </c>
    </row>
    <row r="46" spans="1:22" s="2" customFormat="1" ht="30.75" customHeight="1">
      <c r="B46" s="62">
        <v>24</v>
      </c>
      <c r="C46" s="63" t="s">
        <v>108</v>
      </c>
      <c r="D46" s="63" t="s">
        <v>109</v>
      </c>
      <c r="E46" s="63" t="s">
        <v>92</v>
      </c>
      <c r="F46" s="59">
        <v>11</v>
      </c>
      <c r="G46" s="38">
        <f>IF(F46=0,"No se requiere",'[27]RESUMEN CIRCULAR_DECRETO'!H34)</f>
        <v>13072950</v>
      </c>
      <c r="H46" s="38">
        <f>IF(F46=0,"No se requiere",'[27]RESUMEN CIRCULAR_DECRETO'!K34)</f>
        <v>14183917</v>
      </c>
      <c r="I46" s="38">
        <f>IF(G46=0,"No se requiere",'[27]RESUMEN CIRCULAR_DECRETO'!N34)</f>
        <v>14416650</v>
      </c>
      <c r="J46" s="38">
        <f>IF(H46=0,"No se requiere",'[27]RESUMEN CIRCULAR_DECRETO'!Q34)</f>
        <v>15373732</v>
      </c>
      <c r="K46" s="38">
        <f>IF(I46=0,"No se requiere",'[27]RESUMEN CIRCULAR_DECRETO'!T34)</f>
        <v>15423370</v>
      </c>
      <c r="L46" s="39">
        <f t="shared" si="0"/>
        <v>143802450</v>
      </c>
      <c r="M46" s="39">
        <f t="shared" ref="M46:M50" si="2">ROUND(L46*$I$35,0)</f>
        <v>143802450</v>
      </c>
      <c r="N46" s="39">
        <f t="shared" si="1"/>
        <v>156023087</v>
      </c>
      <c r="O46" s="39">
        <f t="shared" ref="O46:O50" si="3">ROUND(N46*$J$35,0)</f>
        <v>1014150066</v>
      </c>
      <c r="P46" s="39">
        <f t="shared" ref="P46:P50" si="4">I46*F46</f>
        <v>158583150</v>
      </c>
      <c r="Q46" s="39">
        <f t="shared" ref="Q46:Q50" si="5">ROUND(P46*$K$35,0)</f>
        <v>872207325</v>
      </c>
      <c r="R46" s="39">
        <f t="shared" ref="R46:R50" si="6">J46*F46</f>
        <v>169111052</v>
      </c>
      <c r="S46" s="39">
        <f t="shared" ref="S46:S50" si="7">ROUND(R46*$L$35,0)</f>
        <v>1099221838</v>
      </c>
      <c r="T46" s="39">
        <f t="shared" ref="T46:T50" si="8">K46*F46</f>
        <v>169657070</v>
      </c>
      <c r="U46" s="39">
        <f t="shared" ref="U46:U50" si="9">ROUND(T46*$M$35,0)</f>
        <v>933113885</v>
      </c>
      <c r="V46" s="81">
        <f t="shared" ref="V46:V50" si="10">O46+M46+Q46+S46+U46</f>
        <v>4062495564</v>
      </c>
    </row>
    <row r="47" spans="1:22" s="2" customFormat="1" ht="30.75" customHeight="1">
      <c r="B47" s="62">
        <v>24</v>
      </c>
      <c r="C47" s="63" t="s">
        <v>1143</v>
      </c>
      <c r="D47" s="63" t="s">
        <v>109</v>
      </c>
      <c r="E47" s="63" t="s">
        <v>92</v>
      </c>
      <c r="F47" s="59">
        <v>1</v>
      </c>
      <c r="G47" s="38">
        <f>IF(F47=0,"No se requiere",'[27]RESUMEN CIRCULAR_DECRETO'!H35)</f>
        <v>4359484</v>
      </c>
      <c r="H47" s="38">
        <f>IF(F47=0,"No se requiere",'[27]RESUMEN CIRCULAR_DECRETO'!K35)</f>
        <v>4729805</v>
      </c>
      <c r="I47" s="38">
        <f>IF(G47=0,"No se requiere",'[27]RESUMEN CIRCULAR_DECRETO'!N35)</f>
        <v>4807383</v>
      </c>
      <c r="J47" s="38">
        <f>IF(H47=0,"No se requiere",'[27]RESUMEN CIRCULAR_DECRETO'!Q35)</f>
        <v>5126410</v>
      </c>
      <c r="K47" s="38">
        <f>IF(I47=0,"No se requiere",'[27]RESUMEN CIRCULAR_DECRETO'!T35)</f>
        <v>5142957</v>
      </c>
      <c r="L47" s="39">
        <f t="shared" si="0"/>
        <v>4359484</v>
      </c>
      <c r="M47" s="39">
        <f t="shared" si="2"/>
        <v>4359484</v>
      </c>
      <c r="N47" s="39">
        <f t="shared" si="1"/>
        <v>4729805</v>
      </c>
      <c r="O47" s="39">
        <f t="shared" si="3"/>
        <v>30743733</v>
      </c>
      <c r="P47" s="39">
        <f t="shared" si="4"/>
        <v>4807383</v>
      </c>
      <c r="Q47" s="39">
        <f t="shared" si="5"/>
        <v>26440607</v>
      </c>
      <c r="R47" s="39">
        <f t="shared" si="6"/>
        <v>5126410</v>
      </c>
      <c r="S47" s="39">
        <f t="shared" si="7"/>
        <v>33321665</v>
      </c>
      <c r="T47" s="39">
        <f t="shared" si="8"/>
        <v>5142957</v>
      </c>
      <c r="U47" s="39">
        <f t="shared" si="9"/>
        <v>28286264</v>
      </c>
      <c r="V47" s="81">
        <f t="shared" si="10"/>
        <v>123151753</v>
      </c>
    </row>
    <row r="48" spans="1:22" s="2" customFormat="1" ht="30.75" customHeight="1">
      <c r="B48" s="62">
        <v>12</v>
      </c>
      <c r="C48" s="63" t="s">
        <v>110</v>
      </c>
      <c r="D48" s="63" t="s">
        <v>111</v>
      </c>
      <c r="E48" s="63" t="s">
        <v>1144</v>
      </c>
      <c r="F48" s="59">
        <v>1</v>
      </c>
      <c r="G48" s="38">
        <f>IF(F48=0,"No se requiere",'[27]RESUMEN CIRCULAR_DECRETO'!H36)</f>
        <v>3904292</v>
      </c>
      <c r="H48" s="38">
        <f>IF(F48=0,"No se requiere",'[27]RESUMEN CIRCULAR_DECRETO'!K36)</f>
        <v>4235923</v>
      </c>
      <c r="I48" s="38">
        <f>IF(G48=0,"No se requiere",'[27]RESUMEN CIRCULAR_DECRETO'!N36)</f>
        <v>4305396</v>
      </c>
      <c r="J48" s="38">
        <f>IF(H48=0,"No se requiere",'[27]RESUMEN CIRCULAR_DECRETO'!Q36)</f>
        <v>4591091</v>
      </c>
      <c r="K48" s="38">
        <f>IF(I48=0,"No se requiere",'[27]RESUMEN CIRCULAR_DECRETO'!T36)</f>
        <v>4605908</v>
      </c>
      <c r="L48" s="39">
        <f t="shared" si="0"/>
        <v>3904292</v>
      </c>
      <c r="M48" s="39">
        <f t="shared" si="2"/>
        <v>3904292</v>
      </c>
      <c r="N48" s="39">
        <f t="shared" si="1"/>
        <v>4235923</v>
      </c>
      <c r="O48" s="39">
        <f t="shared" si="3"/>
        <v>27533500</v>
      </c>
      <c r="P48" s="39">
        <f t="shared" si="4"/>
        <v>4305396</v>
      </c>
      <c r="Q48" s="39">
        <f t="shared" si="5"/>
        <v>23679678</v>
      </c>
      <c r="R48" s="39">
        <f t="shared" si="6"/>
        <v>4591091</v>
      </c>
      <c r="S48" s="39">
        <f t="shared" si="7"/>
        <v>29842092</v>
      </c>
      <c r="T48" s="39">
        <f t="shared" si="8"/>
        <v>4605908</v>
      </c>
      <c r="U48" s="39">
        <f t="shared" si="9"/>
        <v>25332494</v>
      </c>
      <c r="V48" s="81">
        <f t="shared" si="10"/>
        <v>110292056</v>
      </c>
    </row>
    <row r="49" spans="2:22" s="2" customFormat="1" ht="30.75" customHeight="1">
      <c r="B49" s="62">
        <v>12</v>
      </c>
      <c r="C49" s="63" t="s">
        <v>110</v>
      </c>
      <c r="D49" s="66" t="s">
        <v>1190</v>
      </c>
      <c r="E49" s="63" t="s">
        <v>90</v>
      </c>
      <c r="F49" s="59">
        <v>1</v>
      </c>
      <c r="G49" s="38">
        <f>IF(F49=0,"No se requiere",'[27]RESUMEN CIRCULAR_DECRETO'!H37)</f>
        <v>4727135</v>
      </c>
      <c r="H49" s="38">
        <f>IF(F49=0,"No se requiere",'[27]RESUMEN CIRCULAR_DECRETO'!K37)</f>
        <v>5128713</v>
      </c>
      <c r="I49" s="38">
        <f>IF(G49=0,"No se requiere",'[27]RESUMEN CIRCULAR_DECRETO'!N37)</f>
        <v>5212837</v>
      </c>
      <c r="J49" s="38">
        <f>IF(H49=0,"No se requiere",'[27]RESUMEN CIRCULAR_DECRETO'!Q37)</f>
        <v>5558790</v>
      </c>
      <c r="K49" s="38">
        <f>IF(I49=0,"No se requiere",'[27]RESUMEN CIRCULAR_DECRETO'!T37)</f>
        <v>5576732</v>
      </c>
      <c r="L49" s="39">
        <f t="shared" si="0"/>
        <v>4727135</v>
      </c>
      <c r="M49" s="39">
        <f t="shared" si="2"/>
        <v>4727135</v>
      </c>
      <c r="N49" s="39">
        <f t="shared" si="1"/>
        <v>5128713</v>
      </c>
      <c r="O49" s="39">
        <f t="shared" si="3"/>
        <v>33336635</v>
      </c>
      <c r="P49" s="39">
        <f t="shared" si="4"/>
        <v>5212837</v>
      </c>
      <c r="Q49" s="39">
        <f t="shared" si="5"/>
        <v>28670604</v>
      </c>
      <c r="R49" s="39">
        <f t="shared" si="6"/>
        <v>5558790</v>
      </c>
      <c r="S49" s="39">
        <f t="shared" si="7"/>
        <v>36132135</v>
      </c>
      <c r="T49" s="39">
        <f t="shared" si="8"/>
        <v>5576732</v>
      </c>
      <c r="U49" s="39">
        <f t="shared" si="9"/>
        <v>30672026</v>
      </c>
      <c r="V49" s="81">
        <f t="shared" si="10"/>
        <v>133538535</v>
      </c>
    </row>
    <row r="50" spans="2:22" s="2" customFormat="1" ht="30.75" customHeight="1">
      <c r="B50" s="62">
        <v>12</v>
      </c>
      <c r="C50" s="63" t="s">
        <v>108</v>
      </c>
      <c r="D50" s="63" t="s">
        <v>111</v>
      </c>
      <c r="E50" s="63" t="s">
        <v>90</v>
      </c>
      <c r="F50" s="59">
        <v>1</v>
      </c>
      <c r="G50" s="38">
        <f>IF(F50=0,"No se requiere",'[27]RESUMEN CIRCULAR_DECRETO'!H38)</f>
        <v>5748607</v>
      </c>
      <c r="H50" s="38">
        <f>IF(F50=0,"No se requiere",'[27]RESUMEN CIRCULAR_DECRETO'!K38)</f>
        <v>6237009</v>
      </c>
      <c r="I50" s="38">
        <f>IF(G50=0,"No se requiere",'[27]RESUMEN CIRCULAR_DECRETO'!N38)</f>
        <v>6339322</v>
      </c>
      <c r="J50" s="38">
        <f>IF(H50=0,"No se requiere",'[27]RESUMEN CIRCULAR_DECRETO'!Q38)</f>
        <v>6760074</v>
      </c>
      <c r="K50" s="38">
        <f>IF(I50=0,"No se requiere",'[27]RESUMEN CIRCULAR_DECRETO'!T38)</f>
        <v>6781896</v>
      </c>
      <c r="L50" s="39">
        <f t="shared" si="0"/>
        <v>5748607</v>
      </c>
      <c r="M50" s="39">
        <f t="shared" si="2"/>
        <v>5748607</v>
      </c>
      <c r="N50" s="39">
        <f t="shared" si="1"/>
        <v>6237009</v>
      </c>
      <c r="O50" s="39">
        <f t="shared" si="3"/>
        <v>40540559</v>
      </c>
      <c r="P50" s="39">
        <f t="shared" si="4"/>
        <v>6339322</v>
      </c>
      <c r="Q50" s="39">
        <f t="shared" si="5"/>
        <v>34866271</v>
      </c>
      <c r="R50" s="39">
        <f t="shared" si="6"/>
        <v>6760074</v>
      </c>
      <c r="S50" s="39">
        <f t="shared" si="7"/>
        <v>43940481</v>
      </c>
      <c r="T50" s="39">
        <f t="shared" si="8"/>
        <v>6781896</v>
      </c>
      <c r="U50" s="39">
        <f t="shared" si="9"/>
        <v>37300428</v>
      </c>
      <c r="V50" s="81">
        <f t="shared" si="10"/>
        <v>162396346</v>
      </c>
    </row>
    <row r="51" spans="2:22" s="2" customFormat="1" ht="27" customHeight="1">
      <c r="B51" s="201" t="s">
        <v>1212</v>
      </c>
      <c r="C51" s="201"/>
      <c r="D51" s="201"/>
      <c r="E51" s="201"/>
      <c r="F51" s="201"/>
      <c r="G51" s="201"/>
      <c r="H51" s="201"/>
      <c r="I51" s="201"/>
      <c r="J51" s="201"/>
      <c r="K51" s="201"/>
      <c r="L51" s="201"/>
      <c r="M51" s="201"/>
      <c r="N51" s="201"/>
      <c r="O51" s="201"/>
      <c r="P51" s="201"/>
      <c r="Q51" s="201"/>
      <c r="R51" s="201"/>
      <c r="S51" s="201"/>
      <c r="T51" s="201"/>
      <c r="U51" s="201"/>
      <c r="V51" s="81">
        <f>SUM(V45:V50)</f>
        <v>6404888825</v>
      </c>
    </row>
    <row r="52" spans="2:22" s="2" customFormat="1" ht="12.5">
      <c r="C52" s="4"/>
      <c r="D52" s="4"/>
      <c r="E52" s="4"/>
      <c r="F52" s="4"/>
      <c r="G52" s="4"/>
      <c r="H52" s="4"/>
    </row>
    <row r="53" spans="2:22" s="2" customFormat="1" ht="12.5">
      <c r="C53" s="4"/>
      <c r="D53" s="4"/>
      <c r="E53" s="4"/>
      <c r="F53" s="4"/>
      <c r="G53" s="4"/>
      <c r="H53" s="4"/>
    </row>
    <row r="54" spans="2:22" s="2" customFormat="1" ht="27.75" customHeight="1">
      <c r="B54" s="200" t="s">
        <v>1193</v>
      </c>
      <c r="C54" s="200"/>
      <c r="D54" s="200"/>
      <c r="E54" s="200"/>
      <c r="F54" s="200"/>
      <c r="G54" s="200"/>
      <c r="H54" s="200"/>
      <c r="I54" s="200"/>
      <c r="J54" s="200"/>
      <c r="K54" s="200"/>
      <c r="L54" s="200"/>
      <c r="M54" s="200"/>
      <c r="N54" s="200"/>
      <c r="O54" s="200"/>
      <c r="P54" s="200"/>
      <c r="Q54" s="200"/>
      <c r="R54" s="200"/>
      <c r="S54" s="200"/>
      <c r="T54" s="200"/>
      <c r="U54" s="200"/>
      <c r="V54" s="200"/>
    </row>
    <row r="55" spans="2:22" s="2" customFormat="1" ht="12.5">
      <c r="C55" s="4"/>
      <c r="D55" s="4"/>
      <c r="E55" s="4"/>
      <c r="F55" s="4"/>
      <c r="G55" s="4"/>
      <c r="H55" s="4"/>
    </row>
    <row r="56" spans="2:22" s="2" customFormat="1" ht="61.5" customHeight="1">
      <c r="B56" s="169" t="s">
        <v>1194</v>
      </c>
      <c r="C56" s="169"/>
      <c r="D56" s="169"/>
      <c r="E56" s="169"/>
      <c r="F56" s="169" t="s">
        <v>1214</v>
      </c>
      <c r="G56" s="169"/>
      <c r="H56" s="169"/>
      <c r="I56" s="169"/>
      <c r="J56" s="169"/>
      <c r="K56" s="169"/>
      <c r="L56" s="169"/>
      <c r="M56" s="169"/>
      <c r="N56" s="169"/>
      <c r="O56" s="169"/>
      <c r="P56" s="169"/>
    </row>
    <row r="57" spans="2:22" s="2" customFormat="1" ht="60" customHeight="1">
      <c r="B57" s="74" t="s">
        <v>1176</v>
      </c>
      <c r="C57" s="29" t="s">
        <v>1177</v>
      </c>
      <c r="D57" s="173" t="s">
        <v>125</v>
      </c>
      <c r="E57" s="174"/>
      <c r="F57" s="60" t="s">
        <v>124</v>
      </c>
      <c r="G57" s="75" t="s">
        <v>126</v>
      </c>
      <c r="H57" s="75" t="s">
        <v>1215</v>
      </c>
      <c r="I57" s="75" t="s">
        <v>1216</v>
      </c>
      <c r="J57" s="85" t="s">
        <v>1217</v>
      </c>
      <c r="K57" s="85" t="s">
        <v>1218</v>
      </c>
      <c r="L57" s="85" t="s">
        <v>1219</v>
      </c>
      <c r="M57" s="85" t="s">
        <v>1220</v>
      </c>
      <c r="N57" s="85" t="s">
        <v>1221</v>
      </c>
      <c r="O57" s="85" t="s">
        <v>1222</v>
      </c>
      <c r="P57" s="60" t="s">
        <v>1223</v>
      </c>
    </row>
    <row r="58" spans="2:22" s="2" customFormat="1" ht="57.75" customHeight="1">
      <c r="B58" s="59">
        <v>1</v>
      </c>
      <c r="C58" s="67" t="s">
        <v>1149</v>
      </c>
      <c r="D58" s="196" t="s">
        <v>1150</v>
      </c>
      <c r="E58" s="196"/>
      <c r="F58" s="76">
        <v>8</v>
      </c>
      <c r="G58" s="54">
        <v>3200000</v>
      </c>
      <c r="H58" s="54">
        <f>(G58*8.5%)+G58</f>
        <v>3472000</v>
      </c>
      <c r="I58" s="54">
        <f t="shared" ref="I58:I80" si="11">(H58*8.5%)+H58</f>
        <v>3767120</v>
      </c>
      <c r="J58" s="39">
        <f t="shared" ref="J58:J80" si="12">ROUND(G58*F58,0)</f>
        <v>25600000</v>
      </c>
      <c r="K58" s="39">
        <f>J58*$I$35</f>
        <v>25600000</v>
      </c>
      <c r="L58" s="39">
        <f>ROUND(H58*F58,0)</f>
        <v>27776000</v>
      </c>
      <c r="M58" s="39">
        <f>L58*(SUM($J$35:$K$35))</f>
        <v>333312000</v>
      </c>
      <c r="N58" s="39">
        <f>ROUND(I58*F58,0)</f>
        <v>30136960</v>
      </c>
      <c r="O58" s="39">
        <f>N58*(SUM($L$35:$M$35))</f>
        <v>361643520</v>
      </c>
      <c r="P58" s="81">
        <f>K58+M58+O58</f>
        <v>720555520</v>
      </c>
    </row>
    <row r="59" spans="2:22" s="2" customFormat="1" ht="78" customHeight="1">
      <c r="B59" s="59">
        <v>2</v>
      </c>
      <c r="C59" s="67" t="s">
        <v>1149</v>
      </c>
      <c r="D59" s="196" t="s">
        <v>1151</v>
      </c>
      <c r="E59" s="196" t="s">
        <v>1151</v>
      </c>
      <c r="F59" s="76">
        <v>8</v>
      </c>
      <c r="G59" s="54">
        <v>865700</v>
      </c>
      <c r="H59" s="54">
        <f>(G59*8.5%)+G59</f>
        <v>939284.5</v>
      </c>
      <c r="I59" s="54">
        <f t="shared" si="11"/>
        <v>1019123.6825</v>
      </c>
      <c r="J59" s="39">
        <f t="shared" si="12"/>
        <v>6925600</v>
      </c>
      <c r="K59" s="39">
        <f t="shared" ref="K59:K80" si="13">J59*$I$35</f>
        <v>6925600</v>
      </c>
      <c r="L59" s="39">
        <f t="shared" ref="L59:L80" si="14">ROUND(H59*F59,0)</f>
        <v>7514276</v>
      </c>
      <c r="M59" s="39">
        <f t="shared" ref="M59:M80" si="15">L59*(SUM($J$35:$K$35))</f>
        <v>90171312</v>
      </c>
      <c r="N59" s="39">
        <f t="shared" ref="N59:N80" si="16">ROUND(I59*F59,0)</f>
        <v>8152989</v>
      </c>
      <c r="O59" s="39">
        <f t="shared" ref="O59:O80" si="17">N59*(SUM($L$35:$M$35))</f>
        <v>97835868</v>
      </c>
      <c r="P59" s="81">
        <f t="shared" ref="P59:P80" si="18">K59+M59+O59</f>
        <v>194932780</v>
      </c>
    </row>
    <row r="60" spans="2:22" s="2" customFormat="1" ht="78" customHeight="1">
      <c r="B60" s="59">
        <v>3</v>
      </c>
      <c r="C60" s="67" t="s">
        <v>1149</v>
      </c>
      <c r="D60" s="196" t="s">
        <v>1152</v>
      </c>
      <c r="E60" s="196" t="s">
        <v>1152</v>
      </c>
      <c r="F60" s="76">
        <f>36+5</f>
        <v>41</v>
      </c>
      <c r="G60" s="54">
        <v>656000</v>
      </c>
      <c r="H60" s="54">
        <f t="shared" ref="H60:H80" si="19">(G60*8.5%)+G60</f>
        <v>711760</v>
      </c>
      <c r="I60" s="54">
        <f t="shared" si="11"/>
        <v>772259.6</v>
      </c>
      <c r="J60" s="39">
        <f t="shared" si="12"/>
        <v>26896000</v>
      </c>
      <c r="K60" s="39">
        <f t="shared" si="13"/>
        <v>26896000</v>
      </c>
      <c r="L60" s="39">
        <f t="shared" si="14"/>
        <v>29182160</v>
      </c>
      <c r="M60" s="39">
        <f t="shared" si="15"/>
        <v>350185920</v>
      </c>
      <c r="N60" s="39">
        <f t="shared" si="16"/>
        <v>31662644</v>
      </c>
      <c r="O60" s="39">
        <f t="shared" si="17"/>
        <v>379951728</v>
      </c>
      <c r="P60" s="81">
        <f t="shared" si="18"/>
        <v>757033648</v>
      </c>
    </row>
    <row r="61" spans="2:22" s="2" customFormat="1" ht="78" customHeight="1">
      <c r="B61" s="59">
        <v>4</v>
      </c>
      <c r="C61" s="67" t="s">
        <v>1149</v>
      </c>
      <c r="D61" s="196" t="s">
        <v>1153</v>
      </c>
      <c r="E61" s="196" t="s">
        <v>1153</v>
      </c>
      <c r="F61" s="76">
        <f>70+1</f>
        <v>71</v>
      </c>
      <c r="G61" s="54">
        <f>+G60</f>
        <v>656000</v>
      </c>
      <c r="H61" s="54">
        <f t="shared" si="19"/>
        <v>711760</v>
      </c>
      <c r="I61" s="54">
        <f t="shared" si="11"/>
        <v>772259.6</v>
      </c>
      <c r="J61" s="39">
        <f t="shared" si="12"/>
        <v>46576000</v>
      </c>
      <c r="K61" s="39">
        <f t="shared" si="13"/>
        <v>46576000</v>
      </c>
      <c r="L61" s="39">
        <f t="shared" si="14"/>
        <v>50534960</v>
      </c>
      <c r="M61" s="39">
        <f t="shared" si="15"/>
        <v>606419520</v>
      </c>
      <c r="N61" s="39">
        <f t="shared" si="16"/>
        <v>54830432</v>
      </c>
      <c r="O61" s="39">
        <f t="shared" si="17"/>
        <v>657965184</v>
      </c>
      <c r="P61" s="81">
        <f t="shared" si="18"/>
        <v>1310960704</v>
      </c>
    </row>
    <row r="62" spans="2:22" s="2" customFormat="1" ht="78" customHeight="1">
      <c r="B62" s="59">
        <v>5</v>
      </c>
      <c r="C62" s="67" t="s">
        <v>1149</v>
      </c>
      <c r="D62" s="196" t="s">
        <v>1154</v>
      </c>
      <c r="E62" s="196" t="s">
        <v>1154</v>
      </c>
      <c r="F62" s="76">
        <v>4</v>
      </c>
      <c r="G62" s="54">
        <v>23000000</v>
      </c>
      <c r="H62" s="54">
        <f t="shared" si="19"/>
        <v>24955000</v>
      </c>
      <c r="I62" s="54">
        <f t="shared" si="11"/>
        <v>27076175</v>
      </c>
      <c r="J62" s="39">
        <f t="shared" si="12"/>
        <v>92000000</v>
      </c>
      <c r="K62" s="39">
        <f t="shared" si="13"/>
        <v>92000000</v>
      </c>
      <c r="L62" s="39">
        <f t="shared" si="14"/>
        <v>99820000</v>
      </c>
      <c r="M62" s="39">
        <f t="shared" si="15"/>
        <v>1197840000</v>
      </c>
      <c r="N62" s="39">
        <f t="shared" si="16"/>
        <v>108304700</v>
      </c>
      <c r="O62" s="39">
        <f t="shared" si="17"/>
        <v>1299656400</v>
      </c>
      <c r="P62" s="81">
        <f t="shared" si="18"/>
        <v>2589496400</v>
      </c>
    </row>
    <row r="63" spans="2:22" s="2" customFormat="1" ht="71.25" customHeight="1">
      <c r="B63" s="59">
        <v>6</v>
      </c>
      <c r="C63" s="67" t="s">
        <v>1155</v>
      </c>
      <c r="D63" s="196" t="s">
        <v>1156</v>
      </c>
      <c r="E63" s="196"/>
      <c r="F63" s="76">
        <v>34</v>
      </c>
      <c r="G63" s="54">
        <v>68924</v>
      </c>
      <c r="H63" s="54">
        <f t="shared" si="19"/>
        <v>74782.540000000008</v>
      </c>
      <c r="I63" s="54">
        <f t="shared" si="11"/>
        <v>81139.055900000007</v>
      </c>
      <c r="J63" s="39">
        <f t="shared" si="12"/>
        <v>2343416</v>
      </c>
      <c r="K63" s="39">
        <f t="shared" si="13"/>
        <v>2343416</v>
      </c>
      <c r="L63" s="39">
        <f t="shared" si="14"/>
        <v>2542606</v>
      </c>
      <c r="M63" s="39">
        <f t="shared" si="15"/>
        <v>30511272</v>
      </c>
      <c r="N63" s="39">
        <f t="shared" si="16"/>
        <v>2758728</v>
      </c>
      <c r="O63" s="39">
        <f t="shared" si="17"/>
        <v>33104736</v>
      </c>
      <c r="P63" s="81">
        <f t="shared" si="18"/>
        <v>65959424</v>
      </c>
    </row>
    <row r="64" spans="2:22" s="2" customFormat="1" ht="71.25" customHeight="1">
      <c r="B64" s="59">
        <v>7</v>
      </c>
      <c r="C64" s="67" t="s">
        <v>1155</v>
      </c>
      <c r="D64" s="196" t="s">
        <v>1157</v>
      </c>
      <c r="E64" s="196" t="s">
        <v>127</v>
      </c>
      <c r="F64" s="76">
        <v>8</v>
      </c>
      <c r="G64" s="54">
        <v>3500000</v>
      </c>
      <c r="H64" s="54">
        <f t="shared" si="19"/>
        <v>3797500</v>
      </c>
      <c r="I64" s="54">
        <f t="shared" si="11"/>
        <v>4120287.5</v>
      </c>
      <c r="J64" s="39">
        <f t="shared" si="12"/>
        <v>28000000</v>
      </c>
      <c r="K64" s="39">
        <f t="shared" si="13"/>
        <v>28000000</v>
      </c>
      <c r="L64" s="39">
        <f t="shared" si="14"/>
        <v>30380000</v>
      </c>
      <c r="M64" s="39">
        <f t="shared" si="15"/>
        <v>364560000</v>
      </c>
      <c r="N64" s="39">
        <f t="shared" si="16"/>
        <v>32962300</v>
      </c>
      <c r="O64" s="39">
        <f t="shared" si="17"/>
        <v>395547600</v>
      </c>
      <c r="P64" s="81">
        <f t="shared" si="18"/>
        <v>788107600</v>
      </c>
    </row>
    <row r="65" spans="2:16" s="2" customFormat="1" ht="71.25" customHeight="1">
      <c r="B65" s="59">
        <v>8</v>
      </c>
      <c r="C65" s="67" t="s">
        <v>1155</v>
      </c>
      <c r="D65" s="196" t="s">
        <v>1158</v>
      </c>
      <c r="E65" s="196" t="s">
        <v>128</v>
      </c>
      <c r="F65" s="76">
        <v>7</v>
      </c>
      <c r="G65" s="54">
        <v>145000</v>
      </c>
      <c r="H65" s="54">
        <f t="shared" si="19"/>
        <v>157325</v>
      </c>
      <c r="I65" s="54">
        <f t="shared" si="11"/>
        <v>170697.625</v>
      </c>
      <c r="J65" s="39">
        <f t="shared" si="12"/>
        <v>1015000</v>
      </c>
      <c r="K65" s="39">
        <f t="shared" si="13"/>
        <v>1015000</v>
      </c>
      <c r="L65" s="39">
        <f t="shared" si="14"/>
        <v>1101275</v>
      </c>
      <c r="M65" s="39">
        <f t="shared" si="15"/>
        <v>13215300</v>
      </c>
      <c r="N65" s="39">
        <f t="shared" si="16"/>
        <v>1194883</v>
      </c>
      <c r="O65" s="39">
        <f t="shared" si="17"/>
        <v>14338596</v>
      </c>
      <c r="P65" s="81">
        <f t="shared" si="18"/>
        <v>28568896</v>
      </c>
    </row>
    <row r="66" spans="2:16" s="2" customFormat="1" ht="71.25" customHeight="1">
      <c r="B66" s="59">
        <v>9</v>
      </c>
      <c r="C66" s="67" t="s">
        <v>1155</v>
      </c>
      <c r="D66" s="196" t="s">
        <v>1159</v>
      </c>
      <c r="E66" s="196" t="s">
        <v>1178</v>
      </c>
      <c r="F66" s="76">
        <v>9</v>
      </c>
      <c r="G66" s="54">
        <v>745000</v>
      </c>
      <c r="H66" s="54">
        <f t="shared" si="19"/>
        <v>808325</v>
      </c>
      <c r="I66" s="54">
        <f t="shared" si="11"/>
        <v>877032.625</v>
      </c>
      <c r="J66" s="39">
        <f t="shared" si="12"/>
        <v>6705000</v>
      </c>
      <c r="K66" s="39">
        <f t="shared" si="13"/>
        <v>6705000</v>
      </c>
      <c r="L66" s="39">
        <f t="shared" si="14"/>
        <v>7274925</v>
      </c>
      <c r="M66" s="39">
        <f t="shared" si="15"/>
        <v>87299100</v>
      </c>
      <c r="N66" s="39">
        <f t="shared" si="16"/>
        <v>7893294</v>
      </c>
      <c r="O66" s="39">
        <f t="shared" si="17"/>
        <v>94719528</v>
      </c>
      <c r="P66" s="81">
        <f t="shared" si="18"/>
        <v>188723628</v>
      </c>
    </row>
    <row r="67" spans="2:16" s="2" customFormat="1" ht="71.25" customHeight="1">
      <c r="B67" s="59">
        <v>10</v>
      </c>
      <c r="C67" s="67" t="s">
        <v>1155</v>
      </c>
      <c r="D67" s="196" t="s">
        <v>1160</v>
      </c>
      <c r="E67" s="196" t="s">
        <v>1178</v>
      </c>
      <c r="F67" s="76">
        <v>8</v>
      </c>
      <c r="G67" s="54">
        <v>1245000</v>
      </c>
      <c r="H67" s="54">
        <f t="shared" si="19"/>
        <v>1350825</v>
      </c>
      <c r="I67" s="54">
        <f t="shared" si="11"/>
        <v>1465645.125</v>
      </c>
      <c r="J67" s="39">
        <f t="shared" si="12"/>
        <v>9960000</v>
      </c>
      <c r="K67" s="39">
        <f t="shared" si="13"/>
        <v>9960000</v>
      </c>
      <c r="L67" s="39">
        <f t="shared" si="14"/>
        <v>10806600</v>
      </c>
      <c r="M67" s="39">
        <f t="shared" si="15"/>
        <v>129679200</v>
      </c>
      <c r="N67" s="39">
        <f t="shared" si="16"/>
        <v>11725161</v>
      </c>
      <c r="O67" s="39">
        <f t="shared" si="17"/>
        <v>140701932</v>
      </c>
      <c r="P67" s="81">
        <f t="shared" si="18"/>
        <v>280341132</v>
      </c>
    </row>
    <row r="68" spans="2:16" s="2" customFormat="1" ht="44.25" customHeight="1">
      <c r="B68" s="59">
        <v>11</v>
      </c>
      <c r="C68" s="67" t="s">
        <v>1155</v>
      </c>
      <c r="D68" s="196" t="s">
        <v>1161</v>
      </c>
      <c r="E68" s="196" t="s">
        <v>1178</v>
      </c>
      <c r="F68" s="76">
        <v>77</v>
      </c>
      <c r="G68" s="54">
        <v>125000</v>
      </c>
      <c r="H68" s="54">
        <f t="shared" si="19"/>
        <v>135625</v>
      </c>
      <c r="I68" s="54">
        <f t="shared" si="11"/>
        <v>147153.125</v>
      </c>
      <c r="J68" s="39">
        <f t="shared" si="12"/>
        <v>9625000</v>
      </c>
      <c r="K68" s="39">
        <f t="shared" si="13"/>
        <v>9625000</v>
      </c>
      <c r="L68" s="39">
        <f t="shared" si="14"/>
        <v>10443125</v>
      </c>
      <c r="M68" s="39">
        <f t="shared" si="15"/>
        <v>125317500</v>
      </c>
      <c r="N68" s="39">
        <f t="shared" si="16"/>
        <v>11330791</v>
      </c>
      <c r="O68" s="39">
        <f t="shared" si="17"/>
        <v>135969492</v>
      </c>
      <c r="P68" s="81">
        <f t="shared" si="18"/>
        <v>270911992</v>
      </c>
    </row>
    <row r="69" spans="2:16" s="2" customFormat="1" ht="44.25" customHeight="1">
      <c r="B69" s="59">
        <v>12</v>
      </c>
      <c r="C69" s="67" t="s">
        <v>1155</v>
      </c>
      <c r="D69" s="196" t="s">
        <v>1162</v>
      </c>
      <c r="E69" s="196" t="s">
        <v>1179</v>
      </c>
      <c r="F69" s="76">
        <v>17</v>
      </c>
      <c r="G69" s="54">
        <v>215000</v>
      </c>
      <c r="H69" s="54">
        <f t="shared" si="19"/>
        <v>233275</v>
      </c>
      <c r="I69" s="54">
        <f t="shared" si="11"/>
        <v>253103.375</v>
      </c>
      <c r="J69" s="39">
        <f t="shared" si="12"/>
        <v>3655000</v>
      </c>
      <c r="K69" s="39">
        <f t="shared" si="13"/>
        <v>3655000</v>
      </c>
      <c r="L69" s="39">
        <f t="shared" si="14"/>
        <v>3965675</v>
      </c>
      <c r="M69" s="39">
        <f t="shared" si="15"/>
        <v>47588100</v>
      </c>
      <c r="N69" s="39">
        <f t="shared" si="16"/>
        <v>4302757</v>
      </c>
      <c r="O69" s="39">
        <f t="shared" si="17"/>
        <v>51633084</v>
      </c>
      <c r="P69" s="81">
        <f t="shared" si="18"/>
        <v>102876184</v>
      </c>
    </row>
    <row r="70" spans="2:16" s="2" customFormat="1" ht="44.25" customHeight="1">
      <c r="B70" s="59">
        <v>13</v>
      </c>
      <c r="C70" s="67" t="s">
        <v>1155</v>
      </c>
      <c r="D70" s="196" t="s">
        <v>1163</v>
      </c>
      <c r="E70" s="196" t="s">
        <v>129</v>
      </c>
      <c r="F70" s="76">
        <v>12</v>
      </c>
      <c r="G70" s="54">
        <v>652000</v>
      </c>
      <c r="H70" s="54">
        <f t="shared" si="19"/>
        <v>707420</v>
      </c>
      <c r="I70" s="54">
        <f t="shared" si="11"/>
        <v>767550.7</v>
      </c>
      <c r="J70" s="39">
        <f t="shared" si="12"/>
        <v>7824000</v>
      </c>
      <c r="K70" s="39">
        <f t="shared" si="13"/>
        <v>7824000</v>
      </c>
      <c r="L70" s="39">
        <f t="shared" si="14"/>
        <v>8489040</v>
      </c>
      <c r="M70" s="39">
        <f t="shared" si="15"/>
        <v>101868480</v>
      </c>
      <c r="N70" s="39">
        <f t="shared" si="16"/>
        <v>9210608</v>
      </c>
      <c r="O70" s="39">
        <f t="shared" si="17"/>
        <v>110527296</v>
      </c>
      <c r="P70" s="81">
        <f t="shared" si="18"/>
        <v>220219776</v>
      </c>
    </row>
    <row r="71" spans="2:16" s="2" customFormat="1" ht="44.25" customHeight="1">
      <c r="B71" s="59">
        <v>14</v>
      </c>
      <c r="C71" s="67" t="s">
        <v>1155</v>
      </c>
      <c r="D71" s="196" t="s">
        <v>1164</v>
      </c>
      <c r="E71" s="196" t="s">
        <v>130</v>
      </c>
      <c r="F71" s="76">
        <v>14</v>
      </c>
      <c r="G71" s="54">
        <v>89000</v>
      </c>
      <c r="H71" s="54">
        <f t="shared" si="19"/>
        <v>96565</v>
      </c>
      <c r="I71" s="54">
        <f t="shared" si="11"/>
        <v>104773.02499999999</v>
      </c>
      <c r="J71" s="39">
        <f t="shared" si="12"/>
        <v>1246000</v>
      </c>
      <c r="K71" s="39">
        <f t="shared" si="13"/>
        <v>1246000</v>
      </c>
      <c r="L71" s="39">
        <f t="shared" si="14"/>
        <v>1351910</v>
      </c>
      <c r="M71" s="39">
        <f t="shared" si="15"/>
        <v>16222920</v>
      </c>
      <c r="N71" s="39">
        <f t="shared" si="16"/>
        <v>1466822</v>
      </c>
      <c r="O71" s="39">
        <f t="shared" si="17"/>
        <v>17601864</v>
      </c>
      <c r="P71" s="81">
        <f t="shared" si="18"/>
        <v>35070784</v>
      </c>
    </row>
    <row r="72" spans="2:16" s="2" customFormat="1" ht="44.25" customHeight="1">
      <c r="B72" s="59">
        <v>15</v>
      </c>
      <c r="C72" s="67" t="s">
        <v>1155</v>
      </c>
      <c r="D72" s="196" t="s">
        <v>1165</v>
      </c>
      <c r="E72" s="196" t="s">
        <v>131</v>
      </c>
      <c r="F72" s="76">
        <v>1</v>
      </c>
      <c r="G72" s="54">
        <v>110000</v>
      </c>
      <c r="H72" s="54">
        <f t="shared" si="19"/>
        <v>119350</v>
      </c>
      <c r="I72" s="54">
        <f t="shared" si="11"/>
        <v>129494.75</v>
      </c>
      <c r="J72" s="39">
        <f t="shared" si="12"/>
        <v>110000</v>
      </c>
      <c r="K72" s="39">
        <f t="shared" si="13"/>
        <v>110000</v>
      </c>
      <c r="L72" s="39">
        <f t="shared" si="14"/>
        <v>119350</v>
      </c>
      <c r="M72" s="39">
        <f t="shared" si="15"/>
        <v>1432200</v>
      </c>
      <c r="N72" s="39">
        <f t="shared" si="16"/>
        <v>129495</v>
      </c>
      <c r="O72" s="39">
        <f t="shared" si="17"/>
        <v>1553940</v>
      </c>
      <c r="P72" s="81">
        <f t="shared" si="18"/>
        <v>3096140</v>
      </c>
    </row>
    <row r="73" spans="2:16" s="2" customFormat="1" ht="61.5" customHeight="1">
      <c r="B73" s="59">
        <v>16</v>
      </c>
      <c r="C73" s="67" t="s">
        <v>1155</v>
      </c>
      <c r="D73" s="196" t="s">
        <v>1166</v>
      </c>
      <c r="E73" s="196" t="s">
        <v>132</v>
      </c>
      <c r="F73" s="76">
        <v>3</v>
      </c>
      <c r="G73" s="54">
        <v>6800000</v>
      </c>
      <c r="H73" s="54">
        <f t="shared" si="19"/>
        <v>7378000</v>
      </c>
      <c r="I73" s="54">
        <f t="shared" si="11"/>
        <v>8005130</v>
      </c>
      <c r="J73" s="39">
        <f t="shared" si="12"/>
        <v>20400000</v>
      </c>
      <c r="K73" s="39">
        <f t="shared" si="13"/>
        <v>20400000</v>
      </c>
      <c r="L73" s="39">
        <f t="shared" si="14"/>
        <v>22134000</v>
      </c>
      <c r="M73" s="39">
        <f t="shared" si="15"/>
        <v>265608000</v>
      </c>
      <c r="N73" s="39">
        <f t="shared" si="16"/>
        <v>24015390</v>
      </c>
      <c r="O73" s="39">
        <f t="shared" si="17"/>
        <v>288184680</v>
      </c>
      <c r="P73" s="81">
        <f t="shared" si="18"/>
        <v>574192680</v>
      </c>
    </row>
    <row r="74" spans="2:16" s="2" customFormat="1" ht="44.25" customHeight="1">
      <c r="B74" s="59">
        <v>17</v>
      </c>
      <c r="C74" s="67" t="s">
        <v>1167</v>
      </c>
      <c r="D74" s="196" t="s">
        <v>1168</v>
      </c>
      <c r="E74" s="196"/>
      <c r="F74" s="76">
        <v>5</v>
      </c>
      <c r="G74" s="54">
        <v>730000</v>
      </c>
      <c r="H74" s="54">
        <f t="shared" si="19"/>
        <v>792050</v>
      </c>
      <c r="I74" s="54">
        <f t="shared" si="11"/>
        <v>859374.25</v>
      </c>
      <c r="J74" s="39">
        <f t="shared" si="12"/>
        <v>3650000</v>
      </c>
      <c r="K74" s="39">
        <f t="shared" si="13"/>
        <v>3650000</v>
      </c>
      <c r="L74" s="39">
        <f t="shared" si="14"/>
        <v>3960250</v>
      </c>
      <c r="M74" s="39">
        <f t="shared" si="15"/>
        <v>47523000</v>
      </c>
      <c r="N74" s="39">
        <f t="shared" si="16"/>
        <v>4296871</v>
      </c>
      <c r="O74" s="39">
        <f t="shared" si="17"/>
        <v>51562452</v>
      </c>
      <c r="P74" s="81">
        <f t="shared" si="18"/>
        <v>102735452</v>
      </c>
    </row>
    <row r="75" spans="2:16" s="2" customFormat="1" ht="44.25" customHeight="1">
      <c r="B75" s="59">
        <v>18</v>
      </c>
      <c r="C75" s="67" t="s">
        <v>1167</v>
      </c>
      <c r="D75" s="196" t="s">
        <v>1169</v>
      </c>
      <c r="E75" s="196" t="s">
        <v>1169</v>
      </c>
      <c r="F75" s="76">
        <v>34</v>
      </c>
      <c r="G75" s="54">
        <v>180000</v>
      </c>
      <c r="H75" s="54">
        <f t="shared" si="19"/>
        <v>195300</v>
      </c>
      <c r="I75" s="54">
        <f t="shared" si="11"/>
        <v>211900.5</v>
      </c>
      <c r="J75" s="39">
        <f t="shared" si="12"/>
        <v>6120000</v>
      </c>
      <c r="K75" s="39">
        <f t="shared" si="13"/>
        <v>6120000</v>
      </c>
      <c r="L75" s="39">
        <f t="shared" si="14"/>
        <v>6640200</v>
      </c>
      <c r="M75" s="39">
        <f t="shared" si="15"/>
        <v>79682400</v>
      </c>
      <c r="N75" s="39">
        <f t="shared" si="16"/>
        <v>7204617</v>
      </c>
      <c r="O75" s="39">
        <f t="shared" si="17"/>
        <v>86455404</v>
      </c>
      <c r="P75" s="81">
        <f t="shared" si="18"/>
        <v>172257804</v>
      </c>
    </row>
    <row r="76" spans="2:16" s="2" customFormat="1" ht="44.25" customHeight="1">
      <c r="B76" s="59">
        <v>19</v>
      </c>
      <c r="C76" s="67" t="s">
        <v>1170</v>
      </c>
      <c r="D76" s="196" t="s">
        <v>1171</v>
      </c>
      <c r="E76" s="196"/>
      <c r="F76" s="76">
        <v>22</v>
      </c>
      <c r="G76" s="54">
        <v>350000</v>
      </c>
      <c r="H76" s="54">
        <f t="shared" si="19"/>
        <v>379750</v>
      </c>
      <c r="I76" s="54">
        <f t="shared" si="11"/>
        <v>412028.75</v>
      </c>
      <c r="J76" s="39">
        <f t="shared" si="12"/>
        <v>7700000</v>
      </c>
      <c r="K76" s="39">
        <f t="shared" si="13"/>
        <v>7700000</v>
      </c>
      <c r="L76" s="39">
        <f t="shared" si="14"/>
        <v>8354500</v>
      </c>
      <c r="M76" s="39">
        <f t="shared" si="15"/>
        <v>100254000</v>
      </c>
      <c r="N76" s="39">
        <f t="shared" si="16"/>
        <v>9064633</v>
      </c>
      <c r="O76" s="39">
        <f t="shared" si="17"/>
        <v>108775596</v>
      </c>
      <c r="P76" s="81">
        <f t="shared" si="18"/>
        <v>216729596</v>
      </c>
    </row>
    <row r="77" spans="2:16" s="2" customFormat="1" ht="44.25" customHeight="1">
      <c r="B77" s="59">
        <v>20</v>
      </c>
      <c r="C77" s="67" t="s">
        <v>1170</v>
      </c>
      <c r="D77" s="196" t="s">
        <v>1172</v>
      </c>
      <c r="E77" s="196" t="s">
        <v>1172</v>
      </c>
      <c r="F77" s="76">
        <v>8</v>
      </c>
      <c r="G77" s="54">
        <v>450000</v>
      </c>
      <c r="H77" s="54">
        <f t="shared" si="19"/>
        <v>488250</v>
      </c>
      <c r="I77" s="54">
        <f t="shared" si="11"/>
        <v>529751.25</v>
      </c>
      <c r="J77" s="39">
        <f t="shared" si="12"/>
        <v>3600000</v>
      </c>
      <c r="K77" s="39">
        <f t="shared" si="13"/>
        <v>3600000</v>
      </c>
      <c r="L77" s="39">
        <f t="shared" si="14"/>
        <v>3906000</v>
      </c>
      <c r="M77" s="39">
        <f t="shared" si="15"/>
        <v>46872000</v>
      </c>
      <c r="N77" s="39">
        <f t="shared" si="16"/>
        <v>4238010</v>
      </c>
      <c r="O77" s="39">
        <f t="shared" si="17"/>
        <v>50856120</v>
      </c>
      <c r="P77" s="81">
        <f t="shared" si="18"/>
        <v>101328120</v>
      </c>
    </row>
    <row r="78" spans="2:16" s="2" customFormat="1" ht="44.25" customHeight="1">
      <c r="B78" s="59">
        <v>21</v>
      </c>
      <c r="C78" s="67" t="s">
        <v>1170</v>
      </c>
      <c r="D78" s="196" t="s">
        <v>1173</v>
      </c>
      <c r="E78" s="196" t="s">
        <v>1173</v>
      </c>
      <c r="F78" s="76">
        <v>15</v>
      </c>
      <c r="G78" s="54">
        <v>147000</v>
      </c>
      <c r="H78" s="54">
        <f t="shared" si="19"/>
        <v>159495</v>
      </c>
      <c r="I78" s="54">
        <f t="shared" si="11"/>
        <v>173052.07500000001</v>
      </c>
      <c r="J78" s="39">
        <f t="shared" si="12"/>
        <v>2205000</v>
      </c>
      <c r="K78" s="39">
        <f t="shared" si="13"/>
        <v>2205000</v>
      </c>
      <c r="L78" s="39">
        <f t="shared" si="14"/>
        <v>2392425</v>
      </c>
      <c r="M78" s="39">
        <f t="shared" si="15"/>
        <v>28709100</v>
      </c>
      <c r="N78" s="39">
        <f t="shared" si="16"/>
        <v>2595781</v>
      </c>
      <c r="O78" s="39">
        <f t="shared" si="17"/>
        <v>31149372</v>
      </c>
      <c r="P78" s="81">
        <f t="shared" si="18"/>
        <v>62063472</v>
      </c>
    </row>
    <row r="79" spans="2:16" s="2" customFormat="1" ht="44.25" customHeight="1">
      <c r="B79" s="59">
        <v>22</v>
      </c>
      <c r="C79" s="67" t="s">
        <v>1170</v>
      </c>
      <c r="D79" s="196" t="s">
        <v>1174</v>
      </c>
      <c r="E79" s="196" t="s">
        <v>1174</v>
      </c>
      <c r="F79" s="76">
        <v>9</v>
      </c>
      <c r="G79" s="54">
        <v>270000</v>
      </c>
      <c r="H79" s="54">
        <f t="shared" si="19"/>
        <v>292950</v>
      </c>
      <c r="I79" s="54">
        <f t="shared" si="11"/>
        <v>317850.75</v>
      </c>
      <c r="J79" s="39">
        <f t="shared" si="12"/>
        <v>2430000</v>
      </c>
      <c r="K79" s="39">
        <f t="shared" si="13"/>
        <v>2430000</v>
      </c>
      <c r="L79" s="39">
        <f t="shared" si="14"/>
        <v>2636550</v>
      </c>
      <c r="M79" s="39">
        <f t="shared" si="15"/>
        <v>31638600</v>
      </c>
      <c r="N79" s="39">
        <f t="shared" si="16"/>
        <v>2860657</v>
      </c>
      <c r="O79" s="39">
        <f t="shared" si="17"/>
        <v>34327884</v>
      </c>
      <c r="P79" s="81">
        <f t="shared" si="18"/>
        <v>68396484</v>
      </c>
    </row>
    <row r="80" spans="2:16" s="2" customFormat="1" ht="44.25" customHeight="1">
      <c r="B80" s="59">
        <v>23</v>
      </c>
      <c r="C80" s="67" t="s">
        <v>1170</v>
      </c>
      <c r="D80" s="196" t="s">
        <v>1175</v>
      </c>
      <c r="E80" s="196"/>
      <c r="F80" s="76">
        <v>1</v>
      </c>
      <c r="G80" s="54">
        <v>800000</v>
      </c>
      <c r="H80" s="54">
        <f t="shared" si="19"/>
        <v>868000</v>
      </c>
      <c r="I80" s="54">
        <f t="shared" si="11"/>
        <v>941780</v>
      </c>
      <c r="J80" s="39">
        <f t="shared" si="12"/>
        <v>800000</v>
      </c>
      <c r="K80" s="39">
        <f t="shared" si="13"/>
        <v>800000</v>
      </c>
      <c r="L80" s="39">
        <f t="shared" si="14"/>
        <v>868000</v>
      </c>
      <c r="M80" s="39">
        <f t="shared" si="15"/>
        <v>10416000</v>
      </c>
      <c r="N80" s="39">
        <f t="shared" si="16"/>
        <v>941780</v>
      </c>
      <c r="O80" s="39">
        <f t="shared" si="17"/>
        <v>11301360</v>
      </c>
      <c r="P80" s="81">
        <f t="shared" si="18"/>
        <v>22517360</v>
      </c>
    </row>
    <row r="81" spans="2:16" s="2" customFormat="1" ht="24.75" customHeight="1">
      <c r="B81" s="201" t="s">
        <v>1224</v>
      </c>
      <c r="C81" s="201"/>
      <c r="D81" s="201"/>
      <c r="E81" s="201"/>
      <c r="F81" s="201"/>
      <c r="G81" s="201"/>
      <c r="H81" s="201"/>
      <c r="I81" s="201"/>
      <c r="J81" s="201"/>
      <c r="K81" s="201"/>
      <c r="L81" s="201"/>
      <c r="M81" s="201"/>
      <c r="N81" s="201"/>
      <c r="O81" s="201"/>
      <c r="P81" s="81">
        <f>SUM(P58:P80)</f>
        <v>8877075576</v>
      </c>
    </row>
    <row r="82" spans="2:16" s="2" customFormat="1" ht="12.5">
      <c r="C82" s="4"/>
      <c r="D82" s="4"/>
      <c r="E82" s="4"/>
      <c r="F82" s="4"/>
      <c r="G82" s="99">
        <f>SUM(G58:G80)</f>
        <v>44999624</v>
      </c>
      <c r="H82" s="99">
        <f>SUM(H58:H80)</f>
        <v>48824592.039999999</v>
      </c>
      <c r="I82" s="99">
        <f>SUM(I58:I80)</f>
        <v>52974682.363400005</v>
      </c>
    </row>
    <row r="83" spans="2:16" s="2" customFormat="1" ht="29.25" customHeight="1">
      <c r="B83" s="171" t="s">
        <v>1184</v>
      </c>
      <c r="C83" s="172"/>
      <c r="D83" s="172"/>
      <c r="E83" s="172"/>
      <c r="F83" s="172"/>
      <c r="G83" s="172"/>
      <c r="H83" s="172"/>
      <c r="I83" s="172"/>
      <c r="J83" s="197"/>
    </row>
    <row r="84" spans="2:16" s="2" customFormat="1" ht="29.25" customHeight="1">
      <c r="C84" s="4"/>
      <c r="D84" s="4"/>
      <c r="E84" s="4"/>
      <c r="F84" s="4"/>
      <c r="G84" s="4"/>
      <c r="H84" s="4"/>
    </row>
    <row r="85" spans="2:16" s="2" customFormat="1" ht="29.25" customHeight="1">
      <c r="B85" s="198" t="s">
        <v>1185</v>
      </c>
      <c r="C85" s="198"/>
      <c r="D85" s="198"/>
      <c r="E85" s="198"/>
      <c r="F85" s="198"/>
      <c r="G85"/>
      <c r="H85"/>
      <c r="I85"/>
      <c r="J85"/>
    </row>
    <row r="86" spans="2:16" s="2" customFormat="1" ht="29.25" customHeight="1">
      <c r="C86" s="4"/>
      <c r="D86" s="4"/>
      <c r="E86" s="4"/>
      <c r="F86" s="4"/>
      <c r="G86" s="4"/>
      <c r="H86" s="4"/>
    </row>
    <row r="87" spans="2:16" s="2" customFormat="1" ht="29.25" customHeight="1">
      <c r="B87" s="199" t="s">
        <v>133</v>
      </c>
      <c r="C87" s="199"/>
      <c r="D87" s="199"/>
      <c r="E87" s="77" t="s">
        <v>121</v>
      </c>
    </row>
    <row r="88" spans="2:16" s="2" customFormat="1" ht="29.25" customHeight="1">
      <c r="B88" s="180" t="s">
        <v>134</v>
      </c>
      <c r="C88" s="181"/>
      <c r="D88" s="182"/>
      <c r="E88" s="78">
        <f>SUM(V45:V50)</f>
        <v>6404888825</v>
      </c>
    </row>
    <row r="89" spans="2:16" s="2" customFormat="1" ht="29.25" customHeight="1">
      <c r="B89" s="180" t="s">
        <v>135</v>
      </c>
      <c r="C89" s="181"/>
      <c r="D89" s="182"/>
      <c r="E89" s="78">
        <f>SUM(P58:P80)</f>
        <v>8877075576</v>
      </c>
    </row>
    <row r="90" spans="2:16" s="2" customFormat="1" ht="29.25" customHeight="1">
      <c r="B90" s="180" t="s">
        <v>136</v>
      </c>
      <c r="C90" s="181"/>
      <c r="D90" s="182"/>
      <c r="E90" s="78">
        <f>E88+E89</f>
        <v>15281964401</v>
      </c>
    </row>
    <row r="91" spans="2:16" s="2" customFormat="1" ht="29.25" customHeight="1">
      <c r="B91" s="183" t="s">
        <v>1195</v>
      </c>
      <c r="C91" s="183"/>
      <c r="D91" s="55">
        <v>0.1</v>
      </c>
      <c r="E91" s="78">
        <f>ROUND((E90)*D91,0)</f>
        <v>1528196440</v>
      </c>
      <c r="G91" s="70"/>
    </row>
    <row r="92" spans="2:16" s="2" customFormat="1" ht="29.25" customHeight="1">
      <c r="B92" s="183" t="s">
        <v>137</v>
      </c>
      <c r="C92" s="183"/>
      <c r="D92" s="56">
        <v>0.19</v>
      </c>
      <c r="E92" s="78">
        <f>ROUND(E91*D92,0)</f>
        <v>290357324</v>
      </c>
      <c r="G92" s="70"/>
    </row>
    <row r="93" spans="2:16" s="2" customFormat="1" ht="29.25" customHeight="1">
      <c r="B93" s="173" t="s">
        <v>1203</v>
      </c>
      <c r="C93" s="184"/>
      <c r="D93" s="185"/>
      <c r="E93" s="79">
        <f>E90+E92</f>
        <v>15572321725</v>
      </c>
      <c r="G93" s="70"/>
    </row>
    <row r="94" spans="2:16" s="2" customFormat="1" ht="12.5">
      <c r="C94" s="4"/>
      <c r="D94" s="4"/>
      <c r="E94" s="4"/>
      <c r="G94" s="4"/>
    </row>
    <row r="95" spans="2:16" s="2" customFormat="1" ht="12.5">
      <c r="C95" s="4"/>
      <c r="D95" s="4"/>
      <c r="E95" s="4"/>
      <c r="F95" s="4"/>
      <c r="G95" s="4"/>
      <c r="H95" s="4"/>
    </row>
    <row r="96" spans="2:16" ht="27.75" customHeight="1">
      <c r="B96" s="260" t="s">
        <v>83</v>
      </c>
      <c r="C96" s="260"/>
      <c r="D96" s="260"/>
      <c r="E96" s="260"/>
      <c r="F96" s="260"/>
      <c r="G96" s="260"/>
      <c r="H96" s="260"/>
      <c r="I96" s="260"/>
    </row>
    <row r="97" spans="2:9" ht="63.75" customHeight="1">
      <c r="B97" s="259" t="s">
        <v>1225</v>
      </c>
      <c r="C97" s="259"/>
      <c r="D97" s="259"/>
      <c r="E97" s="259"/>
      <c r="F97" s="259"/>
      <c r="G97" s="259"/>
      <c r="H97" s="259"/>
      <c r="I97" s="259"/>
    </row>
    <row r="98" spans="2:9" ht="52.5" customHeight="1">
      <c r="B98" s="259" t="s">
        <v>1186</v>
      </c>
      <c r="C98" s="259"/>
      <c r="D98" s="259"/>
      <c r="E98" s="259"/>
      <c r="F98" s="259"/>
      <c r="G98" s="259"/>
      <c r="H98" s="259"/>
      <c r="I98" s="259"/>
    </row>
    <row r="99" spans="2:9" ht="12.5"/>
  </sheetData>
  <mergeCells count="72">
    <mergeCell ref="C8:D8"/>
    <mergeCell ref="I8:J8"/>
    <mergeCell ref="K8:L8"/>
    <mergeCell ref="B2:K4"/>
    <mergeCell ref="L2:L4"/>
    <mergeCell ref="B6:L6"/>
    <mergeCell ref="B7:C7"/>
    <mergeCell ref="D7:L7"/>
    <mergeCell ref="B32:M32"/>
    <mergeCell ref="C9:E9"/>
    <mergeCell ref="G9:H9"/>
    <mergeCell ref="B10:L10"/>
    <mergeCell ref="B13:L13"/>
    <mergeCell ref="B15:L15"/>
    <mergeCell ref="B17:L17"/>
    <mergeCell ref="C20:E20"/>
    <mergeCell ref="M20:N22"/>
    <mergeCell ref="C21:E21"/>
    <mergeCell ref="B23:B30"/>
    <mergeCell ref="C23:F23"/>
    <mergeCell ref="D57:E57"/>
    <mergeCell ref="F35:G35"/>
    <mergeCell ref="F36:G36"/>
    <mergeCell ref="B38:V38"/>
    <mergeCell ref="B41:V41"/>
    <mergeCell ref="B43:E43"/>
    <mergeCell ref="F43:K43"/>
    <mergeCell ref="L43:M43"/>
    <mergeCell ref="N43:O43"/>
    <mergeCell ref="P43:Q43"/>
    <mergeCell ref="R43:S43"/>
    <mergeCell ref="T43:U43"/>
    <mergeCell ref="B51:U51"/>
    <mergeCell ref="B54:V54"/>
    <mergeCell ref="B56:E56"/>
    <mergeCell ref="F56:P56"/>
    <mergeCell ref="D69:E69"/>
    <mergeCell ref="D58:E58"/>
    <mergeCell ref="D59:E59"/>
    <mergeCell ref="D60:E60"/>
    <mergeCell ref="D61:E61"/>
    <mergeCell ref="D62:E62"/>
    <mergeCell ref="D63:E63"/>
    <mergeCell ref="D64:E64"/>
    <mergeCell ref="D65:E65"/>
    <mergeCell ref="D66:E66"/>
    <mergeCell ref="D67:E67"/>
    <mergeCell ref="D68:E68"/>
    <mergeCell ref="B81:O81"/>
    <mergeCell ref="D70:E70"/>
    <mergeCell ref="D71:E71"/>
    <mergeCell ref="D72:E72"/>
    <mergeCell ref="D73:E73"/>
    <mergeCell ref="D74:E74"/>
    <mergeCell ref="D75:E75"/>
    <mergeCell ref="D76:E76"/>
    <mergeCell ref="D77:E77"/>
    <mergeCell ref="D78:E78"/>
    <mergeCell ref="D79:E79"/>
    <mergeCell ref="D80:E80"/>
    <mergeCell ref="B98:I98"/>
    <mergeCell ref="B83:J83"/>
    <mergeCell ref="B85:F85"/>
    <mergeCell ref="B87:D87"/>
    <mergeCell ref="B88:D88"/>
    <mergeCell ref="B89:D89"/>
    <mergeCell ref="B90:D90"/>
    <mergeCell ref="B91:C91"/>
    <mergeCell ref="B92:C92"/>
    <mergeCell ref="B93:D93"/>
    <mergeCell ref="B96:I96"/>
    <mergeCell ref="B97:I97"/>
  </mergeCells>
  <dataValidations disablePrompts="1" count="2">
    <dataValidation type="decimal" allowBlank="1" showInputMessage="1" showErrorMessage="1" error="Tener en cuenta que las cooperativas de vigilancia y seguridad privada, podrán descontar del valor de la tarifa hasta el diez por ciento (10%)," sqref="F21" xr:uid="{9C683607-B136-49F7-B299-4754E4D7280D}">
      <formula1>0</formula1>
      <formula2>0.1</formula2>
    </dataValidation>
    <dataValidation type="list" allowBlank="1" showInputMessage="1" showErrorMessage="1" sqref="F20" xr:uid="{51FD48FE-CA02-49E6-A224-BE347E5CD4D3}">
      <formula1>"EMPRESA, COOPERATIVA"</formula1>
    </dataValidation>
  </dataValidations>
  <pageMargins left="0.70866141732283472" right="0.70866141732283472" top="0.74803149606299213" bottom="0.74803149606299213" header="0.31496062992125984" footer="0.31496062992125984"/>
  <pageSetup scale="43" orientation="portrait" r:id="rId1"/>
  <headerFooter>
    <oddFooter xml:space="preserve">&amp;C&amp;P/&amp;N
</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A96F3C-385E-4785-8F87-321A94CC61B3}">
  <sheetPr>
    <tabColor rgb="FFFFFFCC"/>
  </sheetPr>
  <dimension ref="A1:Y99"/>
  <sheetViews>
    <sheetView showGridLines="0" zoomScale="80" zoomScaleNormal="80" zoomScaleSheetLayoutView="90" workbookViewId="0">
      <selection activeCell="G21" sqref="G21:G22"/>
    </sheetView>
  </sheetViews>
  <sheetFormatPr baseColWidth="10" defaultColWidth="0" defaultRowHeight="12.65" customHeight="1" zeroHeight="1"/>
  <cols>
    <col min="1" max="1" width="2" style="4" customWidth="1"/>
    <col min="2" max="2" width="13.81640625" style="4" customWidth="1"/>
    <col min="3" max="3" width="30" style="4" customWidth="1"/>
    <col min="4" max="4" width="25.81640625" style="4" customWidth="1"/>
    <col min="5" max="5" width="32.1796875" style="5" customWidth="1"/>
    <col min="6" max="6" width="15.54296875" style="5" customWidth="1"/>
    <col min="7" max="7" width="24.1796875" style="4" customWidth="1"/>
    <col min="8" max="8" width="23.54296875" style="4" customWidth="1"/>
    <col min="9" max="9" width="22.453125" style="4" customWidth="1"/>
    <col min="10" max="10" width="21.54296875" style="4" customWidth="1"/>
    <col min="11" max="11" width="23.1796875" style="4" customWidth="1"/>
    <col min="12" max="12" width="20.81640625" style="4" customWidth="1"/>
    <col min="13" max="13" width="23.54296875" style="4" customWidth="1"/>
    <col min="14" max="14" width="21" style="4" customWidth="1"/>
    <col min="15" max="15" width="22.81640625" style="4" customWidth="1"/>
    <col min="16" max="16" width="23.54296875" style="4" customWidth="1"/>
    <col min="17" max="21" width="18.1796875" style="4" customWidth="1"/>
    <col min="22" max="23" width="18.54296875" style="4" customWidth="1"/>
    <col min="24" max="25" width="18.54296875" style="4" hidden="1" customWidth="1"/>
    <col min="26" max="16384" width="11.453125" style="4" hidden="1"/>
  </cols>
  <sheetData>
    <row r="1" spans="2:12" s="2" customFormat="1" ht="12.75" customHeight="1">
      <c r="E1" s="3"/>
      <c r="F1" s="3"/>
    </row>
    <row r="2" spans="2:12" s="2" customFormat="1" ht="21.75" customHeight="1">
      <c r="B2" s="268" t="s">
        <v>81</v>
      </c>
      <c r="C2" s="269"/>
      <c r="D2" s="269"/>
      <c r="E2" s="269"/>
      <c r="F2" s="269"/>
      <c r="G2" s="269"/>
      <c r="H2" s="269"/>
      <c r="I2" s="269"/>
      <c r="J2" s="269"/>
      <c r="K2" s="270"/>
      <c r="L2" s="257" t="s">
        <v>0</v>
      </c>
    </row>
    <row r="3" spans="2:12" s="2" customFormat="1" ht="21.75" customHeight="1">
      <c r="B3" s="271"/>
      <c r="C3" s="272"/>
      <c r="D3" s="272"/>
      <c r="E3" s="272"/>
      <c r="F3" s="272"/>
      <c r="G3" s="272"/>
      <c r="H3" s="272"/>
      <c r="I3" s="272"/>
      <c r="J3" s="272"/>
      <c r="K3" s="273"/>
      <c r="L3" s="257"/>
    </row>
    <row r="4" spans="2:12" s="2" customFormat="1" ht="21.75" customHeight="1">
      <c r="B4" s="274"/>
      <c r="C4" s="275"/>
      <c r="D4" s="275"/>
      <c r="E4" s="275"/>
      <c r="F4" s="275"/>
      <c r="G4" s="275"/>
      <c r="H4" s="275"/>
      <c r="I4" s="275"/>
      <c r="J4" s="275"/>
      <c r="K4" s="276"/>
      <c r="L4" s="257"/>
    </row>
    <row r="5" spans="2:12" s="2" customFormat="1" ht="5.25" customHeight="1">
      <c r="E5" s="3"/>
      <c r="F5" s="3"/>
    </row>
    <row r="6" spans="2:12" s="2" customFormat="1" ht="15.75" customHeight="1">
      <c r="B6" s="169" t="s">
        <v>81</v>
      </c>
      <c r="C6" s="169"/>
      <c r="D6" s="169"/>
      <c r="E6" s="169"/>
      <c r="F6" s="169"/>
      <c r="G6" s="169"/>
      <c r="H6" s="169"/>
      <c r="I6" s="169"/>
      <c r="J6" s="169"/>
      <c r="K6" s="169"/>
      <c r="L6" s="169"/>
    </row>
    <row r="7" spans="2:12" s="2" customFormat="1" ht="32.25" customHeight="1">
      <c r="B7" s="201" t="s">
        <v>82</v>
      </c>
      <c r="C7" s="201"/>
      <c r="D7" s="265" t="s">
        <v>1147</v>
      </c>
      <c r="E7" s="266"/>
      <c r="F7" s="266"/>
      <c r="G7" s="266"/>
      <c r="H7" s="266"/>
      <c r="I7" s="266"/>
      <c r="J7" s="266"/>
      <c r="K7" s="266"/>
      <c r="L7" s="267"/>
    </row>
    <row r="8" spans="2:12" s="2" customFormat="1" ht="36" customHeight="1">
      <c r="B8" s="87" t="s">
        <v>1229</v>
      </c>
      <c r="C8" s="277" t="s">
        <v>1269</v>
      </c>
      <c r="D8" s="278"/>
      <c r="E8" s="88" t="s">
        <v>1231</v>
      </c>
      <c r="F8" s="52" t="s">
        <v>1245</v>
      </c>
      <c r="G8" s="88" t="s">
        <v>1233</v>
      </c>
      <c r="H8" s="52" t="s">
        <v>1270</v>
      </c>
      <c r="I8" s="279" t="s">
        <v>1235</v>
      </c>
      <c r="J8" s="279"/>
      <c r="K8" s="280" t="s">
        <v>1271</v>
      </c>
      <c r="L8" s="281"/>
    </row>
    <row r="9" spans="2:12" s="2" customFormat="1" ht="33" customHeight="1">
      <c r="B9" s="89" t="s">
        <v>1237</v>
      </c>
      <c r="C9" s="280" t="s">
        <v>1272</v>
      </c>
      <c r="D9" s="282"/>
      <c r="E9" s="281"/>
      <c r="F9" s="88" t="s">
        <v>1239</v>
      </c>
      <c r="G9" s="277" t="s">
        <v>1273</v>
      </c>
      <c r="H9" s="278"/>
      <c r="I9" s="90" t="s">
        <v>1241</v>
      </c>
      <c r="J9" s="52">
        <v>3001637300</v>
      </c>
      <c r="K9" s="91" t="s">
        <v>1243</v>
      </c>
      <c r="L9" s="52" t="s">
        <v>1274</v>
      </c>
    </row>
    <row r="10" spans="2:12" s="2" customFormat="1" ht="5.15" customHeight="1">
      <c r="B10" s="285"/>
      <c r="C10" s="286"/>
      <c r="D10" s="286"/>
      <c r="E10" s="286"/>
      <c r="F10" s="286"/>
      <c r="G10" s="286"/>
      <c r="H10" s="286"/>
      <c r="I10" s="286"/>
      <c r="J10" s="286"/>
      <c r="K10" s="286"/>
      <c r="L10" s="287"/>
    </row>
    <row r="11" spans="2:12" s="2" customFormat="1" ht="8.25" customHeight="1">
      <c r="B11" s="68"/>
      <c r="C11" s="68"/>
      <c r="D11" s="68"/>
      <c r="E11" s="68"/>
      <c r="F11" s="68"/>
      <c r="G11" s="68"/>
      <c r="H11" s="68"/>
      <c r="I11" s="68"/>
      <c r="J11" s="68"/>
      <c r="K11" s="68"/>
      <c r="L11" s="68"/>
    </row>
    <row r="12" spans="2:12" s="2" customFormat="1" ht="8.25" customHeight="1">
      <c r="B12" s="68"/>
      <c r="C12" s="68"/>
      <c r="D12" s="68"/>
      <c r="E12" s="68"/>
      <c r="F12" s="68"/>
      <c r="G12" s="68"/>
      <c r="H12" s="68"/>
      <c r="I12" s="68"/>
      <c r="J12" s="68"/>
      <c r="K12" s="68"/>
      <c r="L12" s="68"/>
    </row>
    <row r="13" spans="2:12" s="2" customFormat="1" ht="104.25" customHeight="1">
      <c r="B13" s="283" t="s">
        <v>1197</v>
      </c>
      <c r="C13" s="283"/>
      <c r="D13" s="283"/>
      <c r="E13" s="283"/>
      <c r="F13" s="283"/>
      <c r="G13" s="283"/>
      <c r="H13" s="283"/>
      <c r="I13" s="283"/>
      <c r="J13" s="283"/>
      <c r="K13" s="283"/>
      <c r="L13" s="283"/>
    </row>
    <row r="14" spans="2:12" s="2" customFormat="1" ht="8.25" customHeight="1">
      <c r="B14" s="68"/>
      <c r="C14" s="68"/>
      <c r="D14" s="68"/>
      <c r="E14" s="68"/>
      <c r="F14" s="68"/>
      <c r="G14" s="68"/>
      <c r="H14" s="68"/>
      <c r="I14" s="68"/>
      <c r="J14" s="68"/>
      <c r="K14" s="68"/>
      <c r="L14" s="68"/>
    </row>
    <row r="15" spans="2:12" s="2" customFormat="1" ht="180" customHeight="1">
      <c r="B15" s="284" t="s">
        <v>1226</v>
      </c>
      <c r="C15" s="284"/>
      <c r="D15" s="284"/>
      <c r="E15" s="284"/>
      <c r="F15" s="284"/>
      <c r="G15" s="284"/>
      <c r="H15" s="284"/>
      <c r="I15" s="284"/>
      <c r="J15" s="284"/>
      <c r="K15" s="284"/>
      <c r="L15" s="284"/>
    </row>
    <row r="16" spans="2:12" s="2" customFormat="1" ht="8.25" customHeight="1">
      <c r="B16" s="68"/>
      <c r="C16" s="68"/>
      <c r="D16" s="68"/>
      <c r="E16" s="68"/>
      <c r="F16" s="68"/>
      <c r="G16" s="68"/>
      <c r="H16" s="68"/>
      <c r="I16" s="68"/>
      <c r="J16" s="68"/>
      <c r="K16" s="68"/>
      <c r="L16" s="68"/>
    </row>
    <row r="17" spans="2:14" s="2" customFormat="1" ht="23.25" customHeight="1">
      <c r="B17" s="171" t="s">
        <v>115</v>
      </c>
      <c r="C17" s="172"/>
      <c r="D17" s="172"/>
      <c r="E17" s="172"/>
      <c r="F17" s="172"/>
      <c r="G17" s="172"/>
      <c r="H17" s="172"/>
      <c r="I17" s="172"/>
      <c r="J17" s="172"/>
      <c r="K17" s="172"/>
      <c r="L17" s="197"/>
    </row>
    <row r="18" spans="2:14" s="2" customFormat="1" ht="8.25" customHeight="1">
      <c r="B18" s="68"/>
      <c r="C18" s="68"/>
      <c r="D18" s="68"/>
      <c r="E18" s="68"/>
      <c r="F18" s="68"/>
      <c r="G18" s="68"/>
      <c r="H18" s="68"/>
      <c r="I18" s="68"/>
      <c r="J18" s="68"/>
      <c r="K18" s="68"/>
      <c r="L18" s="68"/>
    </row>
    <row r="19" spans="2:14" s="2" customFormat="1" ht="8.25" customHeight="1">
      <c r="B19" s="68"/>
      <c r="C19" s="68"/>
      <c r="D19" s="68"/>
      <c r="E19" s="68"/>
      <c r="F19" s="68"/>
      <c r="G19" s="68"/>
      <c r="H19" s="68"/>
      <c r="I19" s="68"/>
      <c r="J19" s="68"/>
      <c r="K19" s="68"/>
      <c r="L19" s="68"/>
    </row>
    <row r="20" spans="2:14" s="2" customFormat="1" ht="29.25" customHeight="1">
      <c r="B20" s="67">
        <v>1</v>
      </c>
      <c r="C20" s="264" t="s">
        <v>116</v>
      </c>
      <c r="D20" s="264"/>
      <c r="E20" s="264"/>
      <c r="F20" s="51" t="s">
        <v>1227</v>
      </c>
      <c r="G20" s="68"/>
      <c r="M20" s="263"/>
      <c r="N20" s="263"/>
    </row>
    <row r="21" spans="2:14" s="2" customFormat="1" ht="29.25" customHeight="1">
      <c r="B21" s="67">
        <v>2</v>
      </c>
      <c r="C21" s="264" t="s">
        <v>117</v>
      </c>
      <c r="D21" s="264"/>
      <c r="E21" s="264"/>
      <c r="F21" s="52"/>
      <c r="G21" s="68"/>
      <c r="M21" s="263"/>
      <c r="N21" s="263"/>
    </row>
    <row r="22" spans="2:14" s="2" customFormat="1" ht="29.25" customHeight="1">
      <c r="G22" s="68"/>
      <c r="M22" s="263"/>
      <c r="N22" s="263"/>
    </row>
    <row r="23" spans="2:14" s="2" customFormat="1" ht="43.5" customHeight="1">
      <c r="B23" s="201" t="s">
        <v>118</v>
      </c>
      <c r="C23" s="169" t="s">
        <v>1146</v>
      </c>
      <c r="D23" s="169"/>
      <c r="E23" s="169"/>
      <c r="F23" s="169"/>
      <c r="G23" s="29" t="s">
        <v>119</v>
      </c>
      <c r="H23" s="29" t="s">
        <v>119</v>
      </c>
      <c r="I23" s="29" t="s">
        <v>119</v>
      </c>
      <c r="L23" s="69"/>
      <c r="M23" s="69"/>
    </row>
    <row r="24" spans="2:14" s="2" customFormat="1" ht="29.25" customHeight="1">
      <c r="B24" s="201"/>
      <c r="C24" s="29" t="s">
        <v>104</v>
      </c>
      <c r="D24" s="29" t="s">
        <v>105</v>
      </c>
      <c r="E24" s="29" t="s">
        <v>106</v>
      </c>
      <c r="F24" s="37" t="s">
        <v>107</v>
      </c>
      <c r="G24" s="29">
        <v>2024</v>
      </c>
      <c r="H24" s="29">
        <v>2025</v>
      </c>
      <c r="I24" s="29">
        <v>2026</v>
      </c>
      <c r="L24" s="69"/>
      <c r="M24" s="69"/>
    </row>
    <row r="25" spans="2:14" s="2" customFormat="1" ht="33.75" customHeight="1">
      <c r="B25" s="201"/>
      <c r="C25" s="62">
        <v>24</v>
      </c>
      <c r="D25" s="63" t="s">
        <v>108</v>
      </c>
      <c r="E25" s="63" t="s">
        <v>109</v>
      </c>
      <c r="F25" s="63" t="s">
        <v>90</v>
      </c>
      <c r="G25" s="53">
        <v>10000000</v>
      </c>
      <c r="H25" s="53">
        <v>10000000</v>
      </c>
      <c r="I25" s="53">
        <v>10000000</v>
      </c>
      <c r="M25" s="69"/>
    </row>
    <row r="26" spans="2:14" s="2" customFormat="1" ht="33.75" customHeight="1">
      <c r="B26" s="201"/>
      <c r="C26" s="62">
        <v>24</v>
      </c>
      <c r="D26" s="63" t="s">
        <v>108</v>
      </c>
      <c r="E26" s="63" t="s">
        <v>109</v>
      </c>
      <c r="F26" s="63" t="s">
        <v>92</v>
      </c>
      <c r="G26" s="53">
        <v>10000000</v>
      </c>
      <c r="H26" s="53">
        <v>10000000</v>
      </c>
      <c r="I26" s="53">
        <v>10000000</v>
      </c>
      <c r="M26" s="69"/>
    </row>
    <row r="27" spans="2:14" s="2" customFormat="1" ht="33.75" customHeight="1">
      <c r="B27" s="201"/>
      <c r="C27" s="62">
        <v>24</v>
      </c>
      <c r="D27" s="63" t="s">
        <v>1143</v>
      </c>
      <c r="E27" s="63" t="s">
        <v>109</v>
      </c>
      <c r="F27" s="63" t="s">
        <v>92</v>
      </c>
      <c r="G27" s="53">
        <v>10000000</v>
      </c>
      <c r="H27" s="53">
        <v>10000000</v>
      </c>
      <c r="I27" s="53">
        <v>10000000</v>
      </c>
      <c r="M27" s="69"/>
    </row>
    <row r="28" spans="2:14" s="2" customFormat="1" ht="33.75" customHeight="1">
      <c r="B28" s="201"/>
      <c r="C28" s="62">
        <v>12</v>
      </c>
      <c r="D28" s="63" t="s">
        <v>110</v>
      </c>
      <c r="E28" s="63" t="s">
        <v>111</v>
      </c>
      <c r="F28" s="63" t="s">
        <v>1144</v>
      </c>
      <c r="G28" s="53">
        <v>10000000</v>
      </c>
      <c r="H28" s="53">
        <v>10000000</v>
      </c>
      <c r="I28" s="53">
        <v>10000000</v>
      </c>
      <c r="M28" s="69"/>
    </row>
    <row r="29" spans="2:14" s="2" customFormat="1" ht="33.75" customHeight="1">
      <c r="B29" s="201"/>
      <c r="C29" s="62">
        <v>12</v>
      </c>
      <c r="D29" s="63" t="s">
        <v>110</v>
      </c>
      <c r="E29" s="66" t="s">
        <v>1190</v>
      </c>
      <c r="F29" s="63" t="s">
        <v>90</v>
      </c>
      <c r="G29" s="53">
        <v>10000000</v>
      </c>
      <c r="H29" s="53">
        <v>10000000</v>
      </c>
      <c r="I29" s="53">
        <v>10000000</v>
      </c>
      <c r="M29" s="69"/>
    </row>
    <row r="30" spans="2:14" s="2" customFormat="1" ht="33.75" customHeight="1">
      <c r="B30" s="201"/>
      <c r="C30" s="62">
        <v>12</v>
      </c>
      <c r="D30" s="63" t="s">
        <v>108</v>
      </c>
      <c r="E30" s="63" t="s">
        <v>111</v>
      </c>
      <c r="F30" s="63" t="s">
        <v>90</v>
      </c>
      <c r="G30" s="53">
        <v>10000000</v>
      </c>
      <c r="H30" s="53">
        <v>10000000</v>
      </c>
      <c r="I30" s="53">
        <v>10000000</v>
      </c>
      <c r="M30" s="69"/>
    </row>
    <row r="31" spans="2:14" s="2" customFormat="1" ht="29.25" customHeight="1">
      <c r="G31" s="98">
        <f>SUM(G25:G30)</f>
        <v>60000000</v>
      </c>
      <c r="H31" s="98">
        <f>SUM(H25:H30)</f>
        <v>60000000</v>
      </c>
      <c r="I31" s="98">
        <f>SUM(I25:I30)</f>
        <v>60000000</v>
      </c>
      <c r="M31" s="69"/>
      <c r="N31" s="69"/>
    </row>
    <row r="32" spans="2:14" s="2" customFormat="1" ht="29.25" customHeight="1">
      <c r="B32" s="200" t="s">
        <v>120</v>
      </c>
      <c r="C32" s="200"/>
      <c r="D32" s="200"/>
      <c r="E32" s="200"/>
      <c r="F32" s="200"/>
      <c r="G32" s="200"/>
      <c r="H32" s="200"/>
      <c r="I32" s="200"/>
      <c r="J32" s="200"/>
      <c r="K32" s="200"/>
      <c r="L32" s="200"/>
      <c r="M32" s="200"/>
      <c r="N32" s="69"/>
    </row>
    <row r="33" spans="1:22" s="2" customFormat="1" ht="6.75" customHeight="1">
      <c r="A33" s="70"/>
      <c r="B33" s="70"/>
      <c r="C33" s="70"/>
      <c r="D33" s="70"/>
      <c r="E33" s="70"/>
      <c r="F33" s="70"/>
      <c r="G33" s="70"/>
      <c r="H33" s="70"/>
      <c r="I33" s="70"/>
      <c r="J33" s="70"/>
      <c r="K33" s="70"/>
      <c r="L33" s="70"/>
      <c r="M33" s="70"/>
      <c r="N33" s="69"/>
    </row>
    <row r="34" spans="1:22" s="2" customFormat="1" ht="46.5" customHeight="1">
      <c r="A34" s="70"/>
      <c r="B34" s="70"/>
      <c r="C34" s="70"/>
      <c r="D34" s="70"/>
      <c r="E34" s="70"/>
      <c r="F34" s="68"/>
      <c r="G34" s="68"/>
      <c r="H34" s="67" t="s">
        <v>1198</v>
      </c>
      <c r="I34" s="59" t="s">
        <v>1210</v>
      </c>
      <c r="J34" s="59" t="s">
        <v>1205</v>
      </c>
      <c r="K34" s="59" t="s">
        <v>1206</v>
      </c>
      <c r="L34" s="59" t="s">
        <v>1207</v>
      </c>
      <c r="M34" s="59" t="s">
        <v>1208</v>
      </c>
    </row>
    <row r="35" spans="1:22" s="2" customFormat="1" ht="29.25" customHeight="1">
      <c r="F35" s="202" t="s">
        <v>122</v>
      </c>
      <c r="G35" s="203"/>
      <c r="H35" s="71">
        <f>SUM(I35:M35)</f>
        <v>25</v>
      </c>
      <c r="I35" s="72">
        <v>1</v>
      </c>
      <c r="J35" s="80">
        <v>6.5</v>
      </c>
      <c r="K35" s="80">
        <v>5.5</v>
      </c>
      <c r="L35" s="80">
        <v>6.5</v>
      </c>
      <c r="M35" s="80">
        <v>5.5</v>
      </c>
    </row>
    <row r="36" spans="1:22" s="2" customFormat="1" ht="29.25" customHeight="1">
      <c r="B36" s="70"/>
      <c r="C36" s="70"/>
      <c r="D36" s="70"/>
      <c r="E36" s="70"/>
      <c r="F36" s="202" t="s">
        <v>1191</v>
      </c>
      <c r="G36" s="203"/>
      <c r="H36" s="38" t="s">
        <v>1211</v>
      </c>
      <c r="I36" s="38">
        <f>'[28]RESUMEN CIRCULAR_DECRETO'!N26</f>
        <v>1300000</v>
      </c>
      <c r="J36" s="38">
        <f>'[28]RESUMEN CIRCULAR_DECRETO'!N27</f>
        <v>1410500</v>
      </c>
      <c r="K36" s="38">
        <f>'[28]RESUMEN CIRCULAR_DECRETO'!N27</f>
        <v>1410500</v>
      </c>
      <c r="L36" s="38">
        <f>'[28]RESUMEN CIRCULAR_DECRETO'!N28</f>
        <v>1504157.2</v>
      </c>
      <c r="M36" s="38">
        <f>'[28]RESUMEN CIRCULAR_DECRETO'!N28</f>
        <v>1504157.2</v>
      </c>
    </row>
    <row r="37" spans="1:22" s="2" customFormat="1" ht="29.25" customHeight="1">
      <c r="B37" s="70"/>
      <c r="C37" s="70"/>
      <c r="D37" s="70"/>
      <c r="E37" s="70"/>
      <c r="F37" s="83"/>
      <c r="G37" s="83"/>
      <c r="H37" s="84"/>
      <c r="I37" s="84"/>
      <c r="J37" s="84"/>
      <c r="K37" s="84"/>
      <c r="L37" s="82"/>
      <c r="M37" s="82"/>
    </row>
    <row r="38" spans="1:22" s="2" customFormat="1" ht="24" customHeight="1">
      <c r="B38" s="200" t="s">
        <v>1192</v>
      </c>
      <c r="C38" s="200"/>
      <c r="D38" s="200"/>
      <c r="E38" s="200"/>
      <c r="F38" s="200"/>
      <c r="G38" s="200"/>
      <c r="H38" s="200"/>
      <c r="I38" s="200"/>
      <c r="J38" s="200"/>
      <c r="K38" s="200"/>
      <c r="L38" s="200"/>
      <c r="M38" s="200"/>
      <c r="N38" s="200"/>
      <c r="O38" s="200"/>
      <c r="P38" s="200"/>
      <c r="Q38" s="200"/>
      <c r="R38" s="200"/>
      <c r="S38" s="200"/>
      <c r="T38" s="200"/>
      <c r="U38" s="200"/>
      <c r="V38" s="200"/>
    </row>
    <row r="39" spans="1:22" s="2" customFormat="1" ht="11.25" customHeight="1">
      <c r="M39" s="69"/>
      <c r="N39" s="69"/>
    </row>
    <row r="40" spans="1:22" s="2" customFormat="1" ht="9.75" customHeight="1">
      <c r="C40" s="4"/>
      <c r="D40" s="4"/>
      <c r="E40" s="4"/>
      <c r="F40" s="4"/>
    </row>
    <row r="41" spans="1:22" s="2" customFormat="1" ht="26.25" customHeight="1">
      <c r="B41" s="200" t="s">
        <v>1148</v>
      </c>
      <c r="C41" s="200"/>
      <c r="D41" s="200"/>
      <c r="E41" s="200"/>
      <c r="F41" s="200"/>
      <c r="G41" s="200"/>
      <c r="H41" s="200"/>
      <c r="I41" s="200"/>
      <c r="J41" s="200"/>
      <c r="K41" s="200"/>
      <c r="L41" s="200"/>
      <c r="M41" s="200"/>
      <c r="N41" s="200"/>
      <c r="O41" s="200"/>
      <c r="P41" s="200"/>
      <c r="Q41" s="200"/>
      <c r="R41" s="200"/>
      <c r="S41" s="200"/>
      <c r="T41" s="200"/>
      <c r="U41" s="200"/>
      <c r="V41" s="200"/>
    </row>
    <row r="42" spans="1:22" s="2" customFormat="1" ht="12.5">
      <c r="C42" s="4"/>
      <c r="D42" s="4"/>
      <c r="E42" s="4"/>
      <c r="F42" s="4"/>
      <c r="G42" s="4"/>
      <c r="H42" s="4"/>
    </row>
    <row r="43" spans="1:22" s="2" customFormat="1" ht="70.5" customHeight="1">
      <c r="B43" s="169" t="s">
        <v>123</v>
      </c>
      <c r="C43" s="169"/>
      <c r="D43" s="169"/>
      <c r="E43" s="169"/>
      <c r="F43" s="169" t="s">
        <v>1196</v>
      </c>
      <c r="G43" s="169"/>
      <c r="H43" s="169"/>
      <c r="I43" s="169"/>
      <c r="J43" s="169"/>
      <c r="K43" s="169"/>
      <c r="L43" s="261" t="s">
        <v>1204</v>
      </c>
      <c r="M43" s="262"/>
      <c r="N43" s="261" t="s">
        <v>1205</v>
      </c>
      <c r="O43" s="262"/>
      <c r="P43" s="261" t="s">
        <v>1206</v>
      </c>
      <c r="Q43" s="262"/>
      <c r="R43" s="261" t="s">
        <v>1207</v>
      </c>
      <c r="S43" s="262"/>
      <c r="T43" s="261" t="s">
        <v>1208</v>
      </c>
      <c r="U43" s="262"/>
      <c r="V43" s="29" t="s">
        <v>1198</v>
      </c>
    </row>
    <row r="44" spans="1:22" s="2" customFormat="1" ht="71.25" customHeight="1">
      <c r="B44" s="29" t="s">
        <v>104</v>
      </c>
      <c r="C44" s="29" t="s">
        <v>105</v>
      </c>
      <c r="D44" s="29" t="s">
        <v>106</v>
      </c>
      <c r="E44" s="29" t="s">
        <v>107</v>
      </c>
      <c r="F44" s="29" t="s">
        <v>124</v>
      </c>
      <c r="G44" s="29" t="s">
        <v>1209</v>
      </c>
      <c r="H44" s="29" t="s">
        <v>1199</v>
      </c>
      <c r="I44" s="29" t="s">
        <v>1200</v>
      </c>
      <c r="J44" s="29" t="s">
        <v>1201</v>
      </c>
      <c r="K44" s="29" t="s">
        <v>1202</v>
      </c>
      <c r="L44" s="73" t="s">
        <v>1180</v>
      </c>
      <c r="M44" s="58" t="s">
        <v>1181</v>
      </c>
      <c r="N44" s="73" t="s">
        <v>1182</v>
      </c>
      <c r="O44" s="58" t="s">
        <v>1183</v>
      </c>
      <c r="P44" s="73" t="s">
        <v>1182</v>
      </c>
      <c r="Q44" s="58" t="s">
        <v>1183</v>
      </c>
      <c r="R44" s="73" t="s">
        <v>1182</v>
      </c>
      <c r="S44" s="58" t="s">
        <v>1183</v>
      </c>
      <c r="T44" s="73" t="s">
        <v>1182</v>
      </c>
      <c r="U44" s="58" t="s">
        <v>1183</v>
      </c>
      <c r="V44" s="29" t="s">
        <v>1213</v>
      </c>
    </row>
    <row r="45" spans="1:22" s="2" customFormat="1" ht="30.75" customHeight="1">
      <c r="B45" s="62">
        <v>24</v>
      </c>
      <c r="C45" s="63" t="s">
        <v>108</v>
      </c>
      <c r="D45" s="63" t="s">
        <v>109</v>
      </c>
      <c r="E45" s="63" t="s">
        <v>90</v>
      </c>
      <c r="F45" s="59">
        <v>5</v>
      </c>
      <c r="G45" s="38">
        <f>IF(F45=0,"No se requiere",'[28]RESUMEN CIRCULAR_DECRETO'!H33)</f>
        <v>23632560</v>
      </c>
      <c r="H45" s="38">
        <f>IF(F45=0,"No se requiere",'[28]RESUMEN CIRCULAR_DECRETO'!K33)</f>
        <v>24723328</v>
      </c>
      <c r="I45" s="38">
        <f>IF(G45=0,"No se requiere",'[28]RESUMEN CIRCULAR_DECRETO'!N33)</f>
        <v>24951829</v>
      </c>
      <c r="J45" s="38">
        <f>IF(H45=0,"No se requiere",'[28]RESUMEN CIRCULAR_DECRETO'!Q33)</f>
        <v>25891510</v>
      </c>
      <c r="K45" s="38">
        <f>IF(I45=0,"No se requiere",'[28]RESUMEN CIRCULAR_DECRETO'!T33)</f>
        <v>25940245</v>
      </c>
      <c r="L45" s="39">
        <f t="shared" ref="L45:L50" si="0">G45*F45</f>
        <v>118162800</v>
      </c>
      <c r="M45" s="39">
        <f>ROUND(L45*$I$35,0)</f>
        <v>118162800</v>
      </c>
      <c r="N45" s="39">
        <f t="shared" ref="N45:N50" si="1">H45*F45</f>
        <v>123616640</v>
      </c>
      <c r="O45" s="39">
        <f>ROUND(N45*$J$35,0)</f>
        <v>803508160</v>
      </c>
      <c r="P45" s="39">
        <f>I45*F45</f>
        <v>124759145</v>
      </c>
      <c r="Q45" s="39">
        <f>ROUND(P45*$K$35,0)</f>
        <v>686175298</v>
      </c>
      <c r="R45" s="39">
        <f>J45*F45</f>
        <v>129457550</v>
      </c>
      <c r="S45" s="39">
        <f>ROUND(R45*$L$35,0)</f>
        <v>841474075</v>
      </c>
      <c r="T45" s="39">
        <f>K45*F45</f>
        <v>129701225</v>
      </c>
      <c r="U45" s="39">
        <f>ROUND(T45*$M$35,0)</f>
        <v>713356738</v>
      </c>
      <c r="V45" s="81">
        <f>O45+M45+Q45+S45+U45</f>
        <v>3162677071</v>
      </c>
    </row>
    <row r="46" spans="1:22" s="2" customFormat="1" ht="30.75" customHeight="1">
      <c r="B46" s="62">
        <v>24</v>
      </c>
      <c r="C46" s="63" t="s">
        <v>108</v>
      </c>
      <c r="D46" s="63" t="s">
        <v>109</v>
      </c>
      <c r="E46" s="63" t="s">
        <v>92</v>
      </c>
      <c r="F46" s="59">
        <v>11</v>
      </c>
      <c r="G46" s="38">
        <f>IF(F46=0,"No se requiere",'[28]RESUMEN CIRCULAR_DECRETO'!H34)</f>
        <v>24070200</v>
      </c>
      <c r="H46" s="38">
        <f>IF(F46=0,"No se requiere",'[28]RESUMEN CIRCULAR_DECRETO'!K34)</f>
        <v>25181167</v>
      </c>
      <c r="I46" s="38">
        <f>IF(G46=0,"No se requiere",'[28]RESUMEN CIRCULAR_DECRETO'!N34)</f>
        <v>25413900</v>
      </c>
      <c r="J46" s="38">
        <f>IF(H46=0,"No se requiere",'[28]RESUMEN CIRCULAR_DECRETO'!Q34)</f>
        <v>26370982</v>
      </c>
      <c r="K46" s="38">
        <f>IF(I46=0,"No se requiere",'[28]RESUMEN CIRCULAR_DECRETO'!T34)</f>
        <v>26420620</v>
      </c>
      <c r="L46" s="39">
        <f t="shared" si="0"/>
        <v>264772200</v>
      </c>
      <c r="M46" s="39">
        <f t="shared" ref="M46:M50" si="2">ROUND(L46*$I$35,0)</f>
        <v>264772200</v>
      </c>
      <c r="N46" s="39">
        <f t="shared" si="1"/>
        <v>276992837</v>
      </c>
      <c r="O46" s="39">
        <f t="shared" ref="O46:O50" si="3">ROUND(N46*$J$35,0)</f>
        <v>1800453441</v>
      </c>
      <c r="P46" s="39">
        <f t="shared" ref="P46:P50" si="4">I46*F46</f>
        <v>279552900</v>
      </c>
      <c r="Q46" s="39">
        <f t="shared" ref="Q46:Q50" si="5">ROUND(P46*$K$35,0)</f>
        <v>1537540950</v>
      </c>
      <c r="R46" s="39">
        <f t="shared" ref="R46:R50" si="6">J46*F46</f>
        <v>290080802</v>
      </c>
      <c r="S46" s="39">
        <f t="shared" ref="S46:S50" si="7">ROUND(R46*$L$35,0)</f>
        <v>1885525213</v>
      </c>
      <c r="T46" s="39">
        <f t="shared" ref="T46:T50" si="8">K46*F46</f>
        <v>290626820</v>
      </c>
      <c r="U46" s="39">
        <f t="shared" ref="U46:U50" si="9">ROUND(T46*$M$35,0)</f>
        <v>1598447510</v>
      </c>
      <c r="V46" s="81">
        <f t="shared" ref="V46:V50" si="10">O46+M46+Q46+S46+U46</f>
        <v>7086739314</v>
      </c>
    </row>
    <row r="47" spans="1:22" s="2" customFormat="1" ht="30.75" customHeight="1">
      <c r="B47" s="62">
        <v>24</v>
      </c>
      <c r="C47" s="63" t="s">
        <v>1143</v>
      </c>
      <c r="D47" s="63" t="s">
        <v>109</v>
      </c>
      <c r="E47" s="63" t="s">
        <v>92</v>
      </c>
      <c r="F47" s="59">
        <v>1</v>
      </c>
      <c r="G47" s="38">
        <f>IF(F47=0,"No se requiere",'[28]RESUMEN CIRCULAR_DECRETO'!H35)</f>
        <v>15356734</v>
      </c>
      <c r="H47" s="38">
        <f>IF(F47=0,"No se requiere",'[28]RESUMEN CIRCULAR_DECRETO'!K35)</f>
        <v>15727055</v>
      </c>
      <c r="I47" s="38">
        <f>IF(G47=0,"No se requiere",'[28]RESUMEN CIRCULAR_DECRETO'!N35)</f>
        <v>15804633</v>
      </c>
      <c r="J47" s="38">
        <f>IF(H47=0,"No se requiere",'[28]RESUMEN CIRCULAR_DECRETO'!Q35)</f>
        <v>16123660</v>
      </c>
      <c r="K47" s="38">
        <f>IF(I47=0,"No se requiere",'[28]RESUMEN CIRCULAR_DECRETO'!T35)</f>
        <v>16140207</v>
      </c>
      <c r="L47" s="39">
        <f t="shared" si="0"/>
        <v>15356734</v>
      </c>
      <c r="M47" s="39">
        <f t="shared" si="2"/>
        <v>15356734</v>
      </c>
      <c r="N47" s="39">
        <f t="shared" si="1"/>
        <v>15727055</v>
      </c>
      <c r="O47" s="39">
        <f t="shared" si="3"/>
        <v>102225858</v>
      </c>
      <c r="P47" s="39">
        <f t="shared" si="4"/>
        <v>15804633</v>
      </c>
      <c r="Q47" s="39">
        <f t="shared" si="5"/>
        <v>86925482</v>
      </c>
      <c r="R47" s="39">
        <f t="shared" si="6"/>
        <v>16123660</v>
      </c>
      <c r="S47" s="39">
        <f t="shared" si="7"/>
        <v>104803790</v>
      </c>
      <c r="T47" s="39">
        <f t="shared" si="8"/>
        <v>16140207</v>
      </c>
      <c r="U47" s="39">
        <f t="shared" si="9"/>
        <v>88771139</v>
      </c>
      <c r="V47" s="81">
        <f t="shared" si="10"/>
        <v>398083003</v>
      </c>
    </row>
    <row r="48" spans="1:22" s="2" customFormat="1" ht="30.75" customHeight="1">
      <c r="B48" s="62">
        <v>12</v>
      </c>
      <c r="C48" s="63" t="s">
        <v>110</v>
      </c>
      <c r="D48" s="63" t="s">
        <v>111</v>
      </c>
      <c r="E48" s="63" t="s">
        <v>1144</v>
      </c>
      <c r="F48" s="59">
        <v>1</v>
      </c>
      <c r="G48" s="38">
        <f>IF(F48=0,"No se requiere",'[28]RESUMEN CIRCULAR_DECRETO'!H36)</f>
        <v>14901542</v>
      </c>
      <c r="H48" s="38">
        <f>IF(F48=0,"No se requiere",'[28]RESUMEN CIRCULAR_DECRETO'!K36)</f>
        <v>15233173</v>
      </c>
      <c r="I48" s="38">
        <f>IF(G48=0,"No se requiere",'[28]RESUMEN CIRCULAR_DECRETO'!N36)</f>
        <v>15302646</v>
      </c>
      <c r="J48" s="38">
        <f>IF(H48=0,"No se requiere",'[28]RESUMEN CIRCULAR_DECRETO'!Q36)</f>
        <v>15588341</v>
      </c>
      <c r="K48" s="38">
        <f>IF(I48=0,"No se requiere",'[28]RESUMEN CIRCULAR_DECRETO'!T36)</f>
        <v>15603158</v>
      </c>
      <c r="L48" s="39">
        <f t="shared" si="0"/>
        <v>14901542</v>
      </c>
      <c r="M48" s="39">
        <f t="shared" si="2"/>
        <v>14901542</v>
      </c>
      <c r="N48" s="39">
        <f t="shared" si="1"/>
        <v>15233173</v>
      </c>
      <c r="O48" s="39">
        <f t="shared" si="3"/>
        <v>99015625</v>
      </c>
      <c r="P48" s="39">
        <f t="shared" si="4"/>
        <v>15302646</v>
      </c>
      <c r="Q48" s="39">
        <f t="shared" si="5"/>
        <v>84164553</v>
      </c>
      <c r="R48" s="39">
        <f t="shared" si="6"/>
        <v>15588341</v>
      </c>
      <c r="S48" s="39">
        <f t="shared" si="7"/>
        <v>101324217</v>
      </c>
      <c r="T48" s="39">
        <f t="shared" si="8"/>
        <v>15603158</v>
      </c>
      <c r="U48" s="39">
        <f t="shared" si="9"/>
        <v>85817369</v>
      </c>
      <c r="V48" s="81">
        <f t="shared" si="10"/>
        <v>385223306</v>
      </c>
    </row>
    <row r="49" spans="2:22" s="2" customFormat="1" ht="30.75" customHeight="1">
      <c r="B49" s="62">
        <v>12</v>
      </c>
      <c r="C49" s="63" t="s">
        <v>110</v>
      </c>
      <c r="D49" s="66" t="s">
        <v>1190</v>
      </c>
      <c r="E49" s="63" t="s">
        <v>90</v>
      </c>
      <c r="F49" s="59">
        <v>1</v>
      </c>
      <c r="G49" s="38">
        <f>IF(F49=0,"No se requiere",'[28]RESUMEN CIRCULAR_DECRETO'!H37)</f>
        <v>15524435</v>
      </c>
      <c r="H49" s="38">
        <f>IF(F49=0,"No se requiere",'[28]RESUMEN CIRCULAR_DECRETO'!K37)</f>
        <v>15926013</v>
      </c>
      <c r="I49" s="38">
        <f>IF(G49=0,"No se requiere",'[28]RESUMEN CIRCULAR_DECRETO'!N37)</f>
        <v>16010137</v>
      </c>
      <c r="J49" s="38">
        <f>IF(H49=0,"No se requiere",'[28]RESUMEN CIRCULAR_DECRETO'!Q37)</f>
        <v>16356090</v>
      </c>
      <c r="K49" s="38">
        <f>IF(I49=0,"No se requiere",'[28]RESUMEN CIRCULAR_DECRETO'!T37)</f>
        <v>16374032</v>
      </c>
      <c r="L49" s="39">
        <f t="shared" si="0"/>
        <v>15524435</v>
      </c>
      <c r="M49" s="39">
        <f t="shared" si="2"/>
        <v>15524435</v>
      </c>
      <c r="N49" s="39">
        <f t="shared" si="1"/>
        <v>15926013</v>
      </c>
      <c r="O49" s="39">
        <f t="shared" si="3"/>
        <v>103519085</v>
      </c>
      <c r="P49" s="39">
        <f t="shared" si="4"/>
        <v>16010137</v>
      </c>
      <c r="Q49" s="39">
        <f t="shared" si="5"/>
        <v>88055754</v>
      </c>
      <c r="R49" s="39">
        <f t="shared" si="6"/>
        <v>16356090</v>
      </c>
      <c r="S49" s="39">
        <f t="shared" si="7"/>
        <v>106314585</v>
      </c>
      <c r="T49" s="39">
        <f t="shared" si="8"/>
        <v>16374032</v>
      </c>
      <c r="U49" s="39">
        <f t="shared" si="9"/>
        <v>90057176</v>
      </c>
      <c r="V49" s="81">
        <f t="shared" si="10"/>
        <v>403471035</v>
      </c>
    </row>
    <row r="50" spans="2:22" s="2" customFormat="1" ht="30.75" customHeight="1">
      <c r="B50" s="62">
        <v>12</v>
      </c>
      <c r="C50" s="63" t="s">
        <v>108</v>
      </c>
      <c r="D50" s="63" t="s">
        <v>111</v>
      </c>
      <c r="E50" s="63" t="s">
        <v>90</v>
      </c>
      <c r="F50" s="59">
        <v>1</v>
      </c>
      <c r="G50" s="38">
        <f>IF(F50=0,"No se requiere",'[28]RESUMEN CIRCULAR_DECRETO'!H38)</f>
        <v>16545907</v>
      </c>
      <c r="H50" s="38">
        <f>IF(F50=0,"No se requiere",'[28]RESUMEN CIRCULAR_DECRETO'!K38)</f>
        <v>17034309</v>
      </c>
      <c r="I50" s="38">
        <f>IF(G50=0,"No se requiere",'[28]RESUMEN CIRCULAR_DECRETO'!N38)</f>
        <v>17136622</v>
      </c>
      <c r="J50" s="38">
        <f>IF(H50=0,"No se requiere",'[28]RESUMEN CIRCULAR_DECRETO'!Q38)</f>
        <v>17557374</v>
      </c>
      <c r="K50" s="38">
        <f>IF(I50=0,"No se requiere",'[28]RESUMEN CIRCULAR_DECRETO'!T38)</f>
        <v>17579196</v>
      </c>
      <c r="L50" s="39">
        <f t="shared" si="0"/>
        <v>16545907</v>
      </c>
      <c r="M50" s="39">
        <f t="shared" si="2"/>
        <v>16545907</v>
      </c>
      <c r="N50" s="39">
        <f t="shared" si="1"/>
        <v>17034309</v>
      </c>
      <c r="O50" s="39">
        <f t="shared" si="3"/>
        <v>110723009</v>
      </c>
      <c r="P50" s="39">
        <f t="shared" si="4"/>
        <v>17136622</v>
      </c>
      <c r="Q50" s="39">
        <f t="shared" si="5"/>
        <v>94251421</v>
      </c>
      <c r="R50" s="39">
        <f t="shared" si="6"/>
        <v>17557374</v>
      </c>
      <c r="S50" s="39">
        <f t="shared" si="7"/>
        <v>114122931</v>
      </c>
      <c r="T50" s="39">
        <f t="shared" si="8"/>
        <v>17579196</v>
      </c>
      <c r="U50" s="39">
        <f t="shared" si="9"/>
        <v>96685578</v>
      </c>
      <c r="V50" s="81">
        <f t="shared" si="10"/>
        <v>432328846</v>
      </c>
    </row>
    <row r="51" spans="2:22" s="2" customFormat="1" ht="27" customHeight="1">
      <c r="B51" s="201" t="s">
        <v>1212</v>
      </c>
      <c r="C51" s="201"/>
      <c r="D51" s="201"/>
      <c r="E51" s="201"/>
      <c r="F51" s="201"/>
      <c r="G51" s="201"/>
      <c r="H51" s="201"/>
      <c r="I51" s="201"/>
      <c r="J51" s="201"/>
      <c r="K51" s="201"/>
      <c r="L51" s="201"/>
      <c r="M51" s="201"/>
      <c r="N51" s="201"/>
      <c r="O51" s="201"/>
      <c r="P51" s="201"/>
      <c r="Q51" s="201"/>
      <c r="R51" s="201"/>
      <c r="S51" s="201"/>
      <c r="T51" s="201"/>
      <c r="U51" s="201"/>
      <c r="V51" s="81">
        <f>SUM(V45:V50)</f>
        <v>11868522575</v>
      </c>
    </row>
    <row r="52" spans="2:22" s="2" customFormat="1" ht="12.5">
      <c r="C52" s="4"/>
      <c r="D52" s="4"/>
      <c r="E52" s="4"/>
      <c r="F52" s="4"/>
      <c r="G52" s="4"/>
      <c r="H52" s="4"/>
    </row>
    <row r="53" spans="2:22" s="2" customFormat="1" ht="12.5">
      <c r="C53" s="4"/>
      <c r="D53" s="4"/>
      <c r="E53" s="4"/>
      <c r="F53" s="4"/>
      <c r="G53" s="4"/>
      <c r="H53" s="4"/>
    </row>
    <row r="54" spans="2:22" s="2" customFormat="1" ht="27.75" customHeight="1">
      <c r="B54" s="200" t="s">
        <v>1193</v>
      </c>
      <c r="C54" s="200"/>
      <c r="D54" s="200"/>
      <c r="E54" s="200"/>
      <c r="F54" s="200"/>
      <c r="G54" s="200"/>
      <c r="H54" s="200"/>
      <c r="I54" s="200"/>
      <c r="J54" s="200"/>
      <c r="K54" s="200"/>
      <c r="L54" s="200"/>
      <c r="M54" s="200"/>
      <c r="N54" s="200"/>
      <c r="O54" s="200"/>
      <c r="P54" s="200"/>
      <c r="Q54" s="200"/>
      <c r="R54" s="200"/>
      <c r="S54" s="200"/>
      <c r="T54" s="200"/>
      <c r="U54" s="200"/>
      <c r="V54" s="200"/>
    </row>
    <row r="55" spans="2:22" s="2" customFormat="1" ht="12.5">
      <c r="C55" s="4"/>
      <c r="D55" s="4"/>
      <c r="E55" s="4"/>
      <c r="F55" s="4"/>
      <c r="G55" s="4"/>
      <c r="H55" s="4"/>
    </row>
    <row r="56" spans="2:22" s="2" customFormat="1" ht="61.5" customHeight="1">
      <c r="B56" s="169" t="s">
        <v>1194</v>
      </c>
      <c r="C56" s="169"/>
      <c r="D56" s="169"/>
      <c r="E56" s="169"/>
      <c r="F56" s="169" t="s">
        <v>1214</v>
      </c>
      <c r="G56" s="169"/>
      <c r="H56" s="169"/>
      <c r="I56" s="169"/>
      <c r="J56" s="169"/>
      <c r="K56" s="169"/>
      <c r="L56" s="169"/>
      <c r="M56" s="169"/>
      <c r="N56" s="169"/>
      <c r="O56" s="169"/>
      <c r="P56" s="169"/>
    </row>
    <row r="57" spans="2:22" s="2" customFormat="1" ht="60" customHeight="1">
      <c r="B57" s="74" t="s">
        <v>1176</v>
      </c>
      <c r="C57" s="29" t="s">
        <v>1177</v>
      </c>
      <c r="D57" s="173" t="s">
        <v>125</v>
      </c>
      <c r="E57" s="174"/>
      <c r="F57" s="60" t="s">
        <v>124</v>
      </c>
      <c r="G57" s="75" t="s">
        <v>126</v>
      </c>
      <c r="H57" s="75" t="s">
        <v>1215</v>
      </c>
      <c r="I57" s="75" t="s">
        <v>1216</v>
      </c>
      <c r="J57" s="85" t="s">
        <v>1217</v>
      </c>
      <c r="K57" s="85" t="s">
        <v>1218</v>
      </c>
      <c r="L57" s="85" t="s">
        <v>1219</v>
      </c>
      <c r="M57" s="85" t="s">
        <v>1220</v>
      </c>
      <c r="N57" s="85" t="s">
        <v>1221</v>
      </c>
      <c r="O57" s="85" t="s">
        <v>1222</v>
      </c>
      <c r="P57" s="60" t="s">
        <v>1223</v>
      </c>
    </row>
    <row r="58" spans="2:22" s="2" customFormat="1" ht="57.75" customHeight="1">
      <c r="B58" s="59">
        <v>1</v>
      </c>
      <c r="C58" s="67" t="s">
        <v>1149</v>
      </c>
      <c r="D58" s="196" t="s">
        <v>1150</v>
      </c>
      <c r="E58" s="196"/>
      <c r="F58" s="76">
        <v>8</v>
      </c>
      <c r="G58" s="54">
        <v>6250</v>
      </c>
      <c r="H58" s="54">
        <v>50000</v>
      </c>
      <c r="I58" s="54">
        <v>50000</v>
      </c>
      <c r="J58" s="39">
        <f t="shared" ref="J58:J80" si="11">ROUND(G58*F58,0)</f>
        <v>50000</v>
      </c>
      <c r="K58" s="39">
        <f>J58*$I$35</f>
        <v>50000</v>
      </c>
      <c r="L58" s="39">
        <f>ROUND(H58*F58,0)</f>
        <v>400000</v>
      </c>
      <c r="M58" s="39">
        <f>L58*(SUM($J$35:$K$35))</f>
        <v>4800000</v>
      </c>
      <c r="N58" s="39">
        <f>ROUND(I58*F58,0)</f>
        <v>400000</v>
      </c>
      <c r="O58" s="39">
        <f>N58*(SUM($L$35:$M$35))</f>
        <v>4800000</v>
      </c>
      <c r="P58" s="81">
        <f>K58+M58+O58</f>
        <v>9650000</v>
      </c>
    </row>
    <row r="59" spans="2:22" s="2" customFormat="1" ht="78" customHeight="1">
      <c r="B59" s="59">
        <v>2</v>
      </c>
      <c r="C59" s="67" t="s">
        <v>1149</v>
      </c>
      <c r="D59" s="196" t="s">
        <v>1151</v>
      </c>
      <c r="E59" s="196" t="s">
        <v>1151</v>
      </c>
      <c r="F59" s="76">
        <v>8</v>
      </c>
      <c r="G59" s="54">
        <v>18750</v>
      </c>
      <c r="H59" s="54">
        <v>150000</v>
      </c>
      <c r="I59" s="54">
        <v>150000</v>
      </c>
      <c r="J59" s="39">
        <f t="shared" si="11"/>
        <v>150000</v>
      </c>
      <c r="K59" s="39">
        <f t="shared" ref="K59:K80" si="12">J59*$I$35</f>
        <v>150000</v>
      </c>
      <c r="L59" s="39">
        <f t="shared" ref="L59:L80" si="13">ROUND(H59*F59,0)</f>
        <v>1200000</v>
      </c>
      <c r="M59" s="39">
        <f t="shared" ref="M59:M80" si="14">L59*(SUM($J$35:$K$35))</f>
        <v>14400000</v>
      </c>
      <c r="N59" s="39">
        <f t="shared" ref="N59:N80" si="15">ROUND(I59*F59,0)</f>
        <v>1200000</v>
      </c>
      <c r="O59" s="39">
        <f t="shared" ref="O59:O80" si="16">N59*(SUM($L$35:$M$35))</f>
        <v>14400000</v>
      </c>
      <c r="P59" s="81">
        <f t="shared" ref="P59:P80" si="17">K59+M59+O59</f>
        <v>28950000</v>
      </c>
    </row>
    <row r="60" spans="2:22" s="2" customFormat="1" ht="78" customHeight="1">
      <c r="B60" s="59">
        <v>3</v>
      </c>
      <c r="C60" s="67" t="s">
        <v>1149</v>
      </c>
      <c r="D60" s="196" t="s">
        <v>1152</v>
      </c>
      <c r="E60" s="196" t="s">
        <v>1152</v>
      </c>
      <c r="F60" s="76">
        <f>36+5</f>
        <v>41</v>
      </c>
      <c r="G60" s="54">
        <v>853</v>
      </c>
      <c r="H60" s="54">
        <v>35000</v>
      </c>
      <c r="I60" s="54">
        <v>35000</v>
      </c>
      <c r="J60" s="39">
        <f t="shared" si="11"/>
        <v>34973</v>
      </c>
      <c r="K60" s="39">
        <f t="shared" si="12"/>
        <v>34973</v>
      </c>
      <c r="L60" s="39">
        <f t="shared" si="13"/>
        <v>1435000</v>
      </c>
      <c r="M60" s="39">
        <f t="shared" si="14"/>
        <v>17220000</v>
      </c>
      <c r="N60" s="39">
        <f t="shared" si="15"/>
        <v>1435000</v>
      </c>
      <c r="O60" s="39">
        <f t="shared" si="16"/>
        <v>17220000</v>
      </c>
      <c r="P60" s="81">
        <f t="shared" si="17"/>
        <v>34474973</v>
      </c>
    </row>
    <row r="61" spans="2:22" s="2" customFormat="1" ht="78" customHeight="1">
      <c r="B61" s="59">
        <v>4</v>
      </c>
      <c r="C61" s="67" t="s">
        <v>1149</v>
      </c>
      <c r="D61" s="196" t="s">
        <v>1153</v>
      </c>
      <c r="E61" s="196" t="s">
        <v>1153</v>
      </c>
      <c r="F61" s="76">
        <f>70+1</f>
        <v>71</v>
      </c>
      <c r="G61" s="54">
        <v>522</v>
      </c>
      <c r="H61" s="54">
        <v>37000</v>
      </c>
      <c r="I61" s="54">
        <v>37000</v>
      </c>
      <c r="J61" s="39">
        <f t="shared" si="11"/>
        <v>37062</v>
      </c>
      <c r="K61" s="39">
        <f t="shared" si="12"/>
        <v>37062</v>
      </c>
      <c r="L61" s="39">
        <f t="shared" si="13"/>
        <v>2627000</v>
      </c>
      <c r="M61" s="39">
        <f t="shared" si="14"/>
        <v>31524000</v>
      </c>
      <c r="N61" s="39">
        <f t="shared" si="15"/>
        <v>2627000</v>
      </c>
      <c r="O61" s="39">
        <f t="shared" si="16"/>
        <v>31524000</v>
      </c>
      <c r="P61" s="81">
        <f t="shared" si="17"/>
        <v>63085062</v>
      </c>
    </row>
    <row r="62" spans="2:22" s="2" customFormat="1" ht="78" customHeight="1">
      <c r="B62" s="59">
        <v>5</v>
      </c>
      <c r="C62" s="67" t="s">
        <v>1149</v>
      </c>
      <c r="D62" s="196" t="s">
        <v>1154</v>
      </c>
      <c r="E62" s="196" t="s">
        <v>1154</v>
      </c>
      <c r="F62" s="76">
        <v>4</v>
      </c>
      <c r="G62" s="54">
        <v>300000</v>
      </c>
      <c r="H62" s="54">
        <v>1200000</v>
      </c>
      <c r="I62" s="54">
        <v>1200000</v>
      </c>
      <c r="J62" s="39">
        <f t="shared" si="11"/>
        <v>1200000</v>
      </c>
      <c r="K62" s="39">
        <f t="shared" si="12"/>
        <v>1200000</v>
      </c>
      <c r="L62" s="39">
        <f t="shared" si="13"/>
        <v>4800000</v>
      </c>
      <c r="M62" s="39">
        <f t="shared" si="14"/>
        <v>57600000</v>
      </c>
      <c r="N62" s="39">
        <f t="shared" si="15"/>
        <v>4800000</v>
      </c>
      <c r="O62" s="39">
        <f t="shared" si="16"/>
        <v>57600000</v>
      </c>
      <c r="P62" s="81">
        <f t="shared" si="17"/>
        <v>116400000</v>
      </c>
    </row>
    <row r="63" spans="2:22" s="2" customFormat="1" ht="71.25" customHeight="1">
      <c r="B63" s="59">
        <v>6</v>
      </c>
      <c r="C63" s="67" t="s">
        <v>1155</v>
      </c>
      <c r="D63" s="196" t="s">
        <v>1156</v>
      </c>
      <c r="E63" s="196"/>
      <c r="F63" s="76">
        <v>34</v>
      </c>
      <c r="G63" s="54">
        <v>323</v>
      </c>
      <c r="H63" s="54">
        <v>11000</v>
      </c>
      <c r="I63" s="54">
        <v>11000</v>
      </c>
      <c r="J63" s="39">
        <f t="shared" si="11"/>
        <v>10982</v>
      </c>
      <c r="K63" s="39">
        <f t="shared" si="12"/>
        <v>10982</v>
      </c>
      <c r="L63" s="39">
        <f t="shared" si="13"/>
        <v>374000</v>
      </c>
      <c r="M63" s="39">
        <f t="shared" si="14"/>
        <v>4488000</v>
      </c>
      <c r="N63" s="39">
        <f t="shared" si="15"/>
        <v>374000</v>
      </c>
      <c r="O63" s="39">
        <f t="shared" si="16"/>
        <v>4488000</v>
      </c>
      <c r="P63" s="81">
        <f t="shared" si="17"/>
        <v>8986982</v>
      </c>
    </row>
    <row r="64" spans="2:22" s="2" customFormat="1" ht="71.25" customHeight="1">
      <c r="B64" s="59">
        <v>7</v>
      </c>
      <c r="C64" s="67" t="s">
        <v>1155</v>
      </c>
      <c r="D64" s="196" t="s">
        <v>1157</v>
      </c>
      <c r="E64" s="196" t="s">
        <v>127</v>
      </c>
      <c r="F64" s="76">
        <v>8</v>
      </c>
      <c r="G64" s="54">
        <v>21250</v>
      </c>
      <c r="H64" s="54">
        <v>170000</v>
      </c>
      <c r="I64" s="54">
        <v>170000</v>
      </c>
      <c r="J64" s="39">
        <f t="shared" si="11"/>
        <v>170000</v>
      </c>
      <c r="K64" s="39">
        <f t="shared" si="12"/>
        <v>170000</v>
      </c>
      <c r="L64" s="39">
        <f t="shared" si="13"/>
        <v>1360000</v>
      </c>
      <c r="M64" s="39">
        <f t="shared" si="14"/>
        <v>16320000</v>
      </c>
      <c r="N64" s="39">
        <f t="shared" si="15"/>
        <v>1360000</v>
      </c>
      <c r="O64" s="39">
        <f t="shared" si="16"/>
        <v>16320000</v>
      </c>
      <c r="P64" s="81">
        <f t="shared" si="17"/>
        <v>32810000</v>
      </c>
    </row>
    <row r="65" spans="2:16" s="2" customFormat="1" ht="71.25" customHeight="1">
      <c r="B65" s="59">
        <v>8</v>
      </c>
      <c r="C65" s="67" t="s">
        <v>1155</v>
      </c>
      <c r="D65" s="196" t="s">
        <v>1158</v>
      </c>
      <c r="E65" s="196" t="s">
        <v>128</v>
      </c>
      <c r="F65" s="76">
        <v>7</v>
      </c>
      <c r="G65" s="54">
        <v>3571</v>
      </c>
      <c r="H65" s="54">
        <v>25000</v>
      </c>
      <c r="I65" s="54">
        <v>25000</v>
      </c>
      <c r="J65" s="39">
        <f t="shared" si="11"/>
        <v>24997</v>
      </c>
      <c r="K65" s="39">
        <f t="shared" si="12"/>
        <v>24997</v>
      </c>
      <c r="L65" s="39">
        <f t="shared" si="13"/>
        <v>175000</v>
      </c>
      <c r="M65" s="39">
        <f t="shared" si="14"/>
        <v>2100000</v>
      </c>
      <c r="N65" s="39">
        <f t="shared" si="15"/>
        <v>175000</v>
      </c>
      <c r="O65" s="39">
        <f t="shared" si="16"/>
        <v>2100000</v>
      </c>
      <c r="P65" s="81">
        <f t="shared" si="17"/>
        <v>4224997</v>
      </c>
    </row>
    <row r="66" spans="2:16" s="2" customFormat="1" ht="71.25" customHeight="1">
      <c r="B66" s="59">
        <v>9</v>
      </c>
      <c r="C66" s="67" t="s">
        <v>1155</v>
      </c>
      <c r="D66" s="196" t="s">
        <v>1159</v>
      </c>
      <c r="E66" s="196" t="s">
        <v>1178</v>
      </c>
      <c r="F66" s="76">
        <v>9</v>
      </c>
      <c r="G66" s="54">
        <v>20000</v>
      </c>
      <c r="H66" s="54">
        <v>40000</v>
      </c>
      <c r="I66" s="54">
        <v>40000</v>
      </c>
      <c r="J66" s="39">
        <f t="shared" si="11"/>
        <v>180000</v>
      </c>
      <c r="K66" s="39">
        <f t="shared" si="12"/>
        <v>180000</v>
      </c>
      <c r="L66" s="39">
        <f t="shared" si="13"/>
        <v>360000</v>
      </c>
      <c r="M66" s="39">
        <f t="shared" si="14"/>
        <v>4320000</v>
      </c>
      <c r="N66" s="39">
        <f t="shared" si="15"/>
        <v>360000</v>
      </c>
      <c r="O66" s="39">
        <f t="shared" si="16"/>
        <v>4320000</v>
      </c>
      <c r="P66" s="81">
        <f t="shared" si="17"/>
        <v>8820000</v>
      </c>
    </row>
    <row r="67" spans="2:16" s="2" customFormat="1" ht="71.25" customHeight="1">
      <c r="B67" s="59">
        <v>10</v>
      </c>
      <c r="C67" s="67" t="s">
        <v>1155</v>
      </c>
      <c r="D67" s="196" t="s">
        <v>1160</v>
      </c>
      <c r="E67" s="196" t="s">
        <v>1178</v>
      </c>
      <c r="F67" s="76">
        <v>8</v>
      </c>
      <c r="G67" s="54">
        <v>20000</v>
      </c>
      <c r="H67" s="54">
        <v>40000</v>
      </c>
      <c r="I67" s="54">
        <v>40000</v>
      </c>
      <c r="J67" s="39">
        <f t="shared" si="11"/>
        <v>160000</v>
      </c>
      <c r="K67" s="39">
        <f t="shared" si="12"/>
        <v>160000</v>
      </c>
      <c r="L67" s="39">
        <f t="shared" si="13"/>
        <v>320000</v>
      </c>
      <c r="M67" s="39">
        <f t="shared" si="14"/>
        <v>3840000</v>
      </c>
      <c r="N67" s="39">
        <f t="shared" si="15"/>
        <v>320000</v>
      </c>
      <c r="O67" s="39">
        <f t="shared" si="16"/>
        <v>3840000</v>
      </c>
      <c r="P67" s="81">
        <f t="shared" si="17"/>
        <v>7840000</v>
      </c>
    </row>
    <row r="68" spans="2:16" s="2" customFormat="1" ht="44.25" customHeight="1">
      <c r="B68" s="59">
        <v>11</v>
      </c>
      <c r="C68" s="67" t="s">
        <v>1155</v>
      </c>
      <c r="D68" s="196" t="s">
        <v>1161</v>
      </c>
      <c r="E68" s="196" t="s">
        <v>1178</v>
      </c>
      <c r="F68" s="76">
        <v>77</v>
      </c>
      <c r="G68" s="54">
        <v>1000</v>
      </c>
      <c r="H68" s="54">
        <v>11000</v>
      </c>
      <c r="I68" s="54">
        <v>11000</v>
      </c>
      <c r="J68" s="39">
        <f t="shared" si="11"/>
        <v>77000</v>
      </c>
      <c r="K68" s="39">
        <f t="shared" si="12"/>
        <v>77000</v>
      </c>
      <c r="L68" s="39">
        <f t="shared" si="13"/>
        <v>847000</v>
      </c>
      <c r="M68" s="39">
        <f t="shared" si="14"/>
        <v>10164000</v>
      </c>
      <c r="N68" s="39">
        <f t="shared" si="15"/>
        <v>847000</v>
      </c>
      <c r="O68" s="39">
        <f t="shared" si="16"/>
        <v>10164000</v>
      </c>
      <c r="P68" s="81">
        <f t="shared" si="17"/>
        <v>20405000</v>
      </c>
    </row>
    <row r="69" spans="2:16" s="2" customFormat="1" ht="44.25" customHeight="1">
      <c r="B69" s="59">
        <v>12</v>
      </c>
      <c r="C69" s="67" t="s">
        <v>1155</v>
      </c>
      <c r="D69" s="196" t="s">
        <v>1162</v>
      </c>
      <c r="E69" s="196" t="s">
        <v>1179</v>
      </c>
      <c r="F69" s="76">
        <v>17</v>
      </c>
      <c r="G69" s="54">
        <v>1200</v>
      </c>
      <c r="H69" s="54">
        <v>13000</v>
      </c>
      <c r="I69" s="54">
        <v>13000</v>
      </c>
      <c r="J69" s="39">
        <f t="shared" si="11"/>
        <v>20400</v>
      </c>
      <c r="K69" s="39">
        <f t="shared" si="12"/>
        <v>20400</v>
      </c>
      <c r="L69" s="39">
        <f t="shared" si="13"/>
        <v>221000</v>
      </c>
      <c r="M69" s="39">
        <f t="shared" si="14"/>
        <v>2652000</v>
      </c>
      <c r="N69" s="39">
        <f t="shared" si="15"/>
        <v>221000</v>
      </c>
      <c r="O69" s="39">
        <f t="shared" si="16"/>
        <v>2652000</v>
      </c>
      <c r="P69" s="81">
        <f t="shared" si="17"/>
        <v>5324400</v>
      </c>
    </row>
    <row r="70" spans="2:16" s="2" customFormat="1" ht="44.25" customHeight="1">
      <c r="B70" s="59">
        <v>13</v>
      </c>
      <c r="C70" s="67" t="s">
        <v>1155</v>
      </c>
      <c r="D70" s="196" t="s">
        <v>1163</v>
      </c>
      <c r="E70" s="196" t="s">
        <v>129</v>
      </c>
      <c r="F70" s="76">
        <v>12</v>
      </c>
      <c r="G70" s="54">
        <v>2000</v>
      </c>
      <c r="H70" s="54">
        <v>22000</v>
      </c>
      <c r="I70" s="54">
        <v>22000</v>
      </c>
      <c r="J70" s="39">
        <f t="shared" si="11"/>
        <v>24000</v>
      </c>
      <c r="K70" s="39">
        <f t="shared" si="12"/>
        <v>24000</v>
      </c>
      <c r="L70" s="39">
        <f t="shared" si="13"/>
        <v>264000</v>
      </c>
      <c r="M70" s="39">
        <f t="shared" si="14"/>
        <v>3168000</v>
      </c>
      <c r="N70" s="39">
        <f t="shared" si="15"/>
        <v>264000</v>
      </c>
      <c r="O70" s="39">
        <f t="shared" si="16"/>
        <v>3168000</v>
      </c>
      <c r="P70" s="81">
        <f t="shared" si="17"/>
        <v>6360000</v>
      </c>
    </row>
    <row r="71" spans="2:16" s="2" customFormat="1" ht="44.25" customHeight="1">
      <c r="B71" s="59">
        <v>14</v>
      </c>
      <c r="C71" s="67" t="s">
        <v>1155</v>
      </c>
      <c r="D71" s="196" t="s">
        <v>1164</v>
      </c>
      <c r="E71" s="196" t="s">
        <v>130</v>
      </c>
      <c r="F71" s="76">
        <v>14</v>
      </c>
      <c r="G71" s="54">
        <v>400</v>
      </c>
      <c r="H71" s="54">
        <v>5000</v>
      </c>
      <c r="I71" s="54">
        <v>5000</v>
      </c>
      <c r="J71" s="39">
        <f t="shared" si="11"/>
        <v>5600</v>
      </c>
      <c r="K71" s="39">
        <f t="shared" si="12"/>
        <v>5600</v>
      </c>
      <c r="L71" s="39">
        <f t="shared" si="13"/>
        <v>70000</v>
      </c>
      <c r="M71" s="39">
        <f t="shared" si="14"/>
        <v>840000</v>
      </c>
      <c r="N71" s="39">
        <f t="shared" si="15"/>
        <v>70000</v>
      </c>
      <c r="O71" s="39">
        <f t="shared" si="16"/>
        <v>840000</v>
      </c>
      <c r="P71" s="81">
        <f t="shared" si="17"/>
        <v>1685600</v>
      </c>
    </row>
    <row r="72" spans="2:16" s="2" customFormat="1" ht="44.25" customHeight="1">
      <c r="B72" s="59">
        <v>15</v>
      </c>
      <c r="C72" s="67" t="s">
        <v>1155</v>
      </c>
      <c r="D72" s="196" t="s">
        <v>1165</v>
      </c>
      <c r="E72" s="196" t="s">
        <v>131</v>
      </c>
      <c r="F72" s="76">
        <v>1</v>
      </c>
      <c r="G72" s="54">
        <v>600</v>
      </c>
      <c r="H72" s="54">
        <v>6000</v>
      </c>
      <c r="I72" s="54">
        <v>6000</v>
      </c>
      <c r="J72" s="39">
        <f t="shared" si="11"/>
        <v>600</v>
      </c>
      <c r="K72" s="39">
        <f t="shared" si="12"/>
        <v>600</v>
      </c>
      <c r="L72" s="39">
        <f t="shared" si="13"/>
        <v>6000</v>
      </c>
      <c r="M72" s="39">
        <f t="shared" si="14"/>
        <v>72000</v>
      </c>
      <c r="N72" s="39">
        <f t="shared" si="15"/>
        <v>6000</v>
      </c>
      <c r="O72" s="39">
        <f t="shared" si="16"/>
        <v>72000</v>
      </c>
      <c r="P72" s="81">
        <f t="shared" si="17"/>
        <v>144600</v>
      </c>
    </row>
    <row r="73" spans="2:16" s="2" customFormat="1" ht="61.5" customHeight="1">
      <c r="B73" s="59">
        <v>16</v>
      </c>
      <c r="C73" s="67" t="s">
        <v>1155</v>
      </c>
      <c r="D73" s="196" t="s">
        <v>1166</v>
      </c>
      <c r="E73" s="196" t="s">
        <v>132</v>
      </c>
      <c r="F73" s="76">
        <v>3</v>
      </c>
      <c r="G73" s="54">
        <v>12500</v>
      </c>
      <c r="H73" s="54">
        <v>150000</v>
      </c>
      <c r="I73" s="54">
        <v>150000</v>
      </c>
      <c r="J73" s="39">
        <f t="shared" si="11"/>
        <v>37500</v>
      </c>
      <c r="K73" s="39">
        <f t="shared" si="12"/>
        <v>37500</v>
      </c>
      <c r="L73" s="39">
        <f t="shared" si="13"/>
        <v>450000</v>
      </c>
      <c r="M73" s="39">
        <f t="shared" si="14"/>
        <v>5400000</v>
      </c>
      <c r="N73" s="39">
        <f t="shared" si="15"/>
        <v>450000</v>
      </c>
      <c r="O73" s="39">
        <f t="shared" si="16"/>
        <v>5400000</v>
      </c>
      <c r="P73" s="81">
        <f t="shared" si="17"/>
        <v>10837500</v>
      </c>
    </row>
    <row r="74" spans="2:16" s="2" customFormat="1" ht="44.25" customHeight="1">
      <c r="B74" s="59">
        <v>17</v>
      </c>
      <c r="C74" s="67" t="s">
        <v>1167</v>
      </c>
      <c r="D74" s="196" t="s">
        <v>1168</v>
      </c>
      <c r="E74" s="196"/>
      <c r="F74" s="76">
        <v>5</v>
      </c>
      <c r="G74" s="54">
        <v>800</v>
      </c>
      <c r="H74" s="54">
        <v>80000</v>
      </c>
      <c r="I74" s="54">
        <v>80000</v>
      </c>
      <c r="J74" s="39">
        <f t="shared" si="11"/>
        <v>4000</v>
      </c>
      <c r="K74" s="39">
        <f t="shared" si="12"/>
        <v>4000</v>
      </c>
      <c r="L74" s="39">
        <f t="shared" si="13"/>
        <v>400000</v>
      </c>
      <c r="M74" s="39">
        <f t="shared" si="14"/>
        <v>4800000</v>
      </c>
      <c r="N74" s="39">
        <f t="shared" si="15"/>
        <v>400000</v>
      </c>
      <c r="O74" s="39">
        <f t="shared" si="16"/>
        <v>4800000</v>
      </c>
      <c r="P74" s="81">
        <f t="shared" si="17"/>
        <v>9604000</v>
      </c>
    </row>
    <row r="75" spans="2:16" s="2" customFormat="1" ht="44.25" customHeight="1">
      <c r="B75" s="59">
        <v>18</v>
      </c>
      <c r="C75" s="67" t="s">
        <v>1167</v>
      </c>
      <c r="D75" s="196" t="s">
        <v>1169</v>
      </c>
      <c r="E75" s="196" t="s">
        <v>1169</v>
      </c>
      <c r="F75" s="76">
        <v>34</v>
      </c>
      <c r="G75" s="54">
        <v>200</v>
      </c>
      <c r="H75" s="54">
        <v>2000</v>
      </c>
      <c r="I75" s="54">
        <v>2000</v>
      </c>
      <c r="J75" s="39">
        <f t="shared" si="11"/>
        <v>6800</v>
      </c>
      <c r="K75" s="39">
        <f t="shared" si="12"/>
        <v>6800</v>
      </c>
      <c r="L75" s="39">
        <f t="shared" si="13"/>
        <v>68000</v>
      </c>
      <c r="M75" s="39">
        <f t="shared" si="14"/>
        <v>816000</v>
      </c>
      <c r="N75" s="39">
        <f t="shared" si="15"/>
        <v>68000</v>
      </c>
      <c r="O75" s="39">
        <f t="shared" si="16"/>
        <v>816000</v>
      </c>
      <c r="P75" s="81">
        <f t="shared" si="17"/>
        <v>1638800</v>
      </c>
    </row>
    <row r="76" spans="2:16" s="2" customFormat="1" ht="44.25" customHeight="1">
      <c r="B76" s="59">
        <v>19</v>
      </c>
      <c r="C76" s="67" t="s">
        <v>1170</v>
      </c>
      <c r="D76" s="196" t="s">
        <v>1171</v>
      </c>
      <c r="E76" s="196"/>
      <c r="F76" s="76">
        <v>22</v>
      </c>
      <c r="G76" s="54">
        <v>5000</v>
      </c>
      <c r="H76" s="54">
        <v>54000</v>
      </c>
      <c r="I76" s="54">
        <v>54000</v>
      </c>
      <c r="J76" s="39">
        <f t="shared" si="11"/>
        <v>110000</v>
      </c>
      <c r="K76" s="39">
        <f t="shared" si="12"/>
        <v>110000</v>
      </c>
      <c r="L76" s="39">
        <f t="shared" si="13"/>
        <v>1188000</v>
      </c>
      <c r="M76" s="39">
        <f t="shared" si="14"/>
        <v>14256000</v>
      </c>
      <c r="N76" s="39">
        <f t="shared" si="15"/>
        <v>1188000</v>
      </c>
      <c r="O76" s="39">
        <f t="shared" si="16"/>
        <v>14256000</v>
      </c>
      <c r="P76" s="81">
        <f t="shared" si="17"/>
        <v>28622000</v>
      </c>
    </row>
    <row r="77" spans="2:16" s="2" customFormat="1" ht="44.25" customHeight="1">
      <c r="B77" s="59">
        <v>20</v>
      </c>
      <c r="C77" s="67" t="s">
        <v>1170</v>
      </c>
      <c r="D77" s="196" t="s">
        <v>1172</v>
      </c>
      <c r="E77" s="196" t="s">
        <v>1172</v>
      </c>
      <c r="F77" s="76">
        <v>8</v>
      </c>
      <c r="G77" s="54">
        <v>5000</v>
      </c>
      <c r="H77" s="54">
        <v>59000</v>
      </c>
      <c r="I77" s="54">
        <v>59000</v>
      </c>
      <c r="J77" s="39">
        <f t="shared" si="11"/>
        <v>40000</v>
      </c>
      <c r="K77" s="39">
        <f t="shared" si="12"/>
        <v>40000</v>
      </c>
      <c r="L77" s="39">
        <f t="shared" si="13"/>
        <v>472000</v>
      </c>
      <c r="M77" s="39">
        <f t="shared" si="14"/>
        <v>5664000</v>
      </c>
      <c r="N77" s="39">
        <f t="shared" si="15"/>
        <v>472000</v>
      </c>
      <c r="O77" s="39">
        <f t="shared" si="16"/>
        <v>5664000</v>
      </c>
      <c r="P77" s="81">
        <f t="shared" si="17"/>
        <v>11368000</v>
      </c>
    </row>
    <row r="78" spans="2:16" s="2" customFormat="1" ht="44.25" customHeight="1">
      <c r="B78" s="59">
        <v>21</v>
      </c>
      <c r="C78" s="67" t="s">
        <v>1170</v>
      </c>
      <c r="D78" s="196" t="s">
        <v>1173</v>
      </c>
      <c r="E78" s="196" t="s">
        <v>1173</v>
      </c>
      <c r="F78" s="76">
        <v>15</v>
      </c>
      <c r="G78" s="54">
        <v>1000</v>
      </c>
      <c r="H78" s="54">
        <v>10000</v>
      </c>
      <c r="I78" s="54">
        <v>10000</v>
      </c>
      <c r="J78" s="39">
        <f t="shared" si="11"/>
        <v>15000</v>
      </c>
      <c r="K78" s="39">
        <f t="shared" si="12"/>
        <v>15000</v>
      </c>
      <c r="L78" s="39">
        <f t="shared" si="13"/>
        <v>150000</v>
      </c>
      <c r="M78" s="39">
        <f t="shared" si="14"/>
        <v>1800000</v>
      </c>
      <c r="N78" s="39">
        <f t="shared" si="15"/>
        <v>150000</v>
      </c>
      <c r="O78" s="39">
        <f t="shared" si="16"/>
        <v>1800000</v>
      </c>
      <c r="P78" s="81">
        <f t="shared" si="17"/>
        <v>3615000</v>
      </c>
    </row>
    <row r="79" spans="2:16" s="2" customFormat="1" ht="44.25" customHeight="1">
      <c r="B79" s="59">
        <v>22</v>
      </c>
      <c r="C79" s="67" t="s">
        <v>1170</v>
      </c>
      <c r="D79" s="196" t="s">
        <v>1174</v>
      </c>
      <c r="E79" s="196" t="s">
        <v>1174</v>
      </c>
      <c r="F79" s="76">
        <v>9</v>
      </c>
      <c r="G79" s="54">
        <v>2000</v>
      </c>
      <c r="H79" s="54">
        <v>17000</v>
      </c>
      <c r="I79" s="54">
        <v>17000</v>
      </c>
      <c r="J79" s="39">
        <f t="shared" si="11"/>
        <v>18000</v>
      </c>
      <c r="K79" s="39">
        <f t="shared" si="12"/>
        <v>18000</v>
      </c>
      <c r="L79" s="39">
        <f t="shared" si="13"/>
        <v>153000</v>
      </c>
      <c r="M79" s="39">
        <f t="shared" si="14"/>
        <v>1836000</v>
      </c>
      <c r="N79" s="39">
        <f t="shared" si="15"/>
        <v>153000</v>
      </c>
      <c r="O79" s="39">
        <f t="shared" si="16"/>
        <v>1836000</v>
      </c>
      <c r="P79" s="81">
        <f t="shared" si="17"/>
        <v>3690000</v>
      </c>
    </row>
    <row r="80" spans="2:16" s="2" customFormat="1" ht="44.25" customHeight="1">
      <c r="B80" s="59">
        <v>23</v>
      </c>
      <c r="C80" s="67" t="s">
        <v>1170</v>
      </c>
      <c r="D80" s="196" t="s">
        <v>1175</v>
      </c>
      <c r="E80" s="196"/>
      <c r="F80" s="76">
        <v>1</v>
      </c>
      <c r="G80" s="54">
        <v>5000</v>
      </c>
      <c r="H80" s="54">
        <v>60000</v>
      </c>
      <c r="I80" s="54">
        <v>60000</v>
      </c>
      <c r="J80" s="39">
        <f t="shared" si="11"/>
        <v>5000</v>
      </c>
      <c r="K80" s="39">
        <f t="shared" si="12"/>
        <v>5000</v>
      </c>
      <c r="L80" s="39">
        <f t="shared" si="13"/>
        <v>60000</v>
      </c>
      <c r="M80" s="39">
        <f t="shared" si="14"/>
        <v>720000</v>
      </c>
      <c r="N80" s="39">
        <f t="shared" si="15"/>
        <v>60000</v>
      </c>
      <c r="O80" s="39">
        <f t="shared" si="16"/>
        <v>720000</v>
      </c>
      <c r="P80" s="81">
        <f t="shared" si="17"/>
        <v>1445000</v>
      </c>
    </row>
    <row r="81" spans="2:16" s="2" customFormat="1" ht="24.75" customHeight="1">
      <c r="B81" s="201" t="s">
        <v>1224</v>
      </c>
      <c r="C81" s="201"/>
      <c r="D81" s="201"/>
      <c r="E81" s="201"/>
      <c r="F81" s="201"/>
      <c r="G81" s="201"/>
      <c r="H81" s="201"/>
      <c r="I81" s="201"/>
      <c r="J81" s="201"/>
      <c r="K81" s="201"/>
      <c r="L81" s="201"/>
      <c r="M81" s="201"/>
      <c r="N81" s="201"/>
      <c r="O81" s="201"/>
      <c r="P81" s="81">
        <f>SUM(P58:P80)</f>
        <v>419981914</v>
      </c>
    </row>
    <row r="82" spans="2:16" s="2" customFormat="1" ht="12.5">
      <c r="C82" s="4"/>
      <c r="D82" s="4"/>
      <c r="E82" s="4"/>
      <c r="F82" s="4"/>
      <c r="G82" s="99">
        <f>SUM(G58:G80)</f>
        <v>428219</v>
      </c>
      <c r="H82" s="99">
        <f>SUM(H58:H80)</f>
        <v>2247000</v>
      </c>
      <c r="I82" s="99">
        <f>SUM(I58:I80)</f>
        <v>2247000</v>
      </c>
    </row>
    <row r="83" spans="2:16" s="2" customFormat="1" ht="29.25" customHeight="1">
      <c r="B83" s="171" t="s">
        <v>1184</v>
      </c>
      <c r="C83" s="172"/>
      <c r="D83" s="172"/>
      <c r="E83" s="172"/>
      <c r="F83" s="172"/>
      <c r="G83" s="172"/>
      <c r="H83" s="172"/>
      <c r="I83" s="172"/>
      <c r="J83" s="197"/>
    </row>
    <row r="84" spans="2:16" s="2" customFormat="1" ht="29.25" customHeight="1">
      <c r="C84" s="4"/>
      <c r="D84" s="4"/>
      <c r="E84" s="4"/>
      <c r="F84" s="4"/>
      <c r="G84" s="4"/>
      <c r="H84" s="4"/>
    </row>
    <row r="85" spans="2:16" s="2" customFormat="1" ht="29.25" customHeight="1">
      <c r="B85" s="198" t="s">
        <v>1185</v>
      </c>
      <c r="C85" s="198"/>
      <c r="D85" s="198"/>
      <c r="E85" s="198"/>
      <c r="F85" s="198"/>
      <c r="G85"/>
      <c r="H85"/>
      <c r="I85"/>
      <c r="J85"/>
    </row>
    <row r="86" spans="2:16" s="2" customFormat="1" ht="29.25" customHeight="1">
      <c r="C86" s="4"/>
      <c r="D86" s="4"/>
      <c r="E86" s="4"/>
      <c r="F86" s="4"/>
      <c r="G86" s="4"/>
      <c r="H86" s="4"/>
    </row>
    <row r="87" spans="2:16" s="2" customFormat="1" ht="29.25" customHeight="1">
      <c r="B87" s="199" t="s">
        <v>133</v>
      </c>
      <c r="C87" s="199"/>
      <c r="D87" s="199"/>
      <c r="E87" s="77" t="s">
        <v>121</v>
      </c>
    </row>
    <row r="88" spans="2:16" s="2" customFormat="1" ht="29.25" customHeight="1">
      <c r="B88" s="180" t="s">
        <v>134</v>
      </c>
      <c r="C88" s="181"/>
      <c r="D88" s="182"/>
      <c r="E88" s="78">
        <f>SUM(V45:V50)</f>
        <v>11868522575</v>
      </c>
    </row>
    <row r="89" spans="2:16" s="2" customFormat="1" ht="29.25" customHeight="1">
      <c r="B89" s="180" t="s">
        <v>135</v>
      </c>
      <c r="C89" s="181"/>
      <c r="D89" s="182"/>
      <c r="E89" s="78">
        <f>SUM(P58:P80)</f>
        <v>419981914</v>
      </c>
    </row>
    <row r="90" spans="2:16" s="2" customFormat="1" ht="29.25" customHeight="1">
      <c r="B90" s="180" t="s">
        <v>136</v>
      </c>
      <c r="C90" s="181"/>
      <c r="D90" s="182"/>
      <c r="E90" s="78">
        <f>E88+E89</f>
        <v>12288504489</v>
      </c>
    </row>
    <row r="91" spans="2:16" s="2" customFormat="1" ht="29.25" customHeight="1">
      <c r="B91" s="183" t="s">
        <v>1195</v>
      </c>
      <c r="C91" s="183"/>
      <c r="D91" s="55">
        <v>0.1</v>
      </c>
      <c r="E91" s="78">
        <f>ROUND((E90)*D91,0)</f>
        <v>1228850449</v>
      </c>
      <c r="G91" s="70"/>
    </row>
    <row r="92" spans="2:16" s="2" customFormat="1" ht="29.25" customHeight="1">
      <c r="B92" s="183" t="s">
        <v>137</v>
      </c>
      <c r="C92" s="183"/>
      <c r="D92" s="56">
        <v>0.19</v>
      </c>
      <c r="E92" s="78">
        <f>ROUND(E91*D92,0)</f>
        <v>233481585</v>
      </c>
      <c r="G92" s="70"/>
    </row>
    <row r="93" spans="2:16" s="2" customFormat="1" ht="29.25" customHeight="1">
      <c r="B93" s="173" t="s">
        <v>1203</v>
      </c>
      <c r="C93" s="184"/>
      <c r="D93" s="185"/>
      <c r="E93" s="79">
        <f>E90+E92</f>
        <v>12521986074</v>
      </c>
      <c r="G93" s="70"/>
    </row>
    <row r="94" spans="2:16" s="2" customFormat="1" ht="12.5">
      <c r="C94" s="4"/>
      <c r="D94" s="4"/>
      <c r="E94" s="4"/>
      <c r="G94" s="4"/>
    </row>
    <row r="95" spans="2:16" s="2" customFormat="1" ht="12.5">
      <c r="C95" s="4"/>
      <c r="D95" s="4"/>
      <c r="E95" s="4"/>
      <c r="F95" s="4"/>
      <c r="G95" s="4"/>
      <c r="H95" s="4"/>
    </row>
    <row r="96" spans="2:16" ht="27.75" customHeight="1">
      <c r="B96" s="260" t="s">
        <v>83</v>
      </c>
      <c r="C96" s="260"/>
      <c r="D96" s="260"/>
      <c r="E96" s="260"/>
      <c r="F96" s="260"/>
      <c r="G96" s="260"/>
      <c r="H96" s="260"/>
      <c r="I96" s="260"/>
    </row>
    <row r="97" spans="2:9" ht="63.75" customHeight="1">
      <c r="B97" s="259" t="s">
        <v>1225</v>
      </c>
      <c r="C97" s="259"/>
      <c r="D97" s="259"/>
      <c r="E97" s="259"/>
      <c r="F97" s="259"/>
      <c r="G97" s="259"/>
      <c r="H97" s="259"/>
      <c r="I97" s="259"/>
    </row>
    <row r="98" spans="2:9" ht="52.5" customHeight="1">
      <c r="B98" s="259" t="s">
        <v>1186</v>
      </c>
      <c r="C98" s="259"/>
      <c r="D98" s="259"/>
      <c r="E98" s="259"/>
      <c r="F98" s="259"/>
      <c r="G98" s="259"/>
      <c r="H98" s="259"/>
      <c r="I98" s="259"/>
    </row>
    <row r="99" spans="2:9" ht="12.5"/>
  </sheetData>
  <mergeCells count="72">
    <mergeCell ref="C8:D8"/>
    <mergeCell ref="I8:J8"/>
    <mergeCell ref="K8:L8"/>
    <mergeCell ref="B2:K4"/>
    <mergeCell ref="L2:L4"/>
    <mergeCell ref="B6:L6"/>
    <mergeCell ref="B7:C7"/>
    <mergeCell ref="D7:L7"/>
    <mergeCell ref="B32:M32"/>
    <mergeCell ref="C9:E9"/>
    <mergeCell ref="G9:H9"/>
    <mergeCell ref="B10:L10"/>
    <mergeCell ref="B13:L13"/>
    <mergeCell ref="B15:L15"/>
    <mergeCell ref="B17:L17"/>
    <mergeCell ref="C20:E20"/>
    <mergeCell ref="M20:N22"/>
    <mergeCell ref="C21:E21"/>
    <mergeCell ref="B23:B30"/>
    <mergeCell ref="C23:F23"/>
    <mergeCell ref="D57:E57"/>
    <mergeCell ref="F35:G35"/>
    <mergeCell ref="F36:G36"/>
    <mergeCell ref="B38:V38"/>
    <mergeCell ref="B41:V41"/>
    <mergeCell ref="B43:E43"/>
    <mergeCell ref="F43:K43"/>
    <mergeCell ref="L43:M43"/>
    <mergeCell ref="N43:O43"/>
    <mergeCell ref="P43:Q43"/>
    <mergeCell ref="R43:S43"/>
    <mergeCell ref="T43:U43"/>
    <mergeCell ref="B51:U51"/>
    <mergeCell ref="B54:V54"/>
    <mergeCell ref="B56:E56"/>
    <mergeCell ref="F56:P56"/>
    <mergeCell ref="D69:E69"/>
    <mergeCell ref="D58:E58"/>
    <mergeCell ref="D59:E59"/>
    <mergeCell ref="D60:E60"/>
    <mergeCell ref="D61:E61"/>
    <mergeCell ref="D62:E62"/>
    <mergeCell ref="D63:E63"/>
    <mergeCell ref="D64:E64"/>
    <mergeCell ref="D65:E65"/>
    <mergeCell ref="D66:E66"/>
    <mergeCell ref="D67:E67"/>
    <mergeCell ref="D68:E68"/>
    <mergeCell ref="B81:O81"/>
    <mergeCell ref="D70:E70"/>
    <mergeCell ref="D71:E71"/>
    <mergeCell ref="D72:E72"/>
    <mergeCell ref="D73:E73"/>
    <mergeCell ref="D74:E74"/>
    <mergeCell ref="D75:E75"/>
    <mergeCell ref="D76:E76"/>
    <mergeCell ref="D77:E77"/>
    <mergeCell ref="D78:E78"/>
    <mergeCell ref="D79:E79"/>
    <mergeCell ref="D80:E80"/>
    <mergeCell ref="B98:I98"/>
    <mergeCell ref="B83:J83"/>
    <mergeCell ref="B85:F85"/>
    <mergeCell ref="B87:D87"/>
    <mergeCell ref="B88:D88"/>
    <mergeCell ref="B89:D89"/>
    <mergeCell ref="B90:D90"/>
    <mergeCell ref="B91:C91"/>
    <mergeCell ref="B92:C92"/>
    <mergeCell ref="B93:D93"/>
    <mergeCell ref="B96:I96"/>
    <mergeCell ref="B97:I97"/>
  </mergeCells>
  <dataValidations count="2">
    <dataValidation type="decimal" allowBlank="1" showInputMessage="1" showErrorMessage="1" error="Tener en cuenta que las cooperativas de vigilancia y seguridad privada, podrán descontar del valor de la tarifa hasta el diez por ciento (10%)," sqref="F21" xr:uid="{732560EF-2162-4E2D-8B95-05100E4EE2AA}">
      <formula1>0</formula1>
      <formula2>0.1</formula2>
    </dataValidation>
    <dataValidation type="list" allowBlank="1" showInputMessage="1" showErrorMessage="1" sqref="F20" xr:uid="{29420EBB-4829-4B7D-B2E0-991B70DC1C42}">
      <formula1>"EMPRESA, COOPERATIVA"</formula1>
    </dataValidation>
  </dataValidations>
  <pageMargins left="0.70866141732283472" right="0.70866141732283472" top="0.74803149606299213" bottom="0.74803149606299213" header="0.31496062992125984" footer="0.31496062992125984"/>
  <pageSetup scale="43" orientation="portrait" r:id="rId1"/>
  <headerFooter>
    <oddFooter xml:space="preserve">&amp;C&amp;P/&amp;N
</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10F9E4-4BAE-4A86-9577-C999F2D498AE}">
  <sheetPr>
    <tabColor rgb="FFFFFFCC"/>
  </sheetPr>
  <dimension ref="A1:Y99"/>
  <sheetViews>
    <sheetView showGridLines="0" zoomScale="80" zoomScaleNormal="80" zoomScaleSheetLayoutView="90" workbookViewId="0">
      <selection activeCell="G21" sqref="G21:G22"/>
    </sheetView>
  </sheetViews>
  <sheetFormatPr baseColWidth="10" defaultColWidth="0" defaultRowHeight="12.65" customHeight="1" zeroHeight="1"/>
  <cols>
    <col min="1" max="1" width="2" style="4" customWidth="1"/>
    <col min="2" max="2" width="13.81640625" style="4" customWidth="1"/>
    <col min="3" max="3" width="30" style="4" customWidth="1"/>
    <col min="4" max="4" width="25.81640625" style="4" customWidth="1"/>
    <col min="5" max="5" width="32.1796875" style="5" customWidth="1"/>
    <col min="6" max="6" width="15.54296875" style="5" customWidth="1"/>
    <col min="7" max="7" width="24.1796875" style="4" customWidth="1"/>
    <col min="8" max="8" width="23.453125" style="4" customWidth="1"/>
    <col min="9" max="9" width="22.453125" style="4" customWidth="1"/>
    <col min="10" max="10" width="21.453125" style="4" customWidth="1"/>
    <col min="11" max="11" width="23.1796875" style="4" customWidth="1"/>
    <col min="12" max="12" width="20.81640625" style="4" customWidth="1"/>
    <col min="13" max="13" width="23.54296875" style="4" customWidth="1"/>
    <col min="14" max="14" width="21" style="4" customWidth="1"/>
    <col min="15" max="15" width="22.81640625" style="4" customWidth="1"/>
    <col min="16" max="16" width="23.54296875" style="4" customWidth="1"/>
    <col min="17" max="21" width="18.1796875" style="4" customWidth="1"/>
    <col min="22" max="23" width="18.453125" style="4" customWidth="1"/>
    <col min="24" max="25" width="18.453125" style="4" hidden="1" customWidth="1"/>
    <col min="26" max="16384" width="11.453125" style="4" hidden="1"/>
  </cols>
  <sheetData>
    <row r="1" spans="2:12" s="2" customFormat="1" ht="12.75" customHeight="1">
      <c r="E1" s="3"/>
      <c r="F1" s="3"/>
    </row>
    <row r="2" spans="2:12" s="2" customFormat="1" ht="21.75" customHeight="1">
      <c r="B2" s="268" t="s">
        <v>81</v>
      </c>
      <c r="C2" s="269"/>
      <c r="D2" s="269"/>
      <c r="E2" s="269"/>
      <c r="F2" s="269"/>
      <c r="G2" s="269"/>
      <c r="H2" s="269"/>
      <c r="I2" s="269"/>
      <c r="J2" s="269"/>
      <c r="K2" s="270"/>
      <c r="L2" s="257" t="s">
        <v>0</v>
      </c>
    </row>
    <row r="3" spans="2:12" s="2" customFormat="1" ht="21.75" customHeight="1">
      <c r="B3" s="271"/>
      <c r="C3" s="272"/>
      <c r="D3" s="272"/>
      <c r="E3" s="272"/>
      <c r="F3" s="272"/>
      <c r="G3" s="272"/>
      <c r="H3" s="272"/>
      <c r="I3" s="272"/>
      <c r="J3" s="272"/>
      <c r="K3" s="273"/>
      <c r="L3" s="257"/>
    </row>
    <row r="4" spans="2:12" s="2" customFormat="1" ht="21.75" customHeight="1">
      <c r="B4" s="274"/>
      <c r="C4" s="275"/>
      <c r="D4" s="275"/>
      <c r="E4" s="275"/>
      <c r="F4" s="275"/>
      <c r="G4" s="275"/>
      <c r="H4" s="275"/>
      <c r="I4" s="275"/>
      <c r="J4" s="275"/>
      <c r="K4" s="276"/>
      <c r="L4" s="257"/>
    </row>
    <row r="5" spans="2:12" s="2" customFormat="1" ht="5.25" customHeight="1">
      <c r="E5" s="3"/>
      <c r="F5" s="3"/>
    </row>
    <row r="6" spans="2:12" s="2" customFormat="1" ht="15.75" customHeight="1">
      <c r="B6" s="169" t="s">
        <v>81</v>
      </c>
      <c r="C6" s="169"/>
      <c r="D6" s="169"/>
      <c r="E6" s="169"/>
      <c r="F6" s="169"/>
      <c r="G6" s="169"/>
      <c r="H6" s="169"/>
      <c r="I6" s="169"/>
      <c r="J6" s="169"/>
      <c r="K6" s="169"/>
      <c r="L6" s="169"/>
    </row>
    <row r="7" spans="2:12" s="2" customFormat="1" ht="32.25" customHeight="1">
      <c r="B7" s="201" t="s">
        <v>82</v>
      </c>
      <c r="C7" s="201"/>
      <c r="D7" s="265" t="s">
        <v>1147</v>
      </c>
      <c r="E7" s="266"/>
      <c r="F7" s="266"/>
      <c r="G7" s="266"/>
      <c r="H7" s="266"/>
      <c r="I7" s="266"/>
      <c r="J7" s="266"/>
      <c r="K7" s="266"/>
      <c r="L7" s="267"/>
    </row>
    <row r="8" spans="2:12" s="2" customFormat="1" ht="36" customHeight="1">
      <c r="B8" s="87" t="s">
        <v>1229</v>
      </c>
      <c r="C8" s="277" t="s">
        <v>1275</v>
      </c>
      <c r="D8" s="278"/>
      <c r="E8" s="88" t="s">
        <v>1231</v>
      </c>
      <c r="F8" s="52" t="s">
        <v>1245</v>
      </c>
      <c r="G8" s="88" t="s">
        <v>1233</v>
      </c>
      <c r="H8" s="52" t="s">
        <v>1276</v>
      </c>
      <c r="I8" s="279" t="s">
        <v>1235</v>
      </c>
      <c r="J8" s="279"/>
      <c r="K8" s="280" t="s">
        <v>1277</v>
      </c>
      <c r="L8" s="281"/>
    </row>
    <row r="9" spans="2:12" s="2" customFormat="1" ht="33" customHeight="1">
      <c r="B9" s="89" t="s">
        <v>1237</v>
      </c>
      <c r="C9" s="280" t="s">
        <v>1278</v>
      </c>
      <c r="D9" s="282"/>
      <c r="E9" s="281"/>
      <c r="F9" s="88" t="s">
        <v>1239</v>
      </c>
      <c r="G9" s="277" t="s">
        <v>1279</v>
      </c>
      <c r="H9" s="278"/>
      <c r="I9" s="90" t="s">
        <v>1241</v>
      </c>
      <c r="J9" s="52">
        <v>31147136.93</v>
      </c>
      <c r="K9" s="91" t="s">
        <v>1243</v>
      </c>
      <c r="L9" s="92">
        <v>45502</v>
      </c>
    </row>
    <row r="10" spans="2:12" s="2" customFormat="1" ht="5.15" customHeight="1">
      <c r="B10" s="285"/>
      <c r="C10" s="286"/>
      <c r="D10" s="286"/>
      <c r="E10" s="286"/>
      <c r="F10" s="286"/>
      <c r="G10" s="286"/>
      <c r="H10" s="286"/>
      <c r="I10" s="286"/>
      <c r="J10" s="286"/>
      <c r="K10" s="286"/>
      <c r="L10" s="287"/>
    </row>
    <row r="11" spans="2:12" s="2" customFormat="1" ht="8.25" customHeight="1">
      <c r="B11" s="68"/>
      <c r="C11" s="68"/>
      <c r="D11" s="68"/>
      <c r="E11" s="68"/>
      <c r="F11" s="68"/>
      <c r="G11" s="68"/>
      <c r="H11" s="68"/>
      <c r="I11" s="68"/>
      <c r="J11" s="68"/>
      <c r="K11" s="68"/>
      <c r="L11" s="68"/>
    </row>
    <row r="12" spans="2:12" s="2" customFormat="1" ht="8.25" customHeight="1">
      <c r="B12" s="68"/>
      <c r="C12" s="68"/>
      <c r="D12" s="68"/>
      <c r="E12" s="68"/>
      <c r="F12" s="68"/>
      <c r="G12" s="68"/>
      <c r="H12" s="68"/>
      <c r="I12" s="68"/>
      <c r="J12" s="68"/>
      <c r="K12" s="68"/>
      <c r="L12" s="68"/>
    </row>
    <row r="13" spans="2:12" s="2" customFormat="1" ht="104.25" customHeight="1">
      <c r="B13" s="283" t="s">
        <v>1197</v>
      </c>
      <c r="C13" s="283"/>
      <c r="D13" s="283"/>
      <c r="E13" s="283"/>
      <c r="F13" s="283"/>
      <c r="G13" s="283"/>
      <c r="H13" s="283"/>
      <c r="I13" s="283"/>
      <c r="J13" s="283"/>
      <c r="K13" s="283"/>
      <c r="L13" s="283"/>
    </row>
    <row r="14" spans="2:12" s="2" customFormat="1" ht="8.25" customHeight="1">
      <c r="B14" s="68"/>
      <c r="C14" s="68"/>
      <c r="D14" s="68"/>
      <c r="E14" s="68"/>
      <c r="F14" s="68"/>
      <c r="G14" s="68"/>
      <c r="H14" s="68"/>
      <c r="I14" s="68"/>
      <c r="J14" s="68"/>
      <c r="K14" s="68"/>
      <c r="L14" s="68"/>
    </row>
    <row r="15" spans="2:12" s="2" customFormat="1" ht="180" customHeight="1">
      <c r="B15" s="284" t="s">
        <v>1226</v>
      </c>
      <c r="C15" s="284"/>
      <c r="D15" s="284"/>
      <c r="E15" s="284"/>
      <c r="F15" s="284"/>
      <c r="G15" s="284"/>
      <c r="H15" s="284"/>
      <c r="I15" s="284"/>
      <c r="J15" s="284"/>
      <c r="K15" s="284"/>
      <c r="L15" s="284"/>
    </row>
    <row r="16" spans="2:12" s="2" customFormat="1" ht="8.25" customHeight="1">
      <c r="B16" s="68"/>
      <c r="C16" s="68"/>
      <c r="D16" s="68"/>
      <c r="E16" s="68"/>
      <c r="F16" s="68"/>
      <c r="G16" s="68"/>
      <c r="H16" s="68"/>
      <c r="I16" s="68"/>
      <c r="J16" s="68"/>
      <c r="K16" s="68"/>
      <c r="L16" s="68"/>
    </row>
    <row r="17" spans="2:14" s="2" customFormat="1" ht="23.25" customHeight="1">
      <c r="B17" s="171" t="s">
        <v>115</v>
      </c>
      <c r="C17" s="172"/>
      <c r="D17" s="172"/>
      <c r="E17" s="172"/>
      <c r="F17" s="172"/>
      <c r="G17" s="172"/>
      <c r="H17" s="172"/>
      <c r="I17" s="172"/>
      <c r="J17" s="172"/>
      <c r="K17" s="172"/>
      <c r="L17" s="197"/>
    </row>
    <row r="18" spans="2:14" s="2" customFormat="1" ht="8.25" customHeight="1">
      <c r="B18" s="68"/>
      <c r="C18" s="68"/>
      <c r="D18" s="68"/>
      <c r="E18" s="68"/>
      <c r="F18" s="68"/>
      <c r="G18" s="68"/>
      <c r="H18" s="68"/>
      <c r="I18" s="68"/>
      <c r="J18" s="68"/>
      <c r="K18" s="68"/>
      <c r="L18" s="68"/>
    </row>
    <row r="19" spans="2:14" s="2" customFormat="1" ht="8.25" customHeight="1">
      <c r="B19" s="68"/>
      <c r="C19" s="68"/>
      <c r="D19" s="68"/>
      <c r="E19" s="68"/>
      <c r="F19" s="68"/>
      <c r="G19" s="68"/>
      <c r="H19" s="68"/>
      <c r="I19" s="68"/>
      <c r="J19" s="68"/>
      <c r="K19" s="68"/>
      <c r="L19" s="68"/>
    </row>
    <row r="20" spans="2:14" s="2" customFormat="1" ht="29.25" customHeight="1">
      <c r="B20" s="67">
        <v>1</v>
      </c>
      <c r="C20" s="264" t="s">
        <v>116</v>
      </c>
      <c r="D20" s="264"/>
      <c r="E20" s="264"/>
      <c r="F20" s="51" t="s">
        <v>1227</v>
      </c>
      <c r="G20" s="68"/>
      <c r="M20" s="263"/>
      <c r="N20" s="263"/>
    </row>
    <row r="21" spans="2:14" s="2" customFormat="1" ht="29.25" customHeight="1">
      <c r="B21" s="67">
        <v>2</v>
      </c>
      <c r="C21" s="264" t="s">
        <v>117</v>
      </c>
      <c r="D21" s="264"/>
      <c r="E21" s="264"/>
      <c r="F21" s="52"/>
      <c r="G21" s="68"/>
      <c r="M21" s="263"/>
      <c r="N21" s="263"/>
    </row>
    <row r="22" spans="2:14" s="2" customFormat="1" ht="29.25" customHeight="1">
      <c r="G22" s="68"/>
      <c r="M22" s="263"/>
      <c r="N22" s="263"/>
    </row>
    <row r="23" spans="2:14" s="2" customFormat="1" ht="43.5" customHeight="1">
      <c r="B23" s="201" t="s">
        <v>118</v>
      </c>
      <c r="C23" s="169" t="s">
        <v>1146</v>
      </c>
      <c r="D23" s="169"/>
      <c r="E23" s="169"/>
      <c r="F23" s="169"/>
      <c r="G23" s="29" t="s">
        <v>119</v>
      </c>
      <c r="H23" s="29" t="s">
        <v>119</v>
      </c>
      <c r="I23" s="29" t="s">
        <v>119</v>
      </c>
      <c r="L23" s="69"/>
      <c r="M23" s="69"/>
    </row>
    <row r="24" spans="2:14" s="2" customFormat="1" ht="29.25" customHeight="1">
      <c r="B24" s="201"/>
      <c r="C24" s="29" t="s">
        <v>104</v>
      </c>
      <c r="D24" s="29" t="s">
        <v>105</v>
      </c>
      <c r="E24" s="29" t="s">
        <v>106</v>
      </c>
      <c r="F24" s="37" t="s">
        <v>107</v>
      </c>
      <c r="G24" s="29">
        <v>2024</v>
      </c>
      <c r="H24" s="29">
        <v>2025</v>
      </c>
      <c r="I24" s="29">
        <v>2026</v>
      </c>
      <c r="L24" s="69"/>
      <c r="M24" s="69"/>
    </row>
    <row r="25" spans="2:14" s="2" customFormat="1" ht="33.75" customHeight="1">
      <c r="B25" s="201"/>
      <c r="C25" s="62">
        <v>24</v>
      </c>
      <c r="D25" s="63" t="s">
        <v>108</v>
      </c>
      <c r="E25" s="63" t="s">
        <v>109</v>
      </c>
      <c r="F25" s="63" t="s">
        <v>90</v>
      </c>
      <c r="G25" s="53">
        <f>1650*3</f>
        <v>4950</v>
      </c>
      <c r="H25" s="53">
        <f>G25*1.06</f>
        <v>5247</v>
      </c>
      <c r="I25" s="53">
        <f>H25*1.05</f>
        <v>5509.35</v>
      </c>
      <c r="M25" s="69"/>
    </row>
    <row r="26" spans="2:14" s="2" customFormat="1" ht="33.75" customHeight="1">
      <c r="B26" s="201"/>
      <c r="C26" s="62">
        <v>24</v>
      </c>
      <c r="D26" s="63" t="s">
        <v>108</v>
      </c>
      <c r="E26" s="63" t="s">
        <v>109</v>
      </c>
      <c r="F26" s="63" t="s">
        <v>92</v>
      </c>
      <c r="G26" s="53">
        <f>1650*3</f>
        <v>4950</v>
      </c>
      <c r="H26" s="53">
        <f t="shared" ref="H26:H30" si="0">G26*1.06</f>
        <v>5247</v>
      </c>
      <c r="I26" s="53">
        <f t="shared" ref="I26:I30" si="1">H26*1.05</f>
        <v>5509.35</v>
      </c>
      <c r="M26" s="69"/>
    </row>
    <row r="27" spans="2:14" s="2" customFormat="1" ht="33.75" customHeight="1">
      <c r="B27" s="201"/>
      <c r="C27" s="62">
        <v>24</v>
      </c>
      <c r="D27" s="63" t="s">
        <v>1143</v>
      </c>
      <c r="E27" s="63" t="s">
        <v>109</v>
      </c>
      <c r="F27" s="63" t="s">
        <v>92</v>
      </c>
      <c r="G27" s="53">
        <f>1650*3</f>
        <v>4950</v>
      </c>
      <c r="H27" s="53">
        <f t="shared" si="0"/>
        <v>5247</v>
      </c>
      <c r="I27" s="53">
        <f t="shared" si="1"/>
        <v>5509.35</v>
      </c>
      <c r="M27" s="69"/>
    </row>
    <row r="28" spans="2:14" s="2" customFormat="1" ht="33.75" customHeight="1">
      <c r="B28" s="201"/>
      <c r="C28" s="62">
        <v>12</v>
      </c>
      <c r="D28" s="63" t="s">
        <v>110</v>
      </c>
      <c r="E28" s="63" t="s">
        <v>111</v>
      </c>
      <c r="F28" s="63" t="s">
        <v>1144</v>
      </c>
      <c r="G28" s="53">
        <f>1650*1.5</f>
        <v>2475</v>
      </c>
      <c r="H28" s="53">
        <f t="shared" si="0"/>
        <v>2623.5</v>
      </c>
      <c r="I28" s="53">
        <f t="shared" si="1"/>
        <v>2754.6750000000002</v>
      </c>
      <c r="M28" s="69"/>
    </row>
    <row r="29" spans="2:14" s="2" customFormat="1" ht="33.75" customHeight="1">
      <c r="B29" s="201"/>
      <c r="C29" s="62">
        <v>12</v>
      </c>
      <c r="D29" s="63" t="s">
        <v>110</v>
      </c>
      <c r="E29" s="66" t="s">
        <v>1190</v>
      </c>
      <c r="F29" s="63" t="s">
        <v>90</v>
      </c>
      <c r="G29" s="53">
        <f>1650*1.3</f>
        <v>2145</v>
      </c>
      <c r="H29" s="53">
        <f t="shared" si="0"/>
        <v>2273.7000000000003</v>
      </c>
      <c r="I29" s="53">
        <f t="shared" si="1"/>
        <v>2387.3850000000002</v>
      </c>
      <c r="M29" s="69"/>
    </row>
    <row r="30" spans="2:14" s="2" customFormat="1" ht="33.75" customHeight="1">
      <c r="B30" s="201"/>
      <c r="C30" s="62">
        <v>12</v>
      </c>
      <c r="D30" s="63" t="s">
        <v>108</v>
      </c>
      <c r="E30" s="63" t="s">
        <v>111</v>
      </c>
      <c r="F30" s="63" t="s">
        <v>90</v>
      </c>
      <c r="G30" s="53">
        <f>1650*2</f>
        <v>3300</v>
      </c>
      <c r="H30" s="53">
        <f t="shared" si="0"/>
        <v>3498</v>
      </c>
      <c r="I30" s="53">
        <f t="shared" si="1"/>
        <v>3672.9</v>
      </c>
      <c r="M30" s="69"/>
    </row>
    <row r="31" spans="2:14" s="2" customFormat="1" ht="29.25" customHeight="1">
      <c r="G31" s="98">
        <f>SUM(G25:G30)</f>
        <v>22770</v>
      </c>
      <c r="H31" s="98">
        <f>SUM(H25:H30)</f>
        <v>24136.2</v>
      </c>
      <c r="I31" s="98">
        <f>SUM(I25:I30)</f>
        <v>25343.010000000002</v>
      </c>
      <c r="M31" s="69"/>
      <c r="N31" s="69"/>
    </row>
    <row r="32" spans="2:14" s="2" customFormat="1" ht="29.25" customHeight="1">
      <c r="B32" s="200" t="s">
        <v>120</v>
      </c>
      <c r="C32" s="200"/>
      <c r="D32" s="200"/>
      <c r="E32" s="200"/>
      <c r="F32" s="200"/>
      <c r="G32" s="200"/>
      <c r="H32" s="200"/>
      <c r="I32" s="200"/>
      <c r="J32" s="200"/>
      <c r="K32" s="200"/>
      <c r="L32" s="200"/>
      <c r="M32" s="200"/>
      <c r="N32" s="69"/>
    </row>
    <row r="33" spans="1:22" s="2" customFormat="1" ht="6.75" customHeight="1">
      <c r="A33" s="70"/>
      <c r="B33" s="70"/>
      <c r="C33" s="70"/>
      <c r="D33" s="70"/>
      <c r="E33" s="70"/>
      <c r="F33" s="70"/>
      <c r="G33" s="70"/>
      <c r="H33" s="70"/>
      <c r="I33" s="70"/>
      <c r="J33" s="70"/>
      <c r="K33" s="70"/>
      <c r="L33" s="70"/>
      <c r="M33" s="70"/>
      <c r="N33" s="69"/>
    </row>
    <row r="34" spans="1:22" s="2" customFormat="1" ht="46.5" customHeight="1">
      <c r="A34" s="70"/>
      <c r="B34" s="70"/>
      <c r="C34" s="70"/>
      <c r="D34" s="70"/>
      <c r="E34" s="70"/>
      <c r="F34" s="68"/>
      <c r="G34" s="68"/>
      <c r="H34" s="67" t="s">
        <v>1198</v>
      </c>
      <c r="I34" s="59" t="s">
        <v>1210</v>
      </c>
      <c r="J34" s="59" t="s">
        <v>1205</v>
      </c>
      <c r="K34" s="59" t="s">
        <v>1206</v>
      </c>
      <c r="L34" s="59" t="s">
        <v>1207</v>
      </c>
      <c r="M34" s="59" t="s">
        <v>1208</v>
      </c>
    </row>
    <row r="35" spans="1:22" s="2" customFormat="1" ht="29.25" customHeight="1">
      <c r="F35" s="202" t="s">
        <v>122</v>
      </c>
      <c r="G35" s="203"/>
      <c r="H35" s="71">
        <f>SUM(I35:M35)</f>
        <v>25</v>
      </c>
      <c r="I35" s="72">
        <v>1</v>
      </c>
      <c r="J35" s="80">
        <v>6.5</v>
      </c>
      <c r="K35" s="80">
        <v>5.5</v>
      </c>
      <c r="L35" s="80">
        <v>6.5</v>
      </c>
      <c r="M35" s="80">
        <v>5.5</v>
      </c>
    </row>
    <row r="36" spans="1:22" s="2" customFormat="1" ht="29.25" customHeight="1">
      <c r="B36" s="70"/>
      <c r="C36" s="70"/>
      <c r="D36" s="70"/>
      <c r="E36" s="70"/>
      <c r="F36" s="202" t="s">
        <v>1191</v>
      </c>
      <c r="G36" s="203"/>
      <c r="H36" s="38" t="s">
        <v>1211</v>
      </c>
      <c r="I36" s="38">
        <f>'[29]RESUMEN CIRCULAR_DECRETO'!N26</f>
        <v>1300000</v>
      </c>
      <c r="J36" s="38">
        <f>'[29]RESUMEN CIRCULAR_DECRETO'!N27</f>
        <v>1410500</v>
      </c>
      <c r="K36" s="38">
        <f>'[29]RESUMEN CIRCULAR_DECRETO'!N27</f>
        <v>1410500</v>
      </c>
      <c r="L36" s="38">
        <f>'[29]RESUMEN CIRCULAR_DECRETO'!N28</f>
        <v>1504157.2</v>
      </c>
      <c r="M36" s="38">
        <f>'[29]RESUMEN CIRCULAR_DECRETO'!N28</f>
        <v>1504157.2</v>
      </c>
    </row>
    <row r="37" spans="1:22" s="2" customFormat="1" ht="29.25" customHeight="1">
      <c r="B37" s="70"/>
      <c r="C37" s="70"/>
      <c r="D37" s="70"/>
      <c r="E37" s="70"/>
      <c r="F37" s="83"/>
      <c r="G37" s="83"/>
      <c r="H37" s="84"/>
      <c r="I37" s="84"/>
      <c r="J37" s="84"/>
      <c r="K37" s="84"/>
      <c r="L37" s="82"/>
      <c r="M37" s="82"/>
    </row>
    <row r="38" spans="1:22" s="2" customFormat="1" ht="24" customHeight="1">
      <c r="B38" s="200" t="s">
        <v>1192</v>
      </c>
      <c r="C38" s="200"/>
      <c r="D38" s="200"/>
      <c r="E38" s="200"/>
      <c r="F38" s="200"/>
      <c r="G38" s="200"/>
      <c r="H38" s="200"/>
      <c r="I38" s="200"/>
      <c r="J38" s="200"/>
      <c r="K38" s="200"/>
      <c r="L38" s="200"/>
      <c r="M38" s="200"/>
      <c r="N38" s="200"/>
      <c r="O38" s="200"/>
      <c r="P38" s="200"/>
      <c r="Q38" s="200"/>
      <c r="R38" s="200"/>
      <c r="S38" s="200"/>
      <c r="T38" s="200"/>
      <c r="U38" s="200"/>
      <c r="V38" s="200"/>
    </row>
    <row r="39" spans="1:22" s="2" customFormat="1" ht="11.25" customHeight="1">
      <c r="M39" s="69"/>
      <c r="N39" s="69"/>
    </row>
    <row r="40" spans="1:22" s="2" customFormat="1" ht="9.75" customHeight="1">
      <c r="C40" s="4"/>
      <c r="D40" s="4"/>
      <c r="E40" s="4"/>
      <c r="F40" s="4"/>
    </row>
    <row r="41" spans="1:22" s="2" customFormat="1" ht="26.25" customHeight="1">
      <c r="B41" s="200" t="s">
        <v>1148</v>
      </c>
      <c r="C41" s="200"/>
      <c r="D41" s="200"/>
      <c r="E41" s="200"/>
      <c r="F41" s="200"/>
      <c r="G41" s="200"/>
      <c r="H41" s="200"/>
      <c r="I41" s="200"/>
      <c r="J41" s="200"/>
      <c r="K41" s="200"/>
      <c r="L41" s="200"/>
      <c r="M41" s="200"/>
      <c r="N41" s="200"/>
      <c r="O41" s="200"/>
      <c r="P41" s="200"/>
      <c r="Q41" s="200"/>
      <c r="R41" s="200"/>
      <c r="S41" s="200"/>
      <c r="T41" s="200"/>
      <c r="U41" s="200"/>
      <c r="V41" s="200"/>
    </row>
    <row r="42" spans="1:22" s="2" customFormat="1" ht="12.5">
      <c r="C42" s="4"/>
      <c r="D42" s="4"/>
      <c r="E42" s="4"/>
      <c r="F42" s="4"/>
      <c r="G42" s="4"/>
      <c r="H42" s="4"/>
    </row>
    <row r="43" spans="1:22" s="2" customFormat="1" ht="70.5" customHeight="1">
      <c r="B43" s="169" t="s">
        <v>123</v>
      </c>
      <c r="C43" s="169"/>
      <c r="D43" s="169"/>
      <c r="E43" s="169"/>
      <c r="F43" s="169" t="s">
        <v>1196</v>
      </c>
      <c r="G43" s="169"/>
      <c r="H43" s="169"/>
      <c r="I43" s="169"/>
      <c r="J43" s="169"/>
      <c r="K43" s="169"/>
      <c r="L43" s="261" t="s">
        <v>1204</v>
      </c>
      <c r="M43" s="262"/>
      <c r="N43" s="261" t="s">
        <v>1205</v>
      </c>
      <c r="O43" s="262"/>
      <c r="P43" s="261" t="s">
        <v>1206</v>
      </c>
      <c r="Q43" s="262"/>
      <c r="R43" s="261" t="s">
        <v>1207</v>
      </c>
      <c r="S43" s="262"/>
      <c r="T43" s="261" t="s">
        <v>1208</v>
      </c>
      <c r="U43" s="262"/>
      <c r="V43" s="29" t="s">
        <v>1198</v>
      </c>
    </row>
    <row r="44" spans="1:22" s="2" customFormat="1" ht="71.25" customHeight="1">
      <c r="B44" s="29" t="s">
        <v>104</v>
      </c>
      <c r="C44" s="29" t="s">
        <v>105</v>
      </c>
      <c r="D44" s="29" t="s">
        <v>106</v>
      </c>
      <c r="E44" s="29" t="s">
        <v>107</v>
      </c>
      <c r="F44" s="29" t="s">
        <v>124</v>
      </c>
      <c r="G44" s="29" t="s">
        <v>1209</v>
      </c>
      <c r="H44" s="29" t="s">
        <v>1199</v>
      </c>
      <c r="I44" s="29" t="s">
        <v>1200</v>
      </c>
      <c r="J44" s="29" t="s">
        <v>1201</v>
      </c>
      <c r="K44" s="29" t="s">
        <v>1202</v>
      </c>
      <c r="L44" s="73" t="s">
        <v>1180</v>
      </c>
      <c r="M44" s="58" t="s">
        <v>1181</v>
      </c>
      <c r="N44" s="73" t="s">
        <v>1182</v>
      </c>
      <c r="O44" s="58" t="s">
        <v>1183</v>
      </c>
      <c r="P44" s="73" t="s">
        <v>1182</v>
      </c>
      <c r="Q44" s="58" t="s">
        <v>1183</v>
      </c>
      <c r="R44" s="73" t="s">
        <v>1182</v>
      </c>
      <c r="S44" s="58" t="s">
        <v>1183</v>
      </c>
      <c r="T44" s="73" t="s">
        <v>1182</v>
      </c>
      <c r="U44" s="58" t="s">
        <v>1183</v>
      </c>
      <c r="V44" s="29" t="s">
        <v>1213</v>
      </c>
    </row>
    <row r="45" spans="1:22" s="2" customFormat="1" ht="30.75" customHeight="1">
      <c r="B45" s="62">
        <v>24</v>
      </c>
      <c r="C45" s="63" t="s">
        <v>108</v>
      </c>
      <c r="D45" s="63" t="s">
        <v>109</v>
      </c>
      <c r="E45" s="63" t="s">
        <v>90</v>
      </c>
      <c r="F45" s="59">
        <v>5</v>
      </c>
      <c r="G45" s="38">
        <f>IF(F45=0,"No se requiere",'[29]RESUMEN CIRCULAR_DECRETO'!H33)</f>
        <v>12837906</v>
      </c>
      <c r="H45" s="38">
        <f>IF(F45=0,"No se requiere",'[29]RESUMEN CIRCULAR_DECRETO'!K33)</f>
        <v>13928994</v>
      </c>
      <c r="I45" s="38">
        <f>IF(G45=0,"No se requiere",'[29]RESUMEN CIRCULAR_DECRETO'!N33)</f>
        <v>14157495</v>
      </c>
      <c r="J45" s="38">
        <f>IF(H45=0,"No se requiere",'[29]RESUMEN CIRCULAR_DECRETO'!Q33)</f>
        <v>15097459.35</v>
      </c>
      <c r="K45" s="38">
        <f>IF(I45=0,"No se requiere",'[29]RESUMEN CIRCULAR_DECRETO'!T33)</f>
        <v>15146194.35</v>
      </c>
      <c r="L45" s="39">
        <f t="shared" ref="L45:L50" si="2">G45*F45</f>
        <v>64189530</v>
      </c>
      <c r="M45" s="39">
        <f>ROUND(L45*$I$35,0)</f>
        <v>64189530</v>
      </c>
      <c r="N45" s="39">
        <f t="shared" ref="N45:N50" si="3">H45*F45</f>
        <v>69644970</v>
      </c>
      <c r="O45" s="39">
        <f>ROUND(N45*$J$35,0)</f>
        <v>452692305</v>
      </c>
      <c r="P45" s="39">
        <f>I45*F45</f>
        <v>70787475</v>
      </c>
      <c r="Q45" s="39">
        <f>ROUND(P45*$K$35,0)</f>
        <v>389331113</v>
      </c>
      <c r="R45" s="39">
        <f>J45*F45</f>
        <v>75487296.75</v>
      </c>
      <c r="S45" s="39">
        <f>ROUND(R45*$L$35,0)</f>
        <v>490667429</v>
      </c>
      <c r="T45" s="39">
        <f>K45*F45</f>
        <v>75730971.75</v>
      </c>
      <c r="U45" s="39">
        <f>ROUND(T45*$M$35,0)</f>
        <v>416520345</v>
      </c>
      <c r="V45" s="81">
        <f>O45+M45+Q45+S45+U45</f>
        <v>1813400722</v>
      </c>
    </row>
    <row r="46" spans="1:22" s="2" customFormat="1" ht="30.75" customHeight="1">
      <c r="B46" s="62">
        <v>24</v>
      </c>
      <c r="C46" s="63" t="s">
        <v>108</v>
      </c>
      <c r="D46" s="63" t="s">
        <v>109</v>
      </c>
      <c r="E46" s="63" t="s">
        <v>92</v>
      </c>
      <c r="F46" s="59">
        <v>11</v>
      </c>
      <c r="G46" s="38">
        <f>IF(F46=0,"No se requiere",'[29]RESUMEN CIRCULAR_DECRETO'!H34)</f>
        <v>13075645</v>
      </c>
      <c r="H46" s="38">
        <f>IF(F46=0,"No se requiere",'[29]RESUMEN CIRCULAR_DECRETO'!K34)</f>
        <v>14186939</v>
      </c>
      <c r="I46" s="38">
        <f>IF(G46=0,"No se requiere",'[29]RESUMEN CIRCULAR_DECRETO'!N34)</f>
        <v>14419671</v>
      </c>
      <c r="J46" s="38">
        <f>IF(H46=0,"No se requiere",'[29]RESUMEN CIRCULAR_DECRETO'!Q34)</f>
        <v>15377042.35</v>
      </c>
      <c r="K46" s="38">
        <f>IF(I46=0,"No se requiere",'[29]RESUMEN CIRCULAR_DECRETO'!T34)</f>
        <v>15426679.35</v>
      </c>
      <c r="L46" s="39">
        <f t="shared" si="2"/>
        <v>143832095</v>
      </c>
      <c r="M46" s="39">
        <f t="shared" ref="M46:M50" si="4">ROUND(L46*$I$35,0)</f>
        <v>143832095</v>
      </c>
      <c r="N46" s="39">
        <f t="shared" si="3"/>
        <v>156056329</v>
      </c>
      <c r="O46" s="39">
        <f t="shared" ref="O46:O50" si="5">ROUND(N46*$J$35,0)</f>
        <v>1014366139</v>
      </c>
      <c r="P46" s="39">
        <f t="shared" ref="P46:P50" si="6">I46*F46</f>
        <v>158616381</v>
      </c>
      <c r="Q46" s="39">
        <f t="shared" ref="Q46:Q50" si="7">ROUND(P46*$K$35,0)</f>
        <v>872390096</v>
      </c>
      <c r="R46" s="39">
        <f t="shared" ref="R46:R50" si="8">J46*F46</f>
        <v>169147465.84999999</v>
      </c>
      <c r="S46" s="39">
        <f t="shared" ref="S46:S50" si="9">ROUND(R46*$L$35,0)</f>
        <v>1099458528</v>
      </c>
      <c r="T46" s="39">
        <f t="shared" ref="T46:T50" si="10">K46*F46</f>
        <v>169693472.84999999</v>
      </c>
      <c r="U46" s="39">
        <f t="shared" ref="U46:U50" si="11">ROUND(T46*$M$35,0)</f>
        <v>933314101</v>
      </c>
      <c r="V46" s="81">
        <f t="shared" ref="V46:V50" si="12">O46+M46+Q46+S46+U46</f>
        <v>4063360959</v>
      </c>
    </row>
    <row r="47" spans="1:22" s="2" customFormat="1" ht="30.75" customHeight="1">
      <c r="B47" s="62">
        <v>24</v>
      </c>
      <c r="C47" s="63" t="s">
        <v>1143</v>
      </c>
      <c r="D47" s="63" t="s">
        <v>109</v>
      </c>
      <c r="E47" s="63" t="s">
        <v>92</v>
      </c>
      <c r="F47" s="59">
        <v>1</v>
      </c>
      <c r="G47" s="38">
        <f>IF(F47=0,"No se requiere",'[29]RESUMEN CIRCULAR_DECRETO'!H35)</f>
        <v>4362179</v>
      </c>
      <c r="H47" s="38">
        <f>IF(F47=0,"No se requiere",'[29]RESUMEN CIRCULAR_DECRETO'!K35)</f>
        <v>4732827</v>
      </c>
      <c r="I47" s="38">
        <f>IF(G47=0,"No se requiere",'[29]RESUMEN CIRCULAR_DECRETO'!N35)</f>
        <v>4810405</v>
      </c>
      <c r="J47" s="38">
        <f>IF(H47=0,"No se requiere",'[29]RESUMEN CIRCULAR_DECRETO'!Q35)</f>
        <v>5129720.3499999996</v>
      </c>
      <c r="K47" s="38">
        <f>IF(I47=0,"No se requiere",'[29]RESUMEN CIRCULAR_DECRETO'!T35)</f>
        <v>5146266.3499999996</v>
      </c>
      <c r="L47" s="39">
        <f t="shared" si="2"/>
        <v>4362179</v>
      </c>
      <c r="M47" s="39">
        <f t="shared" si="4"/>
        <v>4362179</v>
      </c>
      <c r="N47" s="39">
        <f t="shared" si="3"/>
        <v>4732827</v>
      </c>
      <c r="O47" s="39">
        <f t="shared" si="5"/>
        <v>30763376</v>
      </c>
      <c r="P47" s="39">
        <f t="shared" si="6"/>
        <v>4810405</v>
      </c>
      <c r="Q47" s="39">
        <f t="shared" si="7"/>
        <v>26457228</v>
      </c>
      <c r="R47" s="39">
        <f t="shared" si="8"/>
        <v>5129720.3499999996</v>
      </c>
      <c r="S47" s="39">
        <f t="shared" si="9"/>
        <v>33343182</v>
      </c>
      <c r="T47" s="39">
        <f t="shared" si="10"/>
        <v>5146266.3499999996</v>
      </c>
      <c r="U47" s="39">
        <f t="shared" si="11"/>
        <v>28304465</v>
      </c>
      <c r="V47" s="81">
        <f t="shared" si="12"/>
        <v>123230430</v>
      </c>
    </row>
    <row r="48" spans="1:22" s="2" customFormat="1" ht="30.75" customHeight="1">
      <c r="B48" s="62">
        <v>12</v>
      </c>
      <c r="C48" s="63" t="s">
        <v>110</v>
      </c>
      <c r="D48" s="63" t="s">
        <v>111</v>
      </c>
      <c r="E48" s="63" t="s">
        <v>1144</v>
      </c>
      <c r="F48" s="59">
        <v>1</v>
      </c>
      <c r="G48" s="38">
        <f>IF(F48=0,"No se requiere",'[29]RESUMEN CIRCULAR_DECRETO'!H36)</f>
        <v>3904264</v>
      </c>
      <c r="H48" s="38">
        <f>IF(F48=0,"No se requiere",'[29]RESUMEN CIRCULAR_DECRETO'!K36)</f>
        <v>4236058.5</v>
      </c>
      <c r="I48" s="38">
        <f>IF(G48=0,"No se requiere",'[29]RESUMEN CIRCULAR_DECRETO'!N36)</f>
        <v>4305531.5</v>
      </c>
      <c r="J48" s="38">
        <f>IF(H48=0,"No se requiere",'[29]RESUMEN CIRCULAR_DECRETO'!Q36)</f>
        <v>4591370.6749999998</v>
      </c>
      <c r="K48" s="38">
        <f>IF(I48=0,"No se requiere",'[29]RESUMEN CIRCULAR_DECRETO'!T36)</f>
        <v>4606187.6749999998</v>
      </c>
      <c r="L48" s="39">
        <f t="shared" si="2"/>
        <v>3904264</v>
      </c>
      <c r="M48" s="39">
        <f t="shared" si="4"/>
        <v>3904264</v>
      </c>
      <c r="N48" s="39">
        <f t="shared" si="3"/>
        <v>4236058.5</v>
      </c>
      <c r="O48" s="39">
        <f t="shared" si="5"/>
        <v>27534380</v>
      </c>
      <c r="P48" s="39">
        <f t="shared" si="6"/>
        <v>4305531.5</v>
      </c>
      <c r="Q48" s="39">
        <f t="shared" si="7"/>
        <v>23680423</v>
      </c>
      <c r="R48" s="39">
        <f t="shared" si="8"/>
        <v>4591370.6749999998</v>
      </c>
      <c r="S48" s="39">
        <f t="shared" si="9"/>
        <v>29843909</v>
      </c>
      <c r="T48" s="39">
        <f t="shared" si="10"/>
        <v>4606187.6749999998</v>
      </c>
      <c r="U48" s="39">
        <f t="shared" si="11"/>
        <v>25334032</v>
      </c>
      <c r="V48" s="81">
        <f t="shared" si="12"/>
        <v>110297008</v>
      </c>
    </row>
    <row r="49" spans="2:22" s="2" customFormat="1" ht="30.75" customHeight="1">
      <c r="B49" s="62">
        <v>12</v>
      </c>
      <c r="C49" s="63" t="s">
        <v>110</v>
      </c>
      <c r="D49" s="66" t="s">
        <v>1190</v>
      </c>
      <c r="E49" s="63" t="s">
        <v>90</v>
      </c>
      <c r="F49" s="59">
        <v>1</v>
      </c>
      <c r="G49" s="38">
        <f>IF(F49=0,"No se requiere",'[29]RESUMEN CIRCULAR_DECRETO'!H37)</f>
        <v>4726752</v>
      </c>
      <c r="H49" s="38">
        <f>IF(F49=0,"No se requiere",'[29]RESUMEN CIRCULAR_DECRETO'!K37)</f>
        <v>5128468.7</v>
      </c>
      <c r="I49" s="38">
        <f>IF(G49=0,"No se requiere",'[29]RESUMEN CIRCULAR_DECRETO'!N37)</f>
        <v>5212592.7</v>
      </c>
      <c r="J49" s="38">
        <f>IF(H49=0,"No se requiere",'[29]RESUMEN CIRCULAR_DECRETO'!Q37)</f>
        <v>5558668.3849999998</v>
      </c>
      <c r="K49" s="38">
        <f>IF(I49=0,"No se requiere",'[29]RESUMEN CIRCULAR_DECRETO'!T37)</f>
        <v>5576610.3849999998</v>
      </c>
      <c r="L49" s="39">
        <f t="shared" si="2"/>
        <v>4726752</v>
      </c>
      <c r="M49" s="39">
        <f t="shared" si="4"/>
        <v>4726752</v>
      </c>
      <c r="N49" s="39">
        <f t="shared" si="3"/>
        <v>5128468.7</v>
      </c>
      <c r="O49" s="39">
        <f t="shared" si="5"/>
        <v>33335047</v>
      </c>
      <c r="P49" s="39">
        <f t="shared" si="6"/>
        <v>5212592.7</v>
      </c>
      <c r="Q49" s="39">
        <f t="shared" si="7"/>
        <v>28669260</v>
      </c>
      <c r="R49" s="39">
        <f t="shared" si="8"/>
        <v>5558668.3849999998</v>
      </c>
      <c r="S49" s="39">
        <f t="shared" si="9"/>
        <v>36131345</v>
      </c>
      <c r="T49" s="39">
        <f t="shared" si="10"/>
        <v>5576610.3849999998</v>
      </c>
      <c r="U49" s="39">
        <f t="shared" si="11"/>
        <v>30671357</v>
      </c>
      <c r="V49" s="81">
        <f t="shared" si="12"/>
        <v>133533761</v>
      </c>
    </row>
    <row r="50" spans="2:22" s="2" customFormat="1" ht="30.75" customHeight="1">
      <c r="B50" s="62">
        <v>12</v>
      </c>
      <c r="C50" s="63" t="s">
        <v>108</v>
      </c>
      <c r="D50" s="63" t="s">
        <v>111</v>
      </c>
      <c r="E50" s="63" t="s">
        <v>90</v>
      </c>
      <c r="F50" s="59">
        <v>1</v>
      </c>
      <c r="G50" s="38">
        <f>IF(F50=0,"No se requiere",'[29]RESUMEN CIRCULAR_DECRETO'!H38)</f>
        <v>5749471</v>
      </c>
      <c r="H50" s="38">
        <f>IF(F50=0,"No se requiere",'[29]RESUMEN CIRCULAR_DECRETO'!K38)</f>
        <v>6238086</v>
      </c>
      <c r="I50" s="38">
        <f>IF(G50=0,"No se requiere",'[29]RESUMEN CIRCULAR_DECRETO'!N38)</f>
        <v>6340400</v>
      </c>
      <c r="J50" s="38">
        <f>IF(H50=0,"No se requiere",'[29]RESUMEN CIRCULAR_DECRETO'!Q38)</f>
        <v>6761340.9000000004</v>
      </c>
      <c r="K50" s="38">
        <f>IF(I50=0,"No se requiere",'[29]RESUMEN CIRCULAR_DECRETO'!T38)</f>
        <v>6783161.9000000004</v>
      </c>
      <c r="L50" s="39">
        <f t="shared" si="2"/>
        <v>5749471</v>
      </c>
      <c r="M50" s="39">
        <f t="shared" si="4"/>
        <v>5749471</v>
      </c>
      <c r="N50" s="39">
        <f t="shared" si="3"/>
        <v>6238086</v>
      </c>
      <c r="O50" s="39">
        <f t="shared" si="5"/>
        <v>40547559</v>
      </c>
      <c r="P50" s="39">
        <f t="shared" si="6"/>
        <v>6340400</v>
      </c>
      <c r="Q50" s="39">
        <f t="shared" si="7"/>
        <v>34872200</v>
      </c>
      <c r="R50" s="39">
        <f t="shared" si="8"/>
        <v>6761340.9000000004</v>
      </c>
      <c r="S50" s="39">
        <f t="shared" si="9"/>
        <v>43948716</v>
      </c>
      <c r="T50" s="39">
        <f t="shared" si="10"/>
        <v>6783161.9000000004</v>
      </c>
      <c r="U50" s="39">
        <f t="shared" si="11"/>
        <v>37307390</v>
      </c>
      <c r="V50" s="81">
        <f t="shared" si="12"/>
        <v>162425336</v>
      </c>
    </row>
    <row r="51" spans="2:22" s="2" customFormat="1" ht="27" customHeight="1">
      <c r="B51" s="201" t="s">
        <v>1212</v>
      </c>
      <c r="C51" s="201"/>
      <c r="D51" s="201"/>
      <c r="E51" s="201"/>
      <c r="F51" s="201"/>
      <c r="G51" s="201"/>
      <c r="H51" s="201"/>
      <c r="I51" s="201"/>
      <c r="J51" s="201"/>
      <c r="K51" s="201"/>
      <c r="L51" s="201"/>
      <c r="M51" s="201"/>
      <c r="N51" s="201"/>
      <c r="O51" s="201"/>
      <c r="P51" s="201"/>
      <c r="Q51" s="201"/>
      <c r="R51" s="201"/>
      <c r="S51" s="201"/>
      <c r="T51" s="201"/>
      <c r="U51" s="201"/>
      <c r="V51" s="81">
        <f>SUM(V45:V50)</f>
        <v>6406248216</v>
      </c>
    </row>
    <row r="52" spans="2:22" s="2" customFormat="1" ht="12.5">
      <c r="C52" s="4"/>
      <c r="D52" s="4"/>
      <c r="E52" s="4"/>
      <c r="F52" s="4"/>
      <c r="G52" s="4"/>
      <c r="H52" s="4"/>
    </row>
    <row r="53" spans="2:22" s="2" customFormat="1" ht="12.5">
      <c r="C53" s="4"/>
      <c r="D53" s="4"/>
      <c r="E53" s="4"/>
      <c r="F53" s="4"/>
      <c r="G53" s="4"/>
      <c r="H53" s="4"/>
    </row>
    <row r="54" spans="2:22" s="2" customFormat="1" ht="27.75" customHeight="1">
      <c r="B54" s="200" t="s">
        <v>1193</v>
      </c>
      <c r="C54" s="200"/>
      <c r="D54" s="200"/>
      <c r="E54" s="200"/>
      <c r="F54" s="200"/>
      <c r="G54" s="200"/>
      <c r="H54" s="200"/>
      <c r="I54" s="200"/>
      <c r="J54" s="200"/>
      <c r="K54" s="200"/>
      <c r="L54" s="200"/>
      <c r="M54" s="200"/>
      <c r="N54" s="200"/>
      <c r="O54" s="200"/>
      <c r="P54" s="200"/>
      <c r="Q54" s="200"/>
      <c r="R54" s="200"/>
      <c r="S54" s="200"/>
      <c r="T54" s="200"/>
      <c r="U54" s="200"/>
      <c r="V54" s="200"/>
    </row>
    <row r="55" spans="2:22" s="2" customFormat="1" ht="12.5">
      <c r="C55" s="4"/>
      <c r="D55" s="4"/>
      <c r="E55" s="4"/>
      <c r="F55" s="4"/>
      <c r="G55" s="4"/>
      <c r="H55" s="4"/>
    </row>
    <row r="56" spans="2:22" s="2" customFormat="1" ht="61.5" customHeight="1">
      <c r="B56" s="169" t="s">
        <v>1194</v>
      </c>
      <c r="C56" s="169"/>
      <c r="D56" s="169"/>
      <c r="E56" s="169"/>
      <c r="F56" s="169" t="s">
        <v>1214</v>
      </c>
      <c r="G56" s="169"/>
      <c r="H56" s="169"/>
      <c r="I56" s="169"/>
      <c r="J56" s="169"/>
      <c r="K56" s="169"/>
      <c r="L56" s="169"/>
      <c r="M56" s="169"/>
      <c r="N56" s="169"/>
      <c r="O56" s="169"/>
      <c r="P56" s="169"/>
    </row>
    <row r="57" spans="2:22" s="2" customFormat="1" ht="60" customHeight="1">
      <c r="B57" s="74" t="s">
        <v>1176</v>
      </c>
      <c r="C57" s="29" t="s">
        <v>1177</v>
      </c>
      <c r="D57" s="173" t="s">
        <v>125</v>
      </c>
      <c r="E57" s="174"/>
      <c r="F57" s="60" t="s">
        <v>124</v>
      </c>
      <c r="G57" s="75" t="s">
        <v>126</v>
      </c>
      <c r="H57" s="75" t="s">
        <v>1215</v>
      </c>
      <c r="I57" s="75" t="s">
        <v>1216</v>
      </c>
      <c r="J57" s="85" t="s">
        <v>1217</v>
      </c>
      <c r="K57" s="85" t="s">
        <v>1218</v>
      </c>
      <c r="L57" s="85" t="s">
        <v>1219</v>
      </c>
      <c r="M57" s="85" t="s">
        <v>1220</v>
      </c>
      <c r="N57" s="85" t="s">
        <v>1221</v>
      </c>
      <c r="O57" s="85" t="s">
        <v>1222</v>
      </c>
      <c r="P57" s="60" t="s">
        <v>1223</v>
      </c>
    </row>
    <row r="58" spans="2:22" s="2" customFormat="1" ht="57.75" customHeight="1">
      <c r="B58" s="59">
        <v>1</v>
      </c>
      <c r="C58" s="67" t="s">
        <v>1149</v>
      </c>
      <c r="D58" s="196" t="s">
        <v>1150</v>
      </c>
      <c r="E58" s="196"/>
      <c r="F58" s="76">
        <v>8</v>
      </c>
      <c r="G58" s="54">
        <f>3500000/12</f>
        <v>291666.66666666669</v>
      </c>
      <c r="H58" s="54">
        <f>G58*1.06</f>
        <v>309166.66666666669</v>
      </c>
      <c r="I58" s="54">
        <f>H58*1.05</f>
        <v>324625.00000000006</v>
      </c>
      <c r="J58" s="39">
        <f t="shared" ref="J58:J80" si="13">ROUND(G58*F58,0)</f>
        <v>2333333</v>
      </c>
      <c r="K58" s="39">
        <f>J58*$I$35</f>
        <v>2333333</v>
      </c>
      <c r="L58" s="39">
        <f>ROUND(H58*F58,0)</f>
        <v>2473333</v>
      </c>
      <c r="M58" s="39">
        <f>L58*(SUM($J$35:$K$35))</f>
        <v>29679996</v>
      </c>
      <c r="N58" s="39">
        <f>ROUND(I58*F58,0)</f>
        <v>2597000</v>
      </c>
      <c r="O58" s="39">
        <f>N58*(SUM($L$35:$M$35))</f>
        <v>31164000</v>
      </c>
      <c r="P58" s="81">
        <f>K58+M58+O58</f>
        <v>63177329</v>
      </c>
    </row>
    <row r="59" spans="2:22" s="2" customFormat="1" ht="78" customHeight="1">
      <c r="B59" s="59">
        <v>2</v>
      </c>
      <c r="C59" s="67" t="s">
        <v>1149</v>
      </c>
      <c r="D59" s="196" t="s">
        <v>1151</v>
      </c>
      <c r="E59" s="196" t="s">
        <v>1151</v>
      </c>
      <c r="F59" s="76">
        <v>8</v>
      </c>
      <c r="G59" s="54">
        <f>2500000/12</f>
        <v>208333.33333333334</v>
      </c>
      <c r="H59" s="54">
        <f t="shared" ref="H59:H80" si="14">G59*1.06</f>
        <v>220833.33333333334</v>
      </c>
      <c r="I59" s="54">
        <f t="shared" ref="I59:I80" si="15">H59*1.05</f>
        <v>231875.00000000003</v>
      </c>
      <c r="J59" s="39">
        <f t="shared" si="13"/>
        <v>1666667</v>
      </c>
      <c r="K59" s="39">
        <f t="shared" ref="K59:K80" si="16">J59*$I$35</f>
        <v>1666667</v>
      </c>
      <c r="L59" s="39">
        <f t="shared" ref="L59:L80" si="17">ROUND(H59*F59,0)</f>
        <v>1766667</v>
      </c>
      <c r="M59" s="39">
        <f t="shared" ref="M59:M80" si="18">L59*(SUM($J$35:$K$35))</f>
        <v>21200004</v>
      </c>
      <c r="N59" s="39">
        <f t="shared" ref="N59:N80" si="19">ROUND(I59*F59,0)</f>
        <v>1855000</v>
      </c>
      <c r="O59" s="39">
        <f t="shared" ref="O59:O80" si="20">N59*(SUM($L$35:$M$35))</f>
        <v>22260000</v>
      </c>
      <c r="P59" s="81">
        <f t="shared" ref="P59:P80" si="21">K59+M59+O59</f>
        <v>45126671</v>
      </c>
    </row>
    <row r="60" spans="2:22" s="2" customFormat="1" ht="78" customHeight="1">
      <c r="B60" s="59">
        <v>3</v>
      </c>
      <c r="C60" s="67" t="s">
        <v>1149</v>
      </c>
      <c r="D60" s="196" t="s">
        <v>1152</v>
      </c>
      <c r="E60" s="196" t="s">
        <v>1152</v>
      </c>
      <c r="F60" s="76">
        <f>36+5</f>
        <v>41</v>
      </c>
      <c r="G60" s="54">
        <f>380000/12</f>
        <v>31666.666666666668</v>
      </c>
      <c r="H60" s="54">
        <f t="shared" si="14"/>
        <v>33566.666666666672</v>
      </c>
      <c r="I60" s="54">
        <f t="shared" si="15"/>
        <v>35245.000000000007</v>
      </c>
      <c r="J60" s="39">
        <f t="shared" si="13"/>
        <v>1298333</v>
      </c>
      <c r="K60" s="39">
        <f t="shared" si="16"/>
        <v>1298333</v>
      </c>
      <c r="L60" s="39">
        <f t="shared" si="17"/>
        <v>1376233</v>
      </c>
      <c r="M60" s="39">
        <f t="shared" si="18"/>
        <v>16514796</v>
      </c>
      <c r="N60" s="39">
        <f t="shared" si="19"/>
        <v>1445045</v>
      </c>
      <c r="O60" s="39">
        <f t="shared" si="20"/>
        <v>17340540</v>
      </c>
      <c r="P60" s="81">
        <f t="shared" si="21"/>
        <v>35153669</v>
      </c>
    </row>
    <row r="61" spans="2:22" s="2" customFormat="1" ht="78" customHeight="1">
      <c r="B61" s="59">
        <v>4</v>
      </c>
      <c r="C61" s="67" t="s">
        <v>1149</v>
      </c>
      <c r="D61" s="196" t="s">
        <v>1153</v>
      </c>
      <c r="E61" s="196" t="s">
        <v>1153</v>
      </c>
      <c r="F61" s="76">
        <f>70+1</f>
        <v>71</v>
      </c>
      <c r="G61" s="54">
        <f>300000/12</f>
        <v>25000</v>
      </c>
      <c r="H61" s="54">
        <f t="shared" si="14"/>
        <v>26500</v>
      </c>
      <c r="I61" s="54">
        <f t="shared" si="15"/>
        <v>27825</v>
      </c>
      <c r="J61" s="39">
        <f t="shared" si="13"/>
        <v>1775000</v>
      </c>
      <c r="K61" s="39">
        <f t="shared" si="16"/>
        <v>1775000</v>
      </c>
      <c r="L61" s="39">
        <f t="shared" si="17"/>
        <v>1881500</v>
      </c>
      <c r="M61" s="39">
        <f t="shared" si="18"/>
        <v>22578000</v>
      </c>
      <c r="N61" s="39">
        <f t="shared" si="19"/>
        <v>1975575</v>
      </c>
      <c r="O61" s="39">
        <f t="shared" si="20"/>
        <v>23706900</v>
      </c>
      <c r="P61" s="81">
        <f t="shared" si="21"/>
        <v>48059900</v>
      </c>
    </row>
    <row r="62" spans="2:22" s="2" customFormat="1" ht="78" customHeight="1">
      <c r="B62" s="59">
        <v>5</v>
      </c>
      <c r="C62" s="67" t="s">
        <v>1149</v>
      </c>
      <c r="D62" s="196" t="s">
        <v>1154</v>
      </c>
      <c r="E62" s="196" t="s">
        <v>1154</v>
      </c>
      <c r="F62" s="76">
        <v>4</v>
      </c>
      <c r="G62" s="54">
        <f>4500000/24</f>
        <v>187500</v>
      </c>
      <c r="H62" s="54">
        <f t="shared" si="14"/>
        <v>198750</v>
      </c>
      <c r="I62" s="54">
        <f t="shared" si="15"/>
        <v>208687.5</v>
      </c>
      <c r="J62" s="39">
        <f t="shared" si="13"/>
        <v>750000</v>
      </c>
      <c r="K62" s="39">
        <f t="shared" si="16"/>
        <v>750000</v>
      </c>
      <c r="L62" s="39">
        <f t="shared" si="17"/>
        <v>795000</v>
      </c>
      <c r="M62" s="39">
        <f t="shared" si="18"/>
        <v>9540000</v>
      </c>
      <c r="N62" s="39">
        <f t="shared" si="19"/>
        <v>834750</v>
      </c>
      <c r="O62" s="39">
        <f t="shared" si="20"/>
        <v>10017000</v>
      </c>
      <c r="P62" s="81">
        <f t="shared" si="21"/>
        <v>20307000</v>
      </c>
    </row>
    <row r="63" spans="2:22" s="2" customFormat="1" ht="71.25" customHeight="1">
      <c r="B63" s="59">
        <v>6</v>
      </c>
      <c r="C63" s="67" t="s">
        <v>1155</v>
      </c>
      <c r="D63" s="196" t="s">
        <v>1156</v>
      </c>
      <c r="E63" s="196"/>
      <c r="F63" s="76">
        <v>34</v>
      </c>
      <c r="G63" s="54">
        <f>450000/12</f>
        <v>37500</v>
      </c>
      <c r="H63" s="54">
        <f t="shared" si="14"/>
        <v>39750</v>
      </c>
      <c r="I63" s="54">
        <f t="shared" si="15"/>
        <v>41737.5</v>
      </c>
      <c r="J63" s="39">
        <f t="shared" si="13"/>
        <v>1275000</v>
      </c>
      <c r="K63" s="39">
        <f t="shared" si="16"/>
        <v>1275000</v>
      </c>
      <c r="L63" s="39">
        <f t="shared" si="17"/>
        <v>1351500</v>
      </c>
      <c r="M63" s="39">
        <f t="shared" si="18"/>
        <v>16218000</v>
      </c>
      <c r="N63" s="39">
        <f t="shared" si="19"/>
        <v>1419075</v>
      </c>
      <c r="O63" s="39">
        <f t="shared" si="20"/>
        <v>17028900</v>
      </c>
      <c r="P63" s="81">
        <f t="shared" si="21"/>
        <v>34521900</v>
      </c>
    </row>
    <row r="64" spans="2:22" s="2" customFormat="1" ht="71.25" customHeight="1">
      <c r="B64" s="59">
        <v>7</v>
      </c>
      <c r="C64" s="67" t="s">
        <v>1155</v>
      </c>
      <c r="D64" s="196" t="s">
        <v>1157</v>
      </c>
      <c r="E64" s="196" t="s">
        <v>127</v>
      </c>
      <c r="F64" s="76">
        <v>8</v>
      </c>
      <c r="G64" s="54">
        <f>1300000/12</f>
        <v>108333.33333333333</v>
      </c>
      <c r="H64" s="54">
        <f t="shared" si="14"/>
        <v>114833.33333333333</v>
      </c>
      <c r="I64" s="54">
        <f t="shared" si="15"/>
        <v>120575</v>
      </c>
      <c r="J64" s="39">
        <f t="shared" si="13"/>
        <v>866667</v>
      </c>
      <c r="K64" s="39">
        <f t="shared" si="16"/>
        <v>866667</v>
      </c>
      <c r="L64" s="39">
        <f t="shared" si="17"/>
        <v>918667</v>
      </c>
      <c r="M64" s="39">
        <f t="shared" si="18"/>
        <v>11024004</v>
      </c>
      <c r="N64" s="39">
        <f t="shared" si="19"/>
        <v>964600</v>
      </c>
      <c r="O64" s="39">
        <f t="shared" si="20"/>
        <v>11575200</v>
      </c>
      <c r="P64" s="81">
        <f t="shared" si="21"/>
        <v>23465871</v>
      </c>
    </row>
    <row r="65" spans="2:16" s="2" customFormat="1" ht="71.25" customHeight="1">
      <c r="B65" s="59">
        <v>8</v>
      </c>
      <c r="C65" s="67" t="s">
        <v>1155</v>
      </c>
      <c r="D65" s="196" t="s">
        <v>1158</v>
      </c>
      <c r="E65" s="196" t="s">
        <v>128</v>
      </c>
      <c r="F65" s="76">
        <v>7</v>
      </c>
      <c r="G65" s="54">
        <f>185000/12</f>
        <v>15416.666666666666</v>
      </c>
      <c r="H65" s="54">
        <f t="shared" si="14"/>
        <v>16341.666666666666</v>
      </c>
      <c r="I65" s="54">
        <f t="shared" si="15"/>
        <v>17158.75</v>
      </c>
      <c r="J65" s="39">
        <f t="shared" si="13"/>
        <v>107917</v>
      </c>
      <c r="K65" s="39">
        <f t="shared" si="16"/>
        <v>107917</v>
      </c>
      <c r="L65" s="39">
        <f t="shared" si="17"/>
        <v>114392</v>
      </c>
      <c r="M65" s="39">
        <f t="shared" si="18"/>
        <v>1372704</v>
      </c>
      <c r="N65" s="39">
        <f t="shared" si="19"/>
        <v>120111</v>
      </c>
      <c r="O65" s="39">
        <f t="shared" si="20"/>
        <v>1441332</v>
      </c>
      <c r="P65" s="81">
        <f t="shared" si="21"/>
        <v>2921953</v>
      </c>
    </row>
    <row r="66" spans="2:16" s="2" customFormat="1" ht="71.25" customHeight="1">
      <c r="B66" s="59">
        <v>9</v>
      </c>
      <c r="C66" s="67" t="s">
        <v>1155</v>
      </c>
      <c r="D66" s="196" t="s">
        <v>1159</v>
      </c>
      <c r="E66" s="196" t="s">
        <v>1178</v>
      </c>
      <c r="F66" s="76">
        <v>9</v>
      </c>
      <c r="G66" s="54">
        <f>250000/12</f>
        <v>20833.333333333332</v>
      </c>
      <c r="H66" s="54">
        <f t="shared" si="14"/>
        <v>22083.333333333332</v>
      </c>
      <c r="I66" s="54">
        <f t="shared" si="15"/>
        <v>23187.5</v>
      </c>
      <c r="J66" s="39">
        <f t="shared" si="13"/>
        <v>187500</v>
      </c>
      <c r="K66" s="39">
        <f t="shared" si="16"/>
        <v>187500</v>
      </c>
      <c r="L66" s="39">
        <f t="shared" si="17"/>
        <v>198750</v>
      </c>
      <c r="M66" s="39">
        <f t="shared" si="18"/>
        <v>2385000</v>
      </c>
      <c r="N66" s="39">
        <f t="shared" si="19"/>
        <v>208688</v>
      </c>
      <c r="O66" s="39">
        <f t="shared" si="20"/>
        <v>2504256</v>
      </c>
      <c r="P66" s="81">
        <f t="shared" si="21"/>
        <v>5076756</v>
      </c>
    </row>
    <row r="67" spans="2:16" s="2" customFormat="1" ht="71.25" customHeight="1">
      <c r="B67" s="59">
        <v>10</v>
      </c>
      <c r="C67" s="67" t="s">
        <v>1155</v>
      </c>
      <c r="D67" s="196" t="s">
        <v>1160</v>
      </c>
      <c r="E67" s="196" t="s">
        <v>1178</v>
      </c>
      <c r="F67" s="76">
        <v>8</v>
      </c>
      <c r="G67" s="54">
        <f>350000/12</f>
        <v>29166.666666666668</v>
      </c>
      <c r="H67" s="54">
        <f t="shared" si="14"/>
        <v>30916.666666666668</v>
      </c>
      <c r="I67" s="54">
        <f t="shared" si="15"/>
        <v>32462.500000000004</v>
      </c>
      <c r="J67" s="39">
        <f t="shared" si="13"/>
        <v>233333</v>
      </c>
      <c r="K67" s="39">
        <f t="shared" si="16"/>
        <v>233333</v>
      </c>
      <c r="L67" s="39">
        <f t="shared" si="17"/>
        <v>247333</v>
      </c>
      <c r="M67" s="39">
        <f t="shared" si="18"/>
        <v>2967996</v>
      </c>
      <c r="N67" s="39">
        <f t="shared" si="19"/>
        <v>259700</v>
      </c>
      <c r="O67" s="39">
        <f t="shared" si="20"/>
        <v>3116400</v>
      </c>
      <c r="P67" s="81">
        <f t="shared" si="21"/>
        <v>6317729</v>
      </c>
    </row>
    <row r="68" spans="2:16" s="2" customFormat="1" ht="44.25" customHeight="1">
      <c r="B68" s="59">
        <v>11</v>
      </c>
      <c r="C68" s="67" t="s">
        <v>1155</v>
      </c>
      <c r="D68" s="196" t="s">
        <v>1161</v>
      </c>
      <c r="E68" s="196" t="s">
        <v>1178</v>
      </c>
      <c r="F68" s="76">
        <v>77</v>
      </c>
      <c r="G68" s="54">
        <f>150000/12</f>
        <v>12500</v>
      </c>
      <c r="H68" s="54">
        <f t="shared" si="14"/>
        <v>13250</v>
      </c>
      <c r="I68" s="54">
        <f t="shared" si="15"/>
        <v>13912.5</v>
      </c>
      <c r="J68" s="39">
        <f t="shared" si="13"/>
        <v>962500</v>
      </c>
      <c r="K68" s="39">
        <f t="shared" si="16"/>
        <v>962500</v>
      </c>
      <c r="L68" s="39">
        <f t="shared" si="17"/>
        <v>1020250</v>
      </c>
      <c r="M68" s="39">
        <f t="shared" si="18"/>
        <v>12243000</v>
      </c>
      <c r="N68" s="39">
        <f t="shared" si="19"/>
        <v>1071263</v>
      </c>
      <c r="O68" s="39">
        <f t="shared" si="20"/>
        <v>12855156</v>
      </c>
      <c r="P68" s="81">
        <f t="shared" si="21"/>
        <v>26060656</v>
      </c>
    </row>
    <row r="69" spans="2:16" s="2" customFormat="1" ht="44.25" customHeight="1">
      <c r="B69" s="59">
        <v>12</v>
      </c>
      <c r="C69" s="67" t="s">
        <v>1155</v>
      </c>
      <c r="D69" s="196" t="s">
        <v>1162</v>
      </c>
      <c r="E69" s="196" t="s">
        <v>1179</v>
      </c>
      <c r="F69" s="76">
        <v>17</v>
      </c>
      <c r="G69" s="54">
        <f>250000/12</f>
        <v>20833.333333333332</v>
      </c>
      <c r="H69" s="54">
        <f t="shared" si="14"/>
        <v>22083.333333333332</v>
      </c>
      <c r="I69" s="54">
        <f t="shared" si="15"/>
        <v>23187.5</v>
      </c>
      <c r="J69" s="39">
        <f t="shared" si="13"/>
        <v>354167</v>
      </c>
      <c r="K69" s="39">
        <f t="shared" si="16"/>
        <v>354167</v>
      </c>
      <c r="L69" s="39">
        <f t="shared" si="17"/>
        <v>375417</v>
      </c>
      <c r="M69" s="39">
        <f t="shared" si="18"/>
        <v>4505004</v>
      </c>
      <c r="N69" s="39">
        <f t="shared" si="19"/>
        <v>394188</v>
      </c>
      <c r="O69" s="39">
        <f t="shared" si="20"/>
        <v>4730256</v>
      </c>
      <c r="P69" s="81">
        <f t="shared" si="21"/>
        <v>9589427</v>
      </c>
    </row>
    <row r="70" spans="2:16" s="2" customFormat="1" ht="44.25" customHeight="1">
      <c r="B70" s="59">
        <v>13</v>
      </c>
      <c r="C70" s="67" t="s">
        <v>1155</v>
      </c>
      <c r="D70" s="196" t="s">
        <v>1163</v>
      </c>
      <c r="E70" s="196" t="s">
        <v>129</v>
      </c>
      <c r="F70" s="76">
        <v>12</v>
      </c>
      <c r="G70" s="54">
        <f>750000/12</f>
        <v>62500</v>
      </c>
      <c r="H70" s="54">
        <f t="shared" si="14"/>
        <v>66250</v>
      </c>
      <c r="I70" s="54">
        <f t="shared" si="15"/>
        <v>69562.5</v>
      </c>
      <c r="J70" s="39">
        <f t="shared" si="13"/>
        <v>750000</v>
      </c>
      <c r="K70" s="39">
        <f t="shared" si="16"/>
        <v>750000</v>
      </c>
      <c r="L70" s="39">
        <f t="shared" si="17"/>
        <v>795000</v>
      </c>
      <c r="M70" s="39">
        <f t="shared" si="18"/>
        <v>9540000</v>
      </c>
      <c r="N70" s="39">
        <f t="shared" si="19"/>
        <v>834750</v>
      </c>
      <c r="O70" s="39">
        <f t="shared" si="20"/>
        <v>10017000</v>
      </c>
      <c r="P70" s="81">
        <f t="shared" si="21"/>
        <v>20307000</v>
      </c>
    </row>
    <row r="71" spans="2:16" s="2" customFormat="1" ht="44.25" customHeight="1">
      <c r="B71" s="59">
        <v>14</v>
      </c>
      <c r="C71" s="67" t="s">
        <v>1155</v>
      </c>
      <c r="D71" s="196" t="s">
        <v>1164</v>
      </c>
      <c r="E71" s="196" t="s">
        <v>130</v>
      </c>
      <c r="F71" s="76">
        <v>14</v>
      </c>
      <c r="G71" s="54">
        <f>120000/12</f>
        <v>10000</v>
      </c>
      <c r="H71" s="54">
        <f t="shared" si="14"/>
        <v>10600</v>
      </c>
      <c r="I71" s="54">
        <f t="shared" si="15"/>
        <v>11130</v>
      </c>
      <c r="J71" s="39">
        <f t="shared" si="13"/>
        <v>140000</v>
      </c>
      <c r="K71" s="39">
        <f t="shared" si="16"/>
        <v>140000</v>
      </c>
      <c r="L71" s="39">
        <f t="shared" si="17"/>
        <v>148400</v>
      </c>
      <c r="M71" s="39">
        <f t="shared" si="18"/>
        <v>1780800</v>
      </c>
      <c r="N71" s="39">
        <f t="shared" si="19"/>
        <v>155820</v>
      </c>
      <c r="O71" s="39">
        <f t="shared" si="20"/>
        <v>1869840</v>
      </c>
      <c r="P71" s="81">
        <f t="shared" si="21"/>
        <v>3790640</v>
      </c>
    </row>
    <row r="72" spans="2:16" s="2" customFormat="1" ht="44.25" customHeight="1">
      <c r="B72" s="59">
        <v>15</v>
      </c>
      <c r="C72" s="67" t="s">
        <v>1155</v>
      </c>
      <c r="D72" s="196" t="s">
        <v>1165</v>
      </c>
      <c r="E72" s="196" t="s">
        <v>131</v>
      </c>
      <c r="F72" s="76">
        <v>1</v>
      </c>
      <c r="G72" s="54">
        <f>120000/12</f>
        <v>10000</v>
      </c>
      <c r="H72" s="54">
        <f t="shared" si="14"/>
        <v>10600</v>
      </c>
      <c r="I72" s="54">
        <f t="shared" si="15"/>
        <v>11130</v>
      </c>
      <c r="J72" s="39">
        <f t="shared" si="13"/>
        <v>10000</v>
      </c>
      <c r="K72" s="39">
        <f t="shared" si="16"/>
        <v>10000</v>
      </c>
      <c r="L72" s="39">
        <f t="shared" si="17"/>
        <v>10600</v>
      </c>
      <c r="M72" s="39">
        <f t="shared" si="18"/>
        <v>127200</v>
      </c>
      <c r="N72" s="39">
        <f t="shared" si="19"/>
        <v>11130</v>
      </c>
      <c r="O72" s="39">
        <f t="shared" si="20"/>
        <v>133560</v>
      </c>
      <c r="P72" s="81">
        <f t="shared" si="21"/>
        <v>270760</v>
      </c>
    </row>
    <row r="73" spans="2:16" s="2" customFormat="1" ht="61.5" customHeight="1">
      <c r="B73" s="59">
        <v>16</v>
      </c>
      <c r="C73" s="67" t="s">
        <v>1155</v>
      </c>
      <c r="D73" s="196" t="s">
        <v>1166</v>
      </c>
      <c r="E73" s="196" t="s">
        <v>132</v>
      </c>
      <c r="F73" s="76">
        <v>3</v>
      </c>
      <c r="G73" s="54">
        <f>2800000/12</f>
        <v>233333.33333333334</v>
      </c>
      <c r="H73" s="54">
        <f t="shared" si="14"/>
        <v>247333.33333333334</v>
      </c>
      <c r="I73" s="54">
        <f t="shared" si="15"/>
        <v>259700.00000000003</v>
      </c>
      <c r="J73" s="39">
        <f t="shared" si="13"/>
        <v>700000</v>
      </c>
      <c r="K73" s="39">
        <f t="shared" si="16"/>
        <v>700000</v>
      </c>
      <c r="L73" s="39">
        <f t="shared" si="17"/>
        <v>742000</v>
      </c>
      <c r="M73" s="39">
        <f t="shared" si="18"/>
        <v>8904000</v>
      </c>
      <c r="N73" s="39">
        <f t="shared" si="19"/>
        <v>779100</v>
      </c>
      <c r="O73" s="39">
        <f t="shared" si="20"/>
        <v>9349200</v>
      </c>
      <c r="P73" s="81">
        <f t="shared" si="21"/>
        <v>18953200</v>
      </c>
    </row>
    <row r="74" spans="2:16" s="2" customFormat="1" ht="44.25" customHeight="1">
      <c r="B74" s="59">
        <v>17</v>
      </c>
      <c r="C74" s="67" t="s">
        <v>1167</v>
      </c>
      <c r="D74" s="196" t="s">
        <v>1168</v>
      </c>
      <c r="E74" s="196"/>
      <c r="F74" s="76">
        <v>5</v>
      </c>
      <c r="G74" s="54">
        <f>1500000/12</f>
        <v>125000</v>
      </c>
      <c r="H74" s="54">
        <f t="shared" si="14"/>
        <v>132500</v>
      </c>
      <c r="I74" s="54">
        <f t="shared" si="15"/>
        <v>139125</v>
      </c>
      <c r="J74" s="39">
        <f t="shared" si="13"/>
        <v>625000</v>
      </c>
      <c r="K74" s="39">
        <f t="shared" si="16"/>
        <v>625000</v>
      </c>
      <c r="L74" s="39">
        <f t="shared" si="17"/>
        <v>662500</v>
      </c>
      <c r="M74" s="39">
        <f t="shared" si="18"/>
        <v>7950000</v>
      </c>
      <c r="N74" s="39">
        <f t="shared" si="19"/>
        <v>695625</v>
      </c>
      <c r="O74" s="39">
        <f t="shared" si="20"/>
        <v>8347500</v>
      </c>
      <c r="P74" s="81">
        <f t="shared" si="21"/>
        <v>16922500</v>
      </c>
    </row>
    <row r="75" spans="2:16" s="2" customFormat="1" ht="44.25" customHeight="1">
      <c r="B75" s="59">
        <v>18</v>
      </c>
      <c r="C75" s="67" t="s">
        <v>1167</v>
      </c>
      <c r="D75" s="196" t="s">
        <v>1169</v>
      </c>
      <c r="E75" s="196" t="s">
        <v>1169</v>
      </c>
      <c r="F75" s="76">
        <v>34</v>
      </c>
      <c r="G75" s="54">
        <f>120000/12</f>
        <v>10000</v>
      </c>
      <c r="H75" s="54">
        <f t="shared" si="14"/>
        <v>10600</v>
      </c>
      <c r="I75" s="54">
        <f t="shared" si="15"/>
        <v>11130</v>
      </c>
      <c r="J75" s="39">
        <f t="shared" si="13"/>
        <v>340000</v>
      </c>
      <c r="K75" s="39">
        <f t="shared" si="16"/>
        <v>340000</v>
      </c>
      <c r="L75" s="39">
        <f t="shared" si="17"/>
        <v>360400</v>
      </c>
      <c r="M75" s="39">
        <f t="shared" si="18"/>
        <v>4324800</v>
      </c>
      <c r="N75" s="39">
        <f t="shared" si="19"/>
        <v>378420</v>
      </c>
      <c r="O75" s="39">
        <f t="shared" si="20"/>
        <v>4541040</v>
      </c>
      <c r="P75" s="81">
        <f t="shared" si="21"/>
        <v>9205840</v>
      </c>
    </row>
    <row r="76" spans="2:16" s="2" customFormat="1" ht="44.25" customHeight="1">
      <c r="B76" s="59">
        <v>19</v>
      </c>
      <c r="C76" s="67" t="s">
        <v>1170</v>
      </c>
      <c r="D76" s="196" t="s">
        <v>1171</v>
      </c>
      <c r="E76" s="196"/>
      <c r="F76" s="76">
        <v>22</v>
      </c>
      <c r="G76" s="54">
        <f>1800000/12</f>
        <v>150000</v>
      </c>
      <c r="H76" s="54">
        <f t="shared" si="14"/>
        <v>159000</v>
      </c>
      <c r="I76" s="54">
        <f t="shared" si="15"/>
        <v>166950</v>
      </c>
      <c r="J76" s="39">
        <f t="shared" si="13"/>
        <v>3300000</v>
      </c>
      <c r="K76" s="39">
        <f t="shared" si="16"/>
        <v>3300000</v>
      </c>
      <c r="L76" s="39">
        <f t="shared" si="17"/>
        <v>3498000</v>
      </c>
      <c r="M76" s="39">
        <f t="shared" si="18"/>
        <v>41976000</v>
      </c>
      <c r="N76" s="39">
        <f t="shared" si="19"/>
        <v>3672900</v>
      </c>
      <c r="O76" s="39">
        <f t="shared" si="20"/>
        <v>44074800</v>
      </c>
      <c r="P76" s="81">
        <f t="shared" si="21"/>
        <v>89350800</v>
      </c>
    </row>
    <row r="77" spans="2:16" s="2" customFormat="1" ht="44.25" customHeight="1">
      <c r="B77" s="59">
        <v>20</v>
      </c>
      <c r="C77" s="67" t="s">
        <v>1170</v>
      </c>
      <c r="D77" s="196" t="s">
        <v>1172</v>
      </c>
      <c r="E77" s="196" t="s">
        <v>1172</v>
      </c>
      <c r="F77" s="76">
        <v>8</v>
      </c>
      <c r="G77" s="54">
        <f>1800000/12</f>
        <v>150000</v>
      </c>
      <c r="H77" s="54">
        <f t="shared" si="14"/>
        <v>159000</v>
      </c>
      <c r="I77" s="54">
        <f t="shared" si="15"/>
        <v>166950</v>
      </c>
      <c r="J77" s="39">
        <f t="shared" si="13"/>
        <v>1200000</v>
      </c>
      <c r="K77" s="39">
        <f t="shared" si="16"/>
        <v>1200000</v>
      </c>
      <c r="L77" s="39">
        <f t="shared" si="17"/>
        <v>1272000</v>
      </c>
      <c r="M77" s="39">
        <f t="shared" si="18"/>
        <v>15264000</v>
      </c>
      <c r="N77" s="39">
        <f t="shared" si="19"/>
        <v>1335600</v>
      </c>
      <c r="O77" s="39">
        <f t="shared" si="20"/>
        <v>16027200</v>
      </c>
      <c r="P77" s="81">
        <f t="shared" si="21"/>
        <v>32491200</v>
      </c>
    </row>
    <row r="78" spans="2:16" s="2" customFormat="1" ht="44.25" customHeight="1">
      <c r="B78" s="59">
        <v>21</v>
      </c>
      <c r="C78" s="67" t="s">
        <v>1170</v>
      </c>
      <c r="D78" s="196" t="s">
        <v>1173</v>
      </c>
      <c r="E78" s="196" t="s">
        <v>1173</v>
      </c>
      <c r="F78" s="76">
        <v>15</v>
      </c>
      <c r="G78" s="54">
        <f>450000/12</f>
        <v>37500</v>
      </c>
      <c r="H78" s="54">
        <f t="shared" si="14"/>
        <v>39750</v>
      </c>
      <c r="I78" s="54">
        <f t="shared" si="15"/>
        <v>41737.5</v>
      </c>
      <c r="J78" s="39">
        <f t="shared" si="13"/>
        <v>562500</v>
      </c>
      <c r="K78" s="39">
        <f t="shared" si="16"/>
        <v>562500</v>
      </c>
      <c r="L78" s="39">
        <f t="shared" si="17"/>
        <v>596250</v>
      </c>
      <c r="M78" s="39">
        <f t="shared" si="18"/>
        <v>7155000</v>
      </c>
      <c r="N78" s="39">
        <f t="shared" si="19"/>
        <v>626063</v>
      </c>
      <c r="O78" s="39">
        <f t="shared" si="20"/>
        <v>7512756</v>
      </c>
      <c r="P78" s="81">
        <f t="shared" si="21"/>
        <v>15230256</v>
      </c>
    </row>
    <row r="79" spans="2:16" s="2" customFormat="1" ht="44.25" customHeight="1">
      <c r="B79" s="59">
        <v>22</v>
      </c>
      <c r="C79" s="67" t="s">
        <v>1170</v>
      </c>
      <c r="D79" s="196" t="s">
        <v>1174</v>
      </c>
      <c r="E79" s="196" t="s">
        <v>1174</v>
      </c>
      <c r="F79" s="76">
        <v>9</v>
      </c>
      <c r="G79" s="54">
        <f>400000/12</f>
        <v>33333.333333333336</v>
      </c>
      <c r="H79" s="54">
        <f t="shared" si="14"/>
        <v>35333.333333333336</v>
      </c>
      <c r="I79" s="54">
        <f t="shared" si="15"/>
        <v>37100.000000000007</v>
      </c>
      <c r="J79" s="39">
        <f t="shared" si="13"/>
        <v>300000</v>
      </c>
      <c r="K79" s="39">
        <f t="shared" si="16"/>
        <v>300000</v>
      </c>
      <c r="L79" s="39">
        <f t="shared" si="17"/>
        <v>318000</v>
      </c>
      <c r="M79" s="39">
        <f t="shared" si="18"/>
        <v>3816000</v>
      </c>
      <c r="N79" s="39">
        <f t="shared" si="19"/>
        <v>333900</v>
      </c>
      <c r="O79" s="39">
        <f t="shared" si="20"/>
        <v>4006800</v>
      </c>
      <c r="P79" s="81">
        <f t="shared" si="21"/>
        <v>8122800</v>
      </c>
    </row>
    <row r="80" spans="2:16" s="2" customFormat="1" ht="44.25" customHeight="1">
      <c r="B80" s="59">
        <v>23</v>
      </c>
      <c r="C80" s="67" t="s">
        <v>1170</v>
      </c>
      <c r="D80" s="196" t="s">
        <v>1175</v>
      </c>
      <c r="E80" s="196"/>
      <c r="F80" s="76">
        <v>1</v>
      </c>
      <c r="G80" s="54">
        <f>1800000/12</f>
        <v>150000</v>
      </c>
      <c r="H80" s="54">
        <f t="shared" si="14"/>
        <v>159000</v>
      </c>
      <c r="I80" s="54">
        <f t="shared" si="15"/>
        <v>166950</v>
      </c>
      <c r="J80" s="39">
        <f t="shared" si="13"/>
        <v>150000</v>
      </c>
      <c r="K80" s="39">
        <f t="shared" si="16"/>
        <v>150000</v>
      </c>
      <c r="L80" s="39">
        <f t="shared" si="17"/>
        <v>159000</v>
      </c>
      <c r="M80" s="39">
        <f t="shared" si="18"/>
        <v>1908000</v>
      </c>
      <c r="N80" s="39">
        <f t="shared" si="19"/>
        <v>166950</v>
      </c>
      <c r="O80" s="39">
        <f t="shared" si="20"/>
        <v>2003400</v>
      </c>
      <c r="P80" s="81">
        <f t="shared" si="21"/>
        <v>4061400</v>
      </c>
    </row>
    <row r="81" spans="2:16" s="2" customFormat="1" ht="24.75" customHeight="1">
      <c r="B81" s="201" t="s">
        <v>1224</v>
      </c>
      <c r="C81" s="201"/>
      <c r="D81" s="201"/>
      <c r="E81" s="201"/>
      <c r="F81" s="201"/>
      <c r="G81" s="201"/>
      <c r="H81" s="201"/>
      <c r="I81" s="201"/>
      <c r="J81" s="201"/>
      <c r="K81" s="201"/>
      <c r="L81" s="201"/>
      <c r="M81" s="201"/>
      <c r="N81" s="201"/>
      <c r="O81" s="201"/>
      <c r="P81" s="81">
        <f>SUM(P58:P80)</f>
        <v>538485257</v>
      </c>
    </row>
    <row r="82" spans="2:16" s="2" customFormat="1" ht="12.5">
      <c r="C82" s="4"/>
      <c r="D82" s="4"/>
      <c r="E82" s="4"/>
      <c r="F82" s="4"/>
      <c r="G82" s="99">
        <f>SUM(G58:G80)</f>
        <v>1960416.6666666665</v>
      </c>
      <c r="H82" s="99">
        <f>SUM(H58:H80)</f>
        <v>2078041.6666666665</v>
      </c>
      <c r="I82" s="99">
        <f>SUM(I58:I80)</f>
        <v>2181943.75</v>
      </c>
    </row>
    <row r="83" spans="2:16" s="2" customFormat="1" ht="29.25" customHeight="1">
      <c r="B83" s="171" t="s">
        <v>1184</v>
      </c>
      <c r="C83" s="172"/>
      <c r="D83" s="172"/>
      <c r="E83" s="172"/>
      <c r="F83" s="172"/>
      <c r="G83" s="172"/>
      <c r="H83" s="172"/>
      <c r="I83" s="172"/>
      <c r="J83" s="197"/>
    </row>
    <row r="84" spans="2:16" s="2" customFormat="1" ht="29.25" customHeight="1">
      <c r="C84" s="4"/>
      <c r="D84" s="4"/>
      <c r="E84" s="4"/>
      <c r="F84" s="4"/>
      <c r="G84" s="4"/>
      <c r="H84" s="4"/>
    </row>
    <row r="85" spans="2:16" s="2" customFormat="1" ht="29.25" customHeight="1">
      <c r="B85" s="198" t="s">
        <v>1185</v>
      </c>
      <c r="C85" s="198"/>
      <c r="D85" s="198"/>
      <c r="E85" s="198"/>
      <c r="F85" s="198"/>
      <c r="G85"/>
      <c r="H85"/>
      <c r="I85"/>
      <c r="J85"/>
    </row>
    <row r="86" spans="2:16" s="2" customFormat="1" ht="29.25" customHeight="1">
      <c r="C86" s="4"/>
      <c r="D86" s="4"/>
      <c r="E86" s="4"/>
      <c r="F86" s="4"/>
      <c r="G86" s="4"/>
      <c r="H86" s="4"/>
    </row>
    <row r="87" spans="2:16" s="2" customFormat="1" ht="29.25" customHeight="1">
      <c r="B87" s="199" t="s">
        <v>133</v>
      </c>
      <c r="C87" s="199"/>
      <c r="D87" s="199"/>
      <c r="E87" s="77" t="s">
        <v>121</v>
      </c>
    </row>
    <row r="88" spans="2:16" s="2" customFormat="1" ht="29.25" customHeight="1">
      <c r="B88" s="180" t="s">
        <v>134</v>
      </c>
      <c r="C88" s="181"/>
      <c r="D88" s="182"/>
      <c r="E88" s="78">
        <f>SUM(V45:V50)</f>
        <v>6406248216</v>
      </c>
    </row>
    <row r="89" spans="2:16" s="2" customFormat="1" ht="29.25" customHeight="1">
      <c r="B89" s="180" t="s">
        <v>135</v>
      </c>
      <c r="C89" s="181"/>
      <c r="D89" s="182"/>
      <c r="E89" s="78">
        <f>SUM(P58:P80)</f>
        <v>538485257</v>
      </c>
    </row>
    <row r="90" spans="2:16" s="2" customFormat="1" ht="29.25" customHeight="1">
      <c r="B90" s="180" t="s">
        <v>136</v>
      </c>
      <c r="C90" s="181"/>
      <c r="D90" s="182"/>
      <c r="E90" s="78">
        <f>E88+E89</f>
        <v>6944733473</v>
      </c>
    </row>
    <row r="91" spans="2:16" s="2" customFormat="1" ht="29.25" customHeight="1">
      <c r="B91" s="183" t="s">
        <v>1195</v>
      </c>
      <c r="C91" s="183"/>
      <c r="D91" s="55">
        <v>0.1</v>
      </c>
      <c r="E91" s="78">
        <f>ROUND((E90)*D91,0)</f>
        <v>694473347</v>
      </c>
      <c r="G91" s="70"/>
    </row>
    <row r="92" spans="2:16" s="2" customFormat="1" ht="29.25" customHeight="1">
      <c r="B92" s="183" t="s">
        <v>137</v>
      </c>
      <c r="C92" s="183"/>
      <c r="D92" s="56">
        <v>0.19</v>
      </c>
      <c r="E92" s="78">
        <f>ROUND(E91*D92,0)</f>
        <v>131949936</v>
      </c>
      <c r="G92" s="70"/>
    </row>
    <row r="93" spans="2:16" s="2" customFormat="1" ht="29.25" customHeight="1">
      <c r="B93" s="173" t="s">
        <v>1203</v>
      </c>
      <c r="C93" s="184"/>
      <c r="D93" s="185"/>
      <c r="E93" s="79">
        <f>E90+E92</f>
        <v>7076683409</v>
      </c>
      <c r="G93" s="70"/>
    </row>
    <row r="94" spans="2:16" s="2" customFormat="1" ht="12.5">
      <c r="C94" s="4"/>
      <c r="D94" s="4"/>
      <c r="E94" s="4"/>
      <c r="G94" s="4"/>
    </row>
    <row r="95" spans="2:16" s="2" customFormat="1" ht="12.5">
      <c r="C95" s="4"/>
      <c r="D95" s="4"/>
      <c r="E95" s="4"/>
      <c r="F95" s="4"/>
      <c r="G95" s="4"/>
      <c r="H95" s="4"/>
    </row>
    <row r="96" spans="2:16" ht="27.75" customHeight="1">
      <c r="B96" s="260" t="s">
        <v>83</v>
      </c>
      <c r="C96" s="260"/>
      <c r="D96" s="260"/>
      <c r="E96" s="260"/>
      <c r="F96" s="260"/>
      <c r="G96" s="260"/>
      <c r="H96" s="260"/>
      <c r="I96" s="260"/>
    </row>
    <row r="97" spans="2:9" ht="63.75" customHeight="1">
      <c r="B97" s="259" t="s">
        <v>1225</v>
      </c>
      <c r="C97" s="259"/>
      <c r="D97" s="259"/>
      <c r="E97" s="259"/>
      <c r="F97" s="259"/>
      <c r="G97" s="259"/>
      <c r="H97" s="259"/>
      <c r="I97" s="259"/>
    </row>
    <row r="98" spans="2:9" ht="52.5" customHeight="1">
      <c r="B98" s="259" t="s">
        <v>1186</v>
      </c>
      <c r="C98" s="259"/>
      <c r="D98" s="259"/>
      <c r="E98" s="259"/>
      <c r="F98" s="259"/>
      <c r="G98" s="259"/>
      <c r="H98" s="259"/>
      <c r="I98" s="259"/>
    </row>
    <row r="99" spans="2:9" ht="12.5"/>
  </sheetData>
  <mergeCells count="72">
    <mergeCell ref="C8:D8"/>
    <mergeCell ref="I8:J8"/>
    <mergeCell ref="K8:L8"/>
    <mergeCell ref="B2:K4"/>
    <mergeCell ref="L2:L4"/>
    <mergeCell ref="B6:L6"/>
    <mergeCell ref="B7:C7"/>
    <mergeCell ref="D7:L7"/>
    <mergeCell ref="B32:M32"/>
    <mergeCell ref="C9:E9"/>
    <mergeCell ref="G9:H9"/>
    <mergeCell ref="B10:L10"/>
    <mergeCell ref="B13:L13"/>
    <mergeCell ref="B15:L15"/>
    <mergeCell ref="B17:L17"/>
    <mergeCell ref="C20:E20"/>
    <mergeCell ref="M20:N22"/>
    <mergeCell ref="C21:E21"/>
    <mergeCell ref="B23:B30"/>
    <mergeCell ref="C23:F23"/>
    <mergeCell ref="D57:E57"/>
    <mergeCell ref="F35:G35"/>
    <mergeCell ref="F36:G36"/>
    <mergeCell ref="B38:V38"/>
    <mergeCell ref="B41:V41"/>
    <mergeCell ref="B43:E43"/>
    <mergeCell ref="F43:K43"/>
    <mergeCell ref="L43:M43"/>
    <mergeCell ref="N43:O43"/>
    <mergeCell ref="P43:Q43"/>
    <mergeCell ref="R43:S43"/>
    <mergeCell ref="T43:U43"/>
    <mergeCell ref="B51:U51"/>
    <mergeCell ref="B54:V54"/>
    <mergeCell ref="B56:E56"/>
    <mergeCell ref="F56:P56"/>
    <mergeCell ref="D69:E69"/>
    <mergeCell ref="D58:E58"/>
    <mergeCell ref="D59:E59"/>
    <mergeCell ref="D60:E60"/>
    <mergeCell ref="D61:E61"/>
    <mergeCell ref="D62:E62"/>
    <mergeCell ref="D63:E63"/>
    <mergeCell ref="D64:E64"/>
    <mergeCell ref="D65:E65"/>
    <mergeCell ref="D66:E66"/>
    <mergeCell ref="D67:E67"/>
    <mergeCell ref="D68:E68"/>
    <mergeCell ref="B81:O81"/>
    <mergeCell ref="D70:E70"/>
    <mergeCell ref="D71:E71"/>
    <mergeCell ref="D72:E72"/>
    <mergeCell ref="D73:E73"/>
    <mergeCell ref="D74:E74"/>
    <mergeCell ref="D75:E75"/>
    <mergeCell ref="D76:E76"/>
    <mergeCell ref="D77:E77"/>
    <mergeCell ref="D78:E78"/>
    <mergeCell ref="D79:E79"/>
    <mergeCell ref="D80:E80"/>
    <mergeCell ref="B98:I98"/>
    <mergeCell ref="B83:J83"/>
    <mergeCell ref="B85:F85"/>
    <mergeCell ref="B87:D87"/>
    <mergeCell ref="B88:D88"/>
    <mergeCell ref="B89:D89"/>
    <mergeCell ref="B90:D90"/>
    <mergeCell ref="B91:C91"/>
    <mergeCell ref="B92:C92"/>
    <mergeCell ref="B93:D93"/>
    <mergeCell ref="B96:I96"/>
    <mergeCell ref="B97:I97"/>
  </mergeCells>
  <dataValidations count="2">
    <dataValidation type="decimal" allowBlank="1" showInputMessage="1" showErrorMessage="1" error="Tener en cuenta que las cooperativas de vigilancia y seguridad privada, podrán descontar del valor de la tarifa hasta el diez por ciento (10%)," sqref="F21" xr:uid="{ABFA4D9E-F5E4-4C61-9700-6D52312251F0}">
      <formula1>0</formula1>
      <formula2>0.1</formula2>
    </dataValidation>
    <dataValidation type="list" allowBlank="1" showInputMessage="1" showErrorMessage="1" sqref="F20" xr:uid="{B02CEC85-95E2-4225-A347-8C9038F4EEBE}">
      <formula1>"EMPRESA, COOPERATIVA"</formula1>
    </dataValidation>
  </dataValidations>
  <pageMargins left="0.70866141732283472" right="0.70866141732283472" top="0.74803149606299213" bottom="0.74803149606299213" header="0.31496062992125984" footer="0.31496062992125984"/>
  <pageSetup scale="43" orientation="portrait" r:id="rId1"/>
  <headerFooter>
    <oddFooter xml:space="preserve">&amp;C&amp;P/&amp;N
</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41AD5F-6043-4967-ABFA-550175297BC0}">
  <sheetPr>
    <tabColor rgb="FFFFFFCC"/>
  </sheetPr>
  <dimension ref="A1:Y99"/>
  <sheetViews>
    <sheetView showGridLines="0" zoomScale="80" zoomScaleNormal="80" zoomScaleSheetLayoutView="90" workbookViewId="0">
      <selection activeCell="G21" sqref="G21:G22"/>
    </sheetView>
  </sheetViews>
  <sheetFormatPr baseColWidth="10" defaultColWidth="0" defaultRowHeight="12.65" customHeight="1" zeroHeight="1"/>
  <cols>
    <col min="1" max="1" width="2" style="4" customWidth="1"/>
    <col min="2" max="2" width="13.81640625" style="4" customWidth="1"/>
    <col min="3" max="3" width="30" style="4" customWidth="1"/>
    <col min="4" max="4" width="25.81640625" style="4" customWidth="1"/>
    <col min="5" max="5" width="32.1796875" style="5" customWidth="1"/>
    <col min="6" max="6" width="15.7265625" style="5" customWidth="1"/>
    <col min="7" max="7" width="24.1796875" style="4" customWidth="1"/>
    <col min="8" max="8" width="23.54296875" style="4" customWidth="1"/>
    <col min="9" max="9" width="22.26953125" style="4" customWidth="1"/>
    <col min="10" max="10" width="21.54296875" style="4" customWidth="1"/>
    <col min="11" max="11" width="23.1796875" style="4" customWidth="1"/>
    <col min="12" max="12" width="20.81640625" style="4" customWidth="1"/>
    <col min="13" max="13" width="23.7265625" style="4" customWidth="1"/>
    <col min="14" max="14" width="21" style="4" customWidth="1"/>
    <col min="15" max="15" width="22.81640625" style="4" customWidth="1"/>
    <col min="16" max="16" width="23.7265625" style="4" customWidth="1"/>
    <col min="17" max="21" width="18.1796875" style="4" customWidth="1"/>
    <col min="22" max="23" width="18.54296875" style="4" customWidth="1"/>
    <col min="24" max="25" width="18.54296875" style="4" hidden="1" customWidth="1"/>
    <col min="26" max="16384" width="11.453125" style="4" hidden="1"/>
  </cols>
  <sheetData>
    <row r="1" spans="2:12" s="2" customFormat="1" ht="12.75" customHeight="1">
      <c r="E1" s="3"/>
      <c r="F1" s="3"/>
    </row>
    <row r="2" spans="2:12" s="2" customFormat="1" ht="21.75" customHeight="1">
      <c r="B2" s="268" t="s">
        <v>81</v>
      </c>
      <c r="C2" s="269"/>
      <c r="D2" s="269"/>
      <c r="E2" s="269"/>
      <c r="F2" s="269"/>
      <c r="G2" s="269"/>
      <c r="H2" s="269"/>
      <c r="I2" s="269"/>
      <c r="J2" s="269"/>
      <c r="K2" s="270"/>
      <c r="L2" s="257" t="s">
        <v>0</v>
      </c>
    </row>
    <row r="3" spans="2:12" s="2" customFormat="1" ht="21.75" customHeight="1">
      <c r="B3" s="271"/>
      <c r="C3" s="272"/>
      <c r="D3" s="272"/>
      <c r="E3" s="272"/>
      <c r="F3" s="272"/>
      <c r="G3" s="272"/>
      <c r="H3" s="272"/>
      <c r="I3" s="272"/>
      <c r="J3" s="272"/>
      <c r="K3" s="273"/>
      <c r="L3" s="257"/>
    </row>
    <row r="4" spans="2:12" s="2" customFormat="1" ht="21.75" customHeight="1">
      <c r="B4" s="274"/>
      <c r="C4" s="275"/>
      <c r="D4" s="275"/>
      <c r="E4" s="275"/>
      <c r="F4" s="275"/>
      <c r="G4" s="275"/>
      <c r="H4" s="275"/>
      <c r="I4" s="275"/>
      <c r="J4" s="275"/>
      <c r="K4" s="276"/>
      <c r="L4" s="257"/>
    </row>
    <row r="5" spans="2:12" s="2" customFormat="1" ht="5.25" customHeight="1">
      <c r="E5" s="3"/>
      <c r="F5" s="3"/>
    </row>
    <row r="6" spans="2:12" s="2" customFormat="1" ht="15.75" customHeight="1">
      <c r="B6" s="169" t="s">
        <v>81</v>
      </c>
      <c r="C6" s="169"/>
      <c r="D6" s="169"/>
      <c r="E6" s="169"/>
      <c r="F6" s="169"/>
      <c r="G6" s="169"/>
      <c r="H6" s="169"/>
      <c r="I6" s="169"/>
      <c r="J6" s="169"/>
      <c r="K6" s="169"/>
      <c r="L6" s="169"/>
    </row>
    <row r="7" spans="2:12" s="2" customFormat="1" ht="32.25" customHeight="1">
      <c r="B7" s="201" t="s">
        <v>82</v>
      </c>
      <c r="C7" s="201"/>
      <c r="D7" s="265" t="s">
        <v>1147</v>
      </c>
      <c r="E7" s="266"/>
      <c r="F7" s="266"/>
      <c r="G7" s="266"/>
      <c r="H7" s="266"/>
      <c r="I7" s="266"/>
      <c r="J7" s="266"/>
      <c r="K7" s="266"/>
      <c r="L7" s="267"/>
    </row>
    <row r="8" spans="2:12" s="2" customFormat="1" ht="36" customHeight="1">
      <c r="B8" s="87" t="s">
        <v>1229</v>
      </c>
      <c r="C8" s="277" t="s">
        <v>1280</v>
      </c>
      <c r="D8" s="278"/>
      <c r="E8" s="88" t="s">
        <v>1231</v>
      </c>
      <c r="F8" s="52" t="s">
        <v>1281</v>
      </c>
      <c r="G8" s="88" t="s">
        <v>1233</v>
      </c>
      <c r="H8" s="52" t="s">
        <v>1282</v>
      </c>
      <c r="I8" s="279" t="s">
        <v>1235</v>
      </c>
      <c r="J8" s="279"/>
      <c r="K8" s="280" t="s">
        <v>1283</v>
      </c>
      <c r="L8" s="281"/>
    </row>
    <row r="9" spans="2:12" s="2" customFormat="1" ht="33" customHeight="1">
      <c r="B9" s="89" t="s">
        <v>1237</v>
      </c>
      <c r="C9" s="280" t="s">
        <v>1284</v>
      </c>
      <c r="D9" s="282"/>
      <c r="E9" s="281"/>
      <c r="F9" s="88" t="s">
        <v>1239</v>
      </c>
      <c r="G9" s="277" t="s">
        <v>1285</v>
      </c>
      <c r="H9" s="278"/>
      <c r="I9" s="90" t="s">
        <v>1241</v>
      </c>
      <c r="J9" s="52" t="s">
        <v>1286</v>
      </c>
      <c r="K9" s="91" t="s">
        <v>1243</v>
      </c>
      <c r="L9" s="52" t="s">
        <v>1287</v>
      </c>
    </row>
    <row r="10" spans="2:12" s="2" customFormat="1" ht="5.15" customHeight="1">
      <c r="B10" s="285"/>
      <c r="C10" s="286"/>
      <c r="D10" s="286"/>
      <c r="E10" s="286"/>
      <c r="F10" s="286"/>
      <c r="G10" s="286"/>
      <c r="H10" s="286"/>
      <c r="I10" s="286"/>
      <c r="J10" s="286"/>
      <c r="K10" s="286"/>
      <c r="L10" s="287"/>
    </row>
    <row r="11" spans="2:12" s="2" customFormat="1" ht="8.25" customHeight="1">
      <c r="B11" s="68"/>
      <c r="C11" s="68"/>
      <c r="D11" s="68"/>
      <c r="E11" s="68"/>
      <c r="F11" s="68"/>
      <c r="G11" s="68"/>
      <c r="H11" s="68"/>
      <c r="I11" s="68"/>
      <c r="J11" s="68"/>
      <c r="K11" s="68"/>
      <c r="L11" s="68"/>
    </row>
    <row r="12" spans="2:12" s="2" customFormat="1" ht="8.25" customHeight="1">
      <c r="B12" s="68"/>
      <c r="C12" s="68"/>
      <c r="D12" s="68"/>
      <c r="E12" s="68"/>
      <c r="F12" s="68"/>
      <c r="G12" s="68"/>
      <c r="H12" s="68"/>
      <c r="I12" s="68"/>
      <c r="J12" s="68"/>
      <c r="K12" s="68"/>
      <c r="L12" s="68"/>
    </row>
    <row r="13" spans="2:12" s="2" customFormat="1" ht="104.25" customHeight="1">
      <c r="B13" s="283" t="s">
        <v>1197</v>
      </c>
      <c r="C13" s="283"/>
      <c r="D13" s="283"/>
      <c r="E13" s="283"/>
      <c r="F13" s="283"/>
      <c r="G13" s="283"/>
      <c r="H13" s="283"/>
      <c r="I13" s="283"/>
      <c r="J13" s="283"/>
      <c r="K13" s="283"/>
      <c r="L13" s="283"/>
    </row>
    <row r="14" spans="2:12" s="2" customFormat="1" ht="8.25" customHeight="1">
      <c r="B14" s="68"/>
      <c r="C14" s="68"/>
      <c r="D14" s="68"/>
      <c r="E14" s="68"/>
      <c r="F14" s="68"/>
      <c r="G14" s="68"/>
      <c r="H14" s="68"/>
      <c r="I14" s="68"/>
      <c r="J14" s="68"/>
      <c r="K14" s="68"/>
      <c r="L14" s="68"/>
    </row>
    <row r="15" spans="2:12" s="2" customFormat="1" ht="180" customHeight="1">
      <c r="B15" s="284" t="s">
        <v>1226</v>
      </c>
      <c r="C15" s="284"/>
      <c r="D15" s="284"/>
      <c r="E15" s="284"/>
      <c r="F15" s="284"/>
      <c r="G15" s="284"/>
      <c r="H15" s="284"/>
      <c r="I15" s="284"/>
      <c r="J15" s="284"/>
      <c r="K15" s="284"/>
      <c r="L15" s="284"/>
    </row>
    <row r="16" spans="2:12" s="2" customFormat="1" ht="8.25" customHeight="1">
      <c r="B16" s="68"/>
      <c r="C16" s="68"/>
      <c r="D16" s="68"/>
      <c r="E16" s="68"/>
      <c r="F16" s="68"/>
      <c r="G16" s="68"/>
      <c r="H16" s="68"/>
      <c r="I16" s="68"/>
      <c r="J16" s="68"/>
      <c r="K16" s="68"/>
      <c r="L16" s="68"/>
    </row>
    <row r="17" spans="2:14" s="2" customFormat="1" ht="23.25" customHeight="1">
      <c r="B17" s="171" t="s">
        <v>115</v>
      </c>
      <c r="C17" s="172"/>
      <c r="D17" s="172"/>
      <c r="E17" s="172"/>
      <c r="F17" s="172"/>
      <c r="G17" s="172"/>
      <c r="H17" s="172"/>
      <c r="I17" s="172"/>
      <c r="J17" s="172"/>
      <c r="K17" s="172"/>
      <c r="L17" s="197"/>
    </row>
    <row r="18" spans="2:14" s="2" customFormat="1" ht="8.25" customHeight="1">
      <c r="B18" s="68"/>
      <c r="C18" s="68"/>
      <c r="D18" s="68"/>
      <c r="E18" s="68"/>
      <c r="F18" s="68"/>
      <c r="G18" s="68"/>
      <c r="H18" s="68"/>
      <c r="I18" s="68"/>
      <c r="J18" s="68"/>
      <c r="K18" s="68"/>
      <c r="L18" s="68"/>
    </row>
    <row r="19" spans="2:14" s="2" customFormat="1" ht="8.25" customHeight="1">
      <c r="B19" s="68"/>
      <c r="C19" s="68"/>
      <c r="D19" s="68"/>
      <c r="E19" s="68"/>
      <c r="F19" s="68"/>
      <c r="G19" s="68"/>
      <c r="H19" s="68"/>
      <c r="I19" s="68"/>
      <c r="J19" s="68"/>
      <c r="K19" s="68"/>
      <c r="L19" s="68"/>
    </row>
    <row r="20" spans="2:14" s="2" customFormat="1" ht="29.25" customHeight="1">
      <c r="B20" s="67">
        <v>1</v>
      </c>
      <c r="C20" s="264" t="s">
        <v>116</v>
      </c>
      <c r="D20" s="264"/>
      <c r="E20" s="264"/>
      <c r="F20" s="51" t="s">
        <v>1227</v>
      </c>
      <c r="G20" s="68"/>
      <c r="M20" s="263"/>
      <c r="N20" s="263"/>
    </row>
    <row r="21" spans="2:14" s="2" customFormat="1" ht="29.25" customHeight="1">
      <c r="B21" s="67">
        <v>2</v>
      </c>
      <c r="C21" s="264" t="s">
        <v>117</v>
      </c>
      <c r="D21" s="264"/>
      <c r="E21" s="264"/>
      <c r="F21" s="52"/>
      <c r="G21" s="68"/>
      <c r="M21" s="263"/>
      <c r="N21" s="263"/>
    </row>
    <row r="22" spans="2:14" s="2" customFormat="1" ht="29.25" customHeight="1">
      <c r="G22" s="68"/>
      <c r="M22" s="263"/>
      <c r="N22" s="263"/>
    </row>
    <row r="23" spans="2:14" s="2" customFormat="1" ht="43.5" customHeight="1">
      <c r="B23" s="201" t="s">
        <v>118</v>
      </c>
      <c r="C23" s="169" t="s">
        <v>1146</v>
      </c>
      <c r="D23" s="169"/>
      <c r="E23" s="169"/>
      <c r="F23" s="169"/>
      <c r="G23" s="29" t="s">
        <v>119</v>
      </c>
      <c r="H23" s="29" t="s">
        <v>119</v>
      </c>
      <c r="I23" s="29" t="s">
        <v>119</v>
      </c>
      <c r="L23" s="69"/>
      <c r="M23" s="69"/>
    </row>
    <row r="24" spans="2:14" s="2" customFormat="1" ht="29.25" customHeight="1">
      <c r="B24" s="201"/>
      <c r="C24" s="29" t="s">
        <v>104</v>
      </c>
      <c r="D24" s="29" t="s">
        <v>105</v>
      </c>
      <c r="E24" s="29" t="s">
        <v>106</v>
      </c>
      <c r="F24" s="37" t="s">
        <v>107</v>
      </c>
      <c r="G24" s="29">
        <v>2024</v>
      </c>
      <c r="H24" s="29">
        <v>2025</v>
      </c>
      <c r="I24" s="29">
        <v>2026</v>
      </c>
      <c r="L24" s="69"/>
      <c r="M24" s="69"/>
    </row>
    <row r="25" spans="2:14" s="2" customFormat="1" ht="33.75" customHeight="1">
      <c r="B25" s="201"/>
      <c r="C25" s="62">
        <v>24</v>
      </c>
      <c r="D25" s="63" t="s">
        <v>108</v>
      </c>
      <c r="E25" s="63" t="s">
        <v>109</v>
      </c>
      <c r="F25" s="63" t="s">
        <v>90</v>
      </c>
      <c r="G25" s="53">
        <f>(24*3/24*2500)</f>
        <v>7500</v>
      </c>
      <c r="H25" s="53">
        <f>(24*3/24*2550)</f>
        <v>7650</v>
      </c>
      <c r="I25" s="53">
        <f>(24*3/24*2600)</f>
        <v>7800</v>
      </c>
      <c r="M25" s="69"/>
    </row>
    <row r="26" spans="2:14" s="2" customFormat="1" ht="33.75" customHeight="1">
      <c r="B26" s="201"/>
      <c r="C26" s="62">
        <v>24</v>
      </c>
      <c r="D26" s="63" t="s">
        <v>108</v>
      </c>
      <c r="E26" s="63" t="s">
        <v>109</v>
      </c>
      <c r="F26" s="63" t="s">
        <v>92</v>
      </c>
      <c r="G26" s="53">
        <f>(24*3/24*2500)</f>
        <v>7500</v>
      </c>
      <c r="H26" s="53">
        <f>(24*3/24*2550)</f>
        <v>7650</v>
      </c>
      <c r="I26" s="53">
        <f>(24*3/24*2600)</f>
        <v>7800</v>
      </c>
      <c r="M26" s="69"/>
    </row>
    <row r="27" spans="2:14" s="2" customFormat="1" ht="33.75" customHeight="1">
      <c r="B27" s="201"/>
      <c r="C27" s="62">
        <v>24</v>
      </c>
      <c r="D27" s="63" t="s">
        <v>1143</v>
      </c>
      <c r="E27" s="63" t="s">
        <v>109</v>
      </c>
      <c r="F27" s="63" t="s">
        <v>92</v>
      </c>
      <c r="G27" s="53">
        <f>(24*3/24*2500/30*10)</f>
        <v>2500</v>
      </c>
      <c r="H27" s="53">
        <f>(24*3/24*2550/30*10)</f>
        <v>2550</v>
      </c>
      <c r="I27" s="53">
        <f>(24*3/24*2600/30*10)</f>
        <v>2600</v>
      </c>
      <c r="M27" s="69"/>
    </row>
    <row r="28" spans="2:14" s="2" customFormat="1" ht="33.75" customHeight="1">
      <c r="B28" s="201"/>
      <c r="C28" s="62">
        <v>12</v>
      </c>
      <c r="D28" s="63" t="s">
        <v>110</v>
      </c>
      <c r="E28" s="63" t="s">
        <v>111</v>
      </c>
      <c r="F28" s="63" t="s">
        <v>1144</v>
      </c>
      <c r="G28" s="53">
        <f>(12*3/24*2500/30*20)</f>
        <v>2500</v>
      </c>
      <c r="H28" s="53">
        <f>(12*3/24*2550/30*20)</f>
        <v>2550</v>
      </c>
      <c r="I28" s="53">
        <f>(12*3/24*2600/30*20)</f>
        <v>2600</v>
      </c>
      <c r="M28" s="69"/>
    </row>
    <row r="29" spans="2:14" s="2" customFormat="1" ht="33.75" customHeight="1">
      <c r="B29" s="201"/>
      <c r="C29" s="62">
        <v>12</v>
      </c>
      <c r="D29" s="63" t="s">
        <v>110</v>
      </c>
      <c r="E29" s="66" t="s">
        <v>1190</v>
      </c>
      <c r="F29" s="63" t="s">
        <v>90</v>
      </c>
      <c r="G29" s="53">
        <f>(12*3/24*2500/30*20)</f>
        <v>2500</v>
      </c>
      <c r="H29" s="53">
        <f>(12*3/24*2550/30*20)</f>
        <v>2550</v>
      </c>
      <c r="I29" s="53">
        <f>(12*3/24*2600/30*20)</f>
        <v>2600</v>
      </c>
      <c r="M29" s="69"/>
    </row>
    <row r="30" spans="2:14" s="2" customFormat="1" ht="33.75" customHeight="1">
      <c r="B30" s="201"/>
      <c r="C30" s="62">
        <v>12</v>
      </c>
      <c r="D30" s="63" t="s">
        <v>108</v>
      </c>
      <c r="E30" s="63" t="s">
        <v>111</v>
      </c>
      <c r="F30" s="63" t="s">
        <v>90</v>
      </c>
      <c r="G30" s="53">
        <f>(12*3/24*2500)</f>
        <v>3750</v>
      </c>
      <c r="H30" s="53">
        <f>(12*3/24*2550)</f>
        <v>3825</v>
      </c>
      <c r="I30" s="53">
        <f>(12*3/24*2600)</f>
        <v>3900</v>
      </c>
      <c r="M30" s="69"/>
    </row>
    <row r="31" spans="2:14" s="2" customFormat="1" ht="29.25" customHeight="1">
      <c r="G31" s="98">
        <f>SUM(G25:G30)</f>
        <v>26250</v>
      </c>
      <c r="H31" s="98">
        <f>SUM(H25:H30)</f>
        <v>26775</v>
      </c>
      <c r="I31" s="98">
        <f>SUM(I25:I30)</f>
        <v>27300</v>
      </c>
      <c r="M31" s="69"/>
      <c r="N31" s="69"/>
    </row>
    <row r="32" spans="2:14" s="2" customFormat="1" ht="29.25" customHeight="1">
      <c r="B32" s="200" t="s">
        <v>120</v>
      </c>
      <c r="C32" s="200"/>
      <c r="D32" s="200"/>
      <c r="E32" s="200"/>
      <c r="F32" s="200"/>
      <c r="G32" s="200"/>
      <c r="H32" s="200"/>
      <c r="I32" s="200"/>
      <c r="J32" s="200"/>
      <c r="K32" s="200"/>
      <c r="L32" s="200"/>
      <c r="M32" s="200"/>
      <c r="N32" s="69"/>
    </row>
    <row r="33" spans="1:22" s="2" customFormat="1" ht="6.75" customHeight="1">
      <c r="A33" s="70"/>
      <c r="B33" s="70"/>
      <c r="C33" s="70"/>
      <c r="D33" s="70"/>
      <c r="E33" s="70"/>
      <c r="F33" s="70"/>
      <c r="G33" s="70"/>
      <c r="H33" s="70"/>
      <c r="I33" s="70"/>
      <c r="J33" s="70"/>
      <c r="K33" s="70"/>
      <c r="L33" s="70"/>
      <c r="M33" s="70"/>
      <c r="N33" s="69"/>
    </row>
    <row r="34" spans="1:22" s="2" customFormat="1" ht="46.5" customHeight="1">
      <c r="A34" s="70"/>
      <c r="B34" s="70"/>
      <c r="C34" s="70"/>
      <c r="D34" s="70"/>
      <c r="E34" s="70"/>
      <c r="F34" s="68"/>
      <c r="G34" s="68"/>
      <c r="H34" s="67" t="s">
        <v>1198</v>
      </c>
      <c r="I34" s="59" t="s">
        <v>1210</v>
      </c>
      <c r="J34" s="59" t="s">
        <v>1205</v>
      </c>
      <c r="K34" s="59" t="s">
        <v>1206</v>
      </c>
      <c r="L34" s="59" t="s">
        <v>1207</v>
      </c>
      <c r="M34" s="59" t="s">
        <v>1208</v>
      </c>
    </row>
    <row r="35" spans="1:22" s="2" customFormat="1" ht="29.25" customHeight="1">
      <c r="F35" s="202" t="s">
        <v>122</v>
      </c>
      <c r="G35" s="203"/>
      <c r="H35" s="71">
        <f>SUM(I35:M35)</f>
        <v>25</v>
      </c>
      <c r="I35" s="72">
        <v>1</v>
      </c>
      <c r="J35" s="80">
        <v>6.5</v>
      </c>
      <c r="K35" s="80">
        <v>5.5</v>
      </c>
      <c r="L35" s="80">
        <v>6.5</v>
      </c>
      <c r="M35" s="80">
        <v>5.5</v>
      </c>
    </row>
    <row r="36" spans="1:22" s="2" customFormat="1" ht="29.25" customHeight="1">
      <c r="B36" s="70"/>
      <c r="C36" s="70"/>
      <c r="D36" s="70"/>
      <c r="E36" s="70"/>
      <c r="F36" s="202" t="s">
        <v>1191</v>
      </c>
      <c r="G36" s="203"/>
      <c r="H36" s="38" t="s">
        <v>1211</v>
      </c>
      <c r="I36" s="38">
        <f>'[30]RESUMEN CIRCULAR_DECRETO'!N26</f>
        <v>1300000</v>
      </c>
      <c r="J36" s="38">
        <f>'[30]RESUMEN CIRCULAR_DECRETO'!N27</f>
        <v>1410500</v>
      </c>
      <c r="K36" s="38">
        <f>'[30]RESUMEN CIRCULAR_DECRETO'!N27</f>
        <v>1410500</v>
      </c>
      <c r="L36" s="38">
        <f>'[30]RESUMEN CIRCULAR_DECRETO'!N28</f>
        <v>1504157.2</v>
      </c>
      <c r="M36" s="38">
        <f>'[30]RESUMEN CIRCULAR_DECRETO'!N28</f>
        <v>1504157.2</v>
      </c>
    </row>
    <row r="37" spans="1:22" s="2" customFormat="1" ht="29.25" customHeight="1">
      <c r="B37" s="70"/>
      <c r="C37" s="70"/>
      <c r="D37" s="70"/>
      <c r="E37" s="70"/>
      <c r="F37" s="83"/>
      <c r="G37" s="83"/>
      <c r="H37" s="84"/>
      <c r="I37" s="84"/>
      <c r="J37" s="84"/>
      <c r="K37" s="84"/>
      <c r="L37" s="82"/>
      <c r="M37" s="82"/>
    </row>
    <row r="38" spans="1:22" s="2" customFormat="1" ht="24" customHeight="1">
      <c r="B38" s="200" t="s">
        <v>1192</v>
      </c>
      <c r="C38" s="200"/>
      <c r="D38" s="200"/>
      <c r="E38" s="200"/>
      <c r="F38" s="200"/>
      <c r="G38" s="200"/>
      <c r="H38" s="200"/>
      <c r="I38" s="200"/>
      <c r="J38" s="200"/>
      <c r="K38" s="200"/>
      <c r="L38" s="200"/>
      <c r="M38" s="200"/>
      <c r="N38" s="200"/>
      <c r="O38" s="200"/>
      <c r="P38" s="200"/>
      <c r="Q38" s="200"/>
      <c r="R38" s="200"/>
      <c r="S38" s="200"/>
      <c r="T38" s="200"/>
      <c r="U38" s="200"/>
      <c r="V38" s="200"/>
    </row>
    <row r="39" spans="1:22" s="2" customFormat="1" ht="11.25" customHeight="1">
      <c r="M39" s="69"/>
      <c r="N39" s="69"/>
    </row>
    <row r="40" spans="1:22" s="2" customFormat="1" ht="9.75" customHeight="1">
      <c r="C40" s="4"/>
      <c r="D40" s="4"/>
      <c r="E40" s="4"/>
      <c r="F40" s="4"/>
    </row>
    <row r="41" spans="1:22" s="2" customFormat="1" ht="26.25" customHeight="1">
      <c r="B41" s="200" t="s">
        <v>1148</v>
      </c>
      <c r="C41" s="200"/>
      <c r="D41" s="200"/>
      <c r="E41" s="200"/>
      <c r="F41" s="200"/>
      <c r="G41" s="200"/>
      <c r="H41" s="200"/>
      <c r="I41" s="200"/>
      <c r="J41" s="200"/>
      <c r="K41" s="200"/>
      <c r="L41" s="200"/>
      <c r="M41" s="200"/>
      <c r="N41" s="200"/>
      <c r="O41" s="200"/>
      <c r="P41" s="200"/>
      <c r="Q41" s="200"/>
      <c r="R41" s="200"/>
      <c r="S41" s="200"/>
      <c r="T41" s="200"/>
      <c r="U41" s="200"/>
      <c r="V41" s="200"/>
    </row>
    <row r="42" spans="1:22" s="2" customFormat="1" ht="12.5">
      <c r="C42" s="4"/>
      <c r="D42" s="4"/>
      <c r="E42" s="4"/>
      <c r="F42" s="4"/>
      <c r="G42" s="4"/>
      <c r="H42" s="4"/>
    </row>
    <row r="43" spans="1:22" s="2" customFormat="1" ht="70.5" customHeight="1">
      <c r="B43" s="169" t="s">
        <v>123</v>
      </c>
      <c r="C43" s="169"/>
      <c r="D43" s="169"/>
      <c r="E43" s="169"/>
      <c r="F43" s="169" t="s">
        <v>1196</v>
      </c>
      <c r="G43" s="169"/>
      <c r="H43" s="169"/>
      <c r="I43" s="169"/>
      <c r="J43" s="169"/>
      <c r="K43" s="169"/>
      <c r="L43" s="261" t="s">
        <v>1204</v>
      </c>
      <c r="M43" s="262"/>
      <c r="N43" s="261" t="s">
        <v>1205</v>
      </c>
      <c r="O43" s="262"/>
      <c r="P43" s="261" t="s">
        <v>1206</v>
      </c>
      <c r="Q43" s="262"/>
      <c r="R43" s="261" t="s">
        <v>1207</v>
      </c>
      <c r="S43" s="262"/>
      <c r="T43" s="261" t="s">
        <v>1208</v>
      </c>
      <c r="U43" s="262"/>
      <c r="V43" s="29" t="s">
        <v>1198</v>
      </c>
    </row>
    <row r="44" spans="1:22" s="2" customFormat="1" ht="71.25" customHeight="1">
      <c r="B44" s="29" t="s">
        <v>104</v>
      </c>
      <c r="C44" s="29" t="s">
        <v>105</v>
      </c>
      <c r="D44" s="29" t="s">
        <v>106</v>
      </c>
      <c r="E44" s="29" t="s">
        <v>107</v>
      </c>
      <c r="F44" s="29" t="s">
        <v>124</v>
      </c>
      <c r="G44" s="29" t="s">
        <v>1209</v>
      </c>
      <c r="H44" s="29" t="s">
        <v>1199</v>
      </c>
      <c r="I44" s="29" t="s">
        <v>1200</v>
      </c>
      <c r="J44" s="29" t="s">
        <v>1201</v>
      </c>
      <c r="K44" s="29" t="s">
        <v>1202</v>
      </c>
      <c r="L44" s="73" t="s">
        <v>1180</v>
      </c>
      <c r="M44" s="58" t="s">
        <v>1181</v>
      </c>
      <c r="N44" s="73" t="s">
        <v>1182</v>
      </c>
      <c r="O44" s="58" t="s">
        <v>1183</v>
      </c>
      <c r="P44" s="73" t="s">
        <v>1182</v>
      </c>
      <c r="Q44" s="58" t="s">
        <v>1183</v>
      </c>
      <c r="R44" s="73" t="s">
        <v>1182</v>
      </c>
      <c r="S44" s="58" t="s">
        <v>1183</v>
      </c>
      <c r="T44" s="73" t="s">
        <v>1182</v>
      </c>
      <c r="U44" s="58" t="s">
        <v>1183</v>
      </c>
      <c r="V44" s="29" t="s">
        <v>1213</v>
      </c>
    </row>
    <row r="45" spans="1:22" s="2" customFormat="1" ht="30.75" customHeight="1">
      <c r="B45" s="62">
        <v>24</v>
      </c>
      <c r="C45" s="63" t="s">
        <v>108</v>
      </c>
      <c r="D45" s="63" t="s">
        <v>109</v>
      </c>
      <c r="E45" s="63" t="s">
        <v>90</v>
      </c>
      <c r="F45" s="59">
        <v>5</v>
      </c>
      <c r="G45" s="38">
        <f>IF(F45=0,"No se requiere",'[30]RESUMEN CIRCULAR_DECRETO'!H33)</f>
        <v>12840660</v>
      </c>
      <c r="H45" s="38">
        <f>IF(F45=0,"No se requiere",'[30]RESUMEN CIRCULAR_DECRETO'!K33)</f>
        <v>13931590</v>
      </c>
      <c r="I45" s="38">
        <f>IF(G45=0,"No se requiere",'[30]RESUMEN CIRCULAR_DECRETO'!N33)</f>
        <v>14160091</v>
      </c>
      <c r="J45" s="38">
        <f>IF(H45=0,"No se requiere",'[30]RESUMEN CIRCULAR_DECRETO'!Q33)</f>
        <v>15099934</v>
      </c>
      <c r="K45" s="38">
        <f>IF(I45=0,"No se requiere",'[30]RESUMEN CIRCULAR_DECRETO'!T33)</f>
        <v>15148669</v>
      </c>
      <c r="L45" s="39">
        <f t="shared" ref="L45:L50" si="0">G45*F45</f>
        <v>64203300</v>
      </c>
      <c r="M45" s="39">
        <f>ROUND(L45*$I$35,0)</f>
        <v>64203300</v>
      </c>
      <c r="N45" s="39">
        <f t="shared" ref="N45:N50" si="1">H45*F45</f>
        <v>69657950</v>
      </c>
      <c r="O45" s="39">
        <f>ROUND(N45*$J$35,0)</f>
        <v>452776675</v>
      </c>
      <c r="P45" s="39">
        <f>I45*F45</f>
        <v>70800455</v>
      </c>
      <c r="Q45" s="39">
        <f>ROUND(P45*$K$35,0)</f>
        <v>389402503</v>
      </c>
      <c r="R45" s="39">
        <f>J45*F45</f>
        <v>75499670</v>
      </c>
      <c r="S45" s="39">
        <f>ROUND(R45*$L$35,0)</f>
        <v>490747855</v>
      </c>
      <c r="T45" s="39">
        <f>K45*F45</f>
        <v>75743345</v>
      </c>
      <c r="U45" s="39">
        <f>ROUND(T45*$M$35,0)</f>
        <v>416588398</v>
      </c>
      <c r="V45" s="81">
        <f>O45+M45+Q45+S45+U45</f>
        <v>1813718731</v>
      </c>
    </row>
    <row r="46" spans="1:22" s="2" customFormat="1" ht="30.75" customHeight="1">
      <c r="B46" s="62">
        <v>24</v>
      </c>
      <c r="C46" s="63" t="s">
        <v>108</v>
      </c>
      <c r="D46" s="63" t="s">
        <v>109</v>
      </c>
      <c r="E46" s="63" t="s">
        <v>92</v>
      </c>
      <c r="F46" s="59">
        <v>11</v>
      </c>
      <c r="G46" s="38">
        <f>IF(F46=0,"No se requiere",'[30]RESUMEN CIRCULAR_DECRETO'!H34)</f>
        <v>13078450</v>
      </c>
      <c r="H46" s="38">
        <f>IF(F46=0,"No se requiere",'[30]RESUMEN CIRCULAR_DECRETO'!K34)</f>
        <v>14189582</v>
      </c>
      <c r="I46" s="38">
        <f>IF(G46=0,"No se requiere",'[30]RESUMEN CIRCULAR_DECRETO'!N34)</f>
        <v>14422315</v>
      </c>
      <c r="J46" s="38">
        <f>IF(H46=0,"No se requiere",'[30]RESUMEN CIRCULAR_DECRETO'!Q34)</f>
        <v>15379562</v>
      </c>
      <c r="K46" s="38">
        <f>IF(I46=0,"No se requiere",'[30]RESUMEN CIRCULAR_DECRETO'!T34)</f>
        <v>15429200</v>
      </c>
      <c r="L46" s="39">
        <f t="shared" si="0"/>
        <v>143862950</v>
      </c>
      <c r="M46" s="39">
        <f t="shared" ref="M46:M50" si="2">ROUND(L46*$I$35,0)</f>
        <v>143862950</v>
      </c>
      <c r="N46" s="39">
        <f t="shared" si="1"/>
        <v>156085402</v>
      </c>
      <c r="O46" s="39">
        <f t="shared" ref="O46:O50" si="3">ROUND(N46*$J$35,0)</f>
        <v>1014555113</v>
      </c>
      <c r="P46" s="39">
        <f t="shared" ref="P46:P50" si="4">I46*F46</f>
        <v>158645465</v>
      </c>
      <c r="Q46" s="39">
        <f t="shared" ref="Q46:Q50" si="5">ROUND(P46*$K$35,0)</f>
        <v>872550058</v>
      </c>
      <c r="R46" s="39">
        <f t="shared" ref="R46:R50" si="6">J46*F46</f>
        <v>169175182</v>
      </c>
      <c r="S46" s="39">
        <f t="shared" ref="S46:S50" si="7">ROUND(R46*$L$35,0)</f>
        <v>1099638683</v>
      </c>
      <c r="T46" s="39">
        <f t="shared" ref="T46:T50" si="8">K46*F46</f>
        <v>169721200</v>
      </c>
      <c r="U46" s="39">
        <f t="shared" ref="U46:U50" si="9">ROUND(T46*$M$35,0)</f>
        <v>933466600</v>
      </c>
      <c r="V46" s="81">
        <f t="shared" ref="V46:V50" si="10">O46+M46+Q46+S46+U46</f>
        <v>4064073404</v>
      </c>
    </row>
    <row r="47" spans="1:22" s="2" customFormat="1" ht="30.75" customHeight="1">
      <c r="B47" s="62">
        <v>24</v>
      </c>
      <c r="C47" s="63" t="s">
        <v>1143</v>
      </c>
      <c r="D47" s="63" t="s">
        <v>109</v>
      </c>
      <c r="E47" s="63" t="s">
        <v>92</v>
      </c>
      <c r="F47" s="59">
        <v>1</v>
      </c>
      <c r="G47" s="38">
        <f>IF(F47=0,"No se requiere",'[30]RESUMEN CIRCULAR_DECRETO'!H35)</f>
        <v>4359484</v>
      </c>
      <c r="H47" s="38">
        <f>IF(F47=0,"No se requiere",'[30]RESUMEN CIRCULAR_DECRETO'!K35)</f>
        <v>4729860</v>
      </c>
      <c r="I47" s="38">
        <f>IF(G47=0,"No se requiere",'[30]RESUMEN CIRCULAR_DECRETO'!N35)</f>
        <v>4807438</v>
      </c>
      <c r="J47" s="38">
        <f>IF(H47=0,"No se requiere",'[30]RESUMEN CIRCULAR_DECRETO'!Q35)</f>
        <v>5126520</v>
      </c>
      <c r="K47" s="38">
        <f>IF(I47=0,"No se requiere",'[30]RESUMEN CIRCULAR_DECRETO'!T35)</f>
        <v>5143067</v>
      </c>
      <c r="L47" s="39">
        <f t="shared" si="0"/>
        <v>4359484</v>
      </c>
      <c r="M47" s="39">
        <f t="shared" si="2"/>
        <v>4359484</v>
      </c>
      <c r="N47" s="39">
        <f t="shared" si="1"/>
        <v>4729860</v>
      </c>
      <c r="O47" s="39">
        <f t="shared" si="3"/>
        <v>30744090</v>
      </c>
      <c r="P47" s="39">
        <f t="shared" si="4"/>
        <v>4807438</v>
      </c>
      <c r="Q47" s="39">
        <f t="shared" si="5"/>
        <v>26440909</v>
      </c>
      <c r="R47" s="39">
        <f t="shared" si="6"/>
        <v>5126520</v>
      </c>
      <c r="S47" s="39">
        <f t="shared" si="7"/>
        <v>33322380</v>
      </c>
      <c r="T47" s="39">
        <f t="shared" si="8"/>
        <v>5143067</v>
      </c>
      <c r="U47" s="39">
        <f t="shared" si="9"/>
        <v>28286869</v>
      </c>
      <c r="V47" s="81">
        <f t="shared" si="10"/>
        <v>123153732</v>
      </c>
    </row>
    <row r="48" spans="1:22" s="2" customFormat="1" ht="30.75" customHeight="1">
      <c r="B48" s="62">
        <v>12</v>
      </c>
      <c r="C48" s="63" t="s">
        <v>110</v>
      </c>
      <c r="D48" s="63" t="s">
        <v>111</v>
      </c>
      <c r="E48" s="63" t="s">
        <v>1144</v>
      </c>
      <c r="F48" s="59">
        <v>1</v>
      </c>
      <c r="G48" s="38">
        <f>IF(F48=0,"No se requiere",'[30]RESUMEN CIRCULAR_DECRETO'!H36)</f>
        <v>3904292</v>
      </c>
      <c r="H48" s="38">
        <f>IF(F48=0,"No se requiere",'[30]RESUMEN CIRCULAR_DECRETO'!K36)</f>
        <v>4235978</v>
      </c>
      <c r="I48" s="38">
        <f>IF(G48=0,"No se requiere",'[30]RESUMEN CIRCULAR_DECRETO'!N36)</f>
        <v>4305451</v>
      </c>
      <c r="J48" s="38">
        <f>IF(H48=0,"No se requiere",'[30]RESUMEN CIRCULAR_DECRETO'!Q36)</f>
        <v>4591201</v>
      </c>
      <c r="K48" s="38">
        <f>IF(I48=0,"No se requiere",'[30]RESUMEN CIRCULAR_DECRETO'!T36)</f>
        <v>4606018</v>
      </c>
      <c r="L48" s="39">
        <f t="shared" si="0"/>
        <v>3904292</v>
      </c>
      <c r="M48" s="39">
        <f t="shared" si="2"/>
        <v>3904292</v>
      </c>
      <c r="N48" s="39">
        <f t="shared" si="1"/>
        <v>4235978</v>
      </c>
      <c r="O48" s="39">
        <f t="shared" si="3"/>
        <v>27533857</v>
      </c>
      <c r="P48" s="39">
        <f t="shared" si="4"/>
        <v>4305451</v>
      </c>
      <c r="Q48" s="39">
        <f t="shared" si="5"/>
        <v>23679981</v>
      </c>
      <c r="R48" s="39">
        <f t="shared" si="6"/>
        <v>4591201</v>
      </c>
      <c r="S48" s="39">
        <f t="shared" si="7"/>
        <v>29842807</v>
      </c>
      <c r="T48" s="39">
        <f t="shared" si="8"/>
        <v>4606018</v>
      </c>
      <c r="U48" s="39">
        <f t="shared" si="9"/>
        <v>25333099</v>
      </c>
      <c r="V48" s="81">
        <f t="shared" si="10"/>
        <v>110294036</v>
      </c>
    </row>
    <row r="49" spans="2:22" s="2" customFormat="1" ht="30.75" customHeight="1">
      <c r="B49" s="62">
        <v>12</v>
      </c>
      <c r="C49" s="63" t="s">
        <v>110</v>
      </c>
      <c r="D49" s="66" t="s">
        <v>1190</v>
      </c>
      <c r="E49" s="63" t="s">
        <v>90</v>
      </c>
      <c r="F49" s="59">
        <v>1</v>
      </c>
      <c r="G49" s="38">
        <f>IF(F49=0,"No se requiere",'[30]RESUMEN CIRCULAR_DECRETO'!H37)</f>
        <v>4727135</v>
      </c>
      <c r="H49" s="38">
        <f>IF(F49=0,"No se requiere",'[30]RESUMEN CIRCULAR_DECRETO'!K37)</f>
        <v>5128767</v>
      </c>
      <c r="I49" s="38">
        <f>IF(G49=0,"No se requiere",'[30]RESUMEN CIRCULAR_DECRETO'!N37)</f>
        <v>5212891</v>
      </c>
      <c r="J49" s="38">
        <f>IF(H49=0,"No se requiere",'[30]RESUMEN CIRCULAR_DECRETO'!Q37)</f>
        <v>5558898</v>
      </c>
      <c r="K49" s="38">
        <f>IF(I49=0,"No se requiere",'[30]RESUMEN CIRCULAR_DECRETO'!T37)</f>
        <v>5576840</v>
      </c>
      <c r="L49" s="39">
        <f t="shared" si="0"/>
        <v>4727135</v>
      </c>
      <c r="M49" s="39">
        <f t="shared" si="2"/>
        <v>4727135</v>
      </c>
      <c r="N49" s="39">
        <f t="shared" si="1"/>
        <v>5128767</v>
      </c>
      <c r="O49" s="39">
        <f t="shared" si="3"/>
        <v>33336986</v>
      </c>
      <c r="P49" s="39">
        <f t="shared" si="4"/>
        <v>5212891</v>
      </c>
      <c r="Q49" s="39">
        <f t="shared" si="5"/>
        <v>28670901</v>
      </c>
      <c r="R49" s="39">
        <f t="shared" si="6"/>
        <v>5558898</v>
      </c>
      <c r="S49" s="39">
        <f t="shared" si="7"/>
        <v>36132837</v>
      </c>
      <c r="T49" s="39">
        <f t="shared" si="8"/>
        <v>5576840</v>
      </c>
      <c r="U49" s="39">
        <f t="shared" si="9"/>
        <v>30672620</v>
      </c>
      <c r="V49" s="81">
        <f t="shared" si="10"/>
        <v>133540479</v>
      </c>
    </row>
    <row r="50" spans="2:22" s="2" customFormat="1" ht="30.75" customHeight="1">
      <c r="B50" s="62">
        <v>12</v>
      </c>
      <c r="C50" s="63" t="s">
        <v>108</v>
      </c>
      <c r="D50" s="63" t="s">
        <v>111</v>
      </c>
      <c r="E50" s="63" t="s">
        <v>90</v>
      </c>
      <c r="F50" s="59">
        <v>1</v>
      </c>
      <c r="G50" s="38">
        <f>IF(F50=0,"No se requiere",'[30]RESUMEN CIRCULAR_DECRETO'!H38)</f>
        <v>5749957</v>
      </c>
      <c r="H50" s="38">
        <f>IF(F50=0,"No se requiere",'[30]RESUMEN CIRCULAR_DECRETO'!K38)</f>
        <v>6238440</v>
      </c>
      <c r="I50" s="38">
        <f>IF(G50=0,"No se requiere",'[30]RESUMEN CIRCULAR_DECRETO'!N38)</f>
        <v>6340753</v>
      </c>
      <c r="J50" s="38">
        <f>IF(H50=0,"No se requiere",'[30]RESUMEN CIRCULAR_DECRETO'!Q38)</f>
        <v>6761586</v>
      </c>
      <c r="K50" s="38">
        <f>IF(I50=0,"No se requiere",'[30]RESUMEN CIRCULAR_DECRETO'!T38)</f>
        <v>6783408</v>
      </c>
      <c r="L50" s="39">
        <f t="shared" si="0"/>
        <v>5749957</v>
      </c>
      <c r="M50" s="39">
        <f t="shared" si="2"/>
        <v>5749957</v>
      </c>
      <c r="N50" s="39">
        <f t="shared" si="1"/>
        <v>6238440</v>
      </c>
      <c r="O50" s="39">
        <f t="shared" si="3"/>
        <v>40549860</v>
      </c>
      <c r="P50" s="39">
        <f t="shared" si="4"/>
        <v>6340753</v>
      </c>
      <c r="Q50" s="39">
        <f t="shared" si="5"/>
        <v>34874142</v>
      </c>
      <c r="R50" s="39">
        <f t="shared" si="6"/>
        <v>6761586</v>
      </c>
      <c r="S50" s="39">
        <f t="shared" si="7"/>
        <v>43950309</v>
      </c>
      <c r="T50" s="39">
        <f t="shared" si="8"/>
        <v>6783408</v>
      </c>
      <c r="U50" s="39">
        <f t="shared" si="9"/>
        <v>37308744</v>
      </c>
      <c r="V50" s="81">
        <f t="shared" si="10"/>
        <v>162433012</v>
      </c>
    </row>
    <row r="51" spans="2:22" s="2" customFormat="1" ht="27" customHeight="1">
      <c r="B51" s="201" t="s">
        <v>1212</v>
      </c>
      <c r="C51" s="201"/>
      <c r="D51" s="201"/>
      <c r="E51" s="201"/>
      <c r="F51" s="201"/>
      <c r="G51" s="201"/>
      <c r="H51" s="201"/>
      <c r="I51" s="201"/>
      <c r="J51" s="201"/>
      <c r="K51" s="201"/>
      <c r="L51" s="201"/>
      <c r="M51" s="201"/>
      <c r="N51" s="201"/>
      <c r="O51" s="201"/>
      <c r="P51" s="201"/>
      <c r="Q51" s="201"/>
      <c r="R51" s="201"/>
      <c r="S51" s="201"/>
      <c r="T51" s="201"/>
      <c r="U51" s="201"/>
      <c r="V51" s="81">
        <f>SUM(V45:V50)</f>
        <v>6407213394</v>
      </c>
    </row>
    <row r="52" spans="2:22" s="2" customFormat="1" ht="12.5">
      <c r="C52" s="4"/>
      <c r="D52" s="4"/>
      <c r="E52" s="4"/>
      <c r="F52" s="4"/>
      <c r="G52" s="4"/>
      <c r="H52" s="4"/>
    </row>
    <row r="53" spans="2:22" s="2" customFormat="1" ht="12.5">
      <c r="C53" s="4"/>
      <c r="D53" s="4"/>
      <c r="E53" s="4"/>
      <c r="F53" s="4"/>
      <c r="G53" s="4"/>
      <c r="H53" s="4"/>
    </row>
    <row r="54" spans="2:22" s="2" customFormat="1" ht="27.75" customHeight="1">
      <c r="B54" s="200" t="s">
        <v>1193</v>
      </c>
      <c r="C54" s="200"/>
      <c r="D54" s="200"/>
      <c r="E54" s="200"/>
      <c r="F54" s="200"/>
      <c r="G54" s="200"/>
      <c r="H54" s="200"/>
      <c r="I54" s="200"/>
      <c r="J54" s="200"/>
      <c r="K54" s="200"/>
      <c r="L54" s="200"/>
      <c r="M54" s="200"/>
      <c r="N54" s="200"/>
      <c r="O54" s="200"/>
      <c r="P54" s="200"/>
      <c r="Q54" s="200"/>
      <c r="R54" s="200"/>
      <c r="S54" s="200"/>
      <c r="T54" s="200"/>
      <c r="U54" s="200"/>
      <c r="V54" s="200"/>
    </row>
    <row r="55" spans="2:22" s="2" customFormat="1" ht="12.5">
      <c r="C55" s="4"/>
      <c r="D55" s="4"/>
      <c r="E55" s="4"/>
      <c r="F55" s="4"/>
      <c r="G55" s="4"/>
      <c r="H55" s="4"/>
    </row>
    <row r="56" spans="2:22" s="2" customFormat="1" ht="61.5" customHeight="1">
      <c r="B56" s="169" t="s">
        <v>1194</v>
      </c>
      <c r="C56" s="169"/>
      <c r="D56" s="169"/>
      <c r="E56" s="169"/>
      <c r="F56" s="169" t="s">
        <v>1214</v>
      </c>
      <c r="G56" s="169"/>
      <c r="H56" s="169"/>
      <c r="I56" s="169"/>
      <c r="J56" s="169"/>
      <c r="K56" s="169"/>
      <c r="L56" s="169"/>
      <c r="M56" s="169"/>
      <c r="N56" s="169"/>
      <c r="O56" s="169"/>
      <c r="P56" s="169"/>
    </row>
    <row r="57" spans="2:22" s="2" customFormat="1" ht="60" customHeight="1">
      <c r="B57" s="74" t="s">
        <v>1176</v>
      </c>
      <c r="C57" s="29" t="s">
        <v>1177</v>
      </c>
      <c r="D57" s="173" t="s">
        <v>125</v>
      </c>
      <c r="E57" s="174"/>
      <c r="F57" s="60" t="s">
        <v>124</v>
      </c>
      <c r="G57" s="75" t="s">
        <v>126</v>
      </c>
      <c r="H57" s="75" t="s">
        <v>1215</v>
      </c>
      <c r="I57" s="75" t="s">
        <v>1216</v>
      </c>
      <c r="J57" s="85" t="s">
        <v>1217</v>
      </c>
      <c r="K57" s="85" t="s">
        <v>1218</v>
      </c>
      <c r="L57" s="85" t="s">
        <v>1219</v>
      </c>
      <c r="M57" s="85" t="s">
        <v>1220</v>
      </c>
      <c r="N57" s="85" t="s">
        <v>1221</v>
      </c>
      <c r="O57" s="85" t="s">
        <v>1222</v>
      </c>
      <c r="P57" s="60" t="s">
        <v>1223</v>
      </c>
    </row>
    <row r="58" spans="2:22" s="2" customFormat="1" ht="57.75" customHeight="1">
      <c r="B58" s="59">
        <v>1</v>
      </c>
      <c r="C58" s="67" t="s">
        <v>1149</v>
      </c>
      <c r="D58" s="196" t="s">
        <v>1150</v>
      </c>
      <c r="E58" s="196"/>
      <c r="F58" s="76">
        <v>8</v>
      </c>
      <c r="G58" s="54">
        <v>208000</v>
      </c>
      <c r="H58" s="54">
        <v>228000</v>
      </c>
      <c r="I58" s="54">
        <v>238000</v>
      </c>
      <c r="J58" s="39">
        <f t="shared" ref="J58:J80" si="11">ROUND(G58*F58,0)</f>
        <v>1664000</v>
      </c>
      <c r="K58" s="39">
        <f>J58*$I$35</f>
        <v>1664000</v>
      </c>
      <c r="L58" s="39">
        <f>ROUND(H58*F58,0)</f>
        <v>1824000</v>
      </c>
      <c r="M58" s="39">
        <f>L58*(SUM($J$35:$K$35))</f>
        <v>21888000</v>
      </c>
      <c r="N58" s="39">
        <f>ROUND(I58*F58,0)</f>
        <v>1904000</v>
      </c>
      <c r="O58" s="39">
        <f>N58*(SUM($L$35:$M$35))</f>
        <v>22848000</v>
      </c>
      <c r="P58" s="81">
        <f>K58+M58+O58</f>
        <v>46400000</v>
      </c>
    </row>
    <row r="59" spans="2:22" s="2" customFormat="1" ht="78" customHeight="1">
      <c r="B59" s="59">
        <v>2</v>
      </c>
      <c r="C59" s="67" t="s">
        <v>1149</v>
      </c>
      <c r="D59" s="196" t="s">
        <v>1151</v>
      </c>
      <c r="E59" s="196" t="s">
        <v>1151</v>
      </c>
      <c r="F59" s="76">
        <v>8</v>
      </c>
      <c r="G59" s="54">
        <v>480000</v>
      </c>
      <c r="H59" s="54">
        <v>500000</v>
      </c>
      <c r="I59" s="54">
        <v>550000</v>
      </c>
      <c r="J59" s="39">
        <f t="shared" si="11"/>
        <v>3840000</v>
      </c>
      <c r="K59" s="39">
        <f t="shared" ref="K59:K80" si="12">J59*$I$35</f>
        <v>3840000</v>
      </c>
      <c r="L59" s="39">
        <f t="shared" ref="L59:L80" si="13">ROUND(H59*F59,0)</f>
        <v>4000000</v>
      </c>
      <c r="M59" s="39">
        <f t="shared" ref="M59:M80" si="14">L59*(SUM($J$35:$K$35))</f>
        <v>48000000</v>
      </c>
      <c r="N59" s="39">
        <f t="shared" ref="N59:N80" si="15">ROUND(I59*F59,0)</f>
        <v>4400000</v>
      </c>
      <c r="O59" s="39">
        <f t="shared" ref="O59:O80" si="16">N59*(SUM($L$35:$M$35))</f>
        <v>52800000</v>
      </c>
      <c r="P59" s="81">
        <f t="shared" ref="P59:P80" si="17">K59+M59+O59</f>
        <v>104640000</v>
      </c>
    </row>
    <row r="60" spans="2:22" s="2" customFormat="1" ht="78" customHeight="1">
      <c r="B60" s="59">
        <v>3</v>
      </c>
      <c r="C60" s="67" t="s">
        <v>1149</v>
      </c>
      <c r="D60" s="196" t="s">
        <v>1152</v>
      </c>
      <c r="E60" s="196" t="s">
        <v>1152</v>
      </c>
      <c r="F60" s="76">
        <f>36+5</f>
        <v>41</v>
      </c>
      <c r="G60" s="54">
        <v>142000</v>
      </c>
      <c r="H60" s="54">
        <v>152000</v>
      </c>
      <c r="I60" s="54">
        <v>162000</v>
      </c>
      <c r="J60" s="39">
        <f t="shared" si="11"/>
        <v>5822000</v>
      </c>
      <c r="K60" s="39">
        <f t="shared" si="12"/>
        <v>5822000</v>
      </c>
      <c r="L60" s="39">
        <f t="shared" si="13"/>
        <v>6232000</v>
      </c>
      <c r="M60" s="39">
        <f t="shared" si="14"/>
        <v>74784000</v>
      </c>
      <c r="N60" s="39">
        <f t="shared" si="15"/>
        <v>6642000</v>
      </c>
      <c r="O60" s="39">
        <f t="shared" si="16"/>
        <v>79704000</v>
      </c>
      <c r="P60" s="81">
        <f t="shared" si="17"/>
        <v>160310000</v>
      </c>
    </row>
    <row r="61" spans="2:22" s="2" customFormat="1" ht="78" customHeight="1">
      <c r="B61" s="59">
        <v>4</v>
      </c>
      <c r="C61" s="67" t="s">
        <v>1149</v>
      </c>
      <c r="D61" s="196" t="s">
        <v>1153</v>
      </c>
      <c r="E61" s="196" t="s">
        <v>1153</v>
      </c>
      <c r="F61" s="76">
        <f>70+1</f>
        <v>71</v>
      </c>
      <c r="G61" s="54">
        <v>200000</v>
      </c>
      <c r="H61" s="54">
        <v>220000</v>
      </c>
      <c r="I61" s="54">
        <v>240000</v>
      </c>
      <c r="J61" s="39">
        <f t="shared" si="11"/>
        <v>14200000</v>
      </c>
      <c r="K61" s="39">
        <f t="shared" si="12"/>
        <v>14200000</v>
      </c>
      <c r="L61" s="39">
        <f t="shared" si="13"/>
        <v>15620000</v>
      </c>
      <c r="M61" s="39">
        <f t="shared" si="14"/>
        <v>187440000</v>
      </c>
      <c r="N61" s="39">
        <f t="shared" si="15"/>
        <v>17040000</v>
      </c>
      <c r="O61" s="39">
        <f t="shared" si="16"/>
        <v>204480000</v>
      </c>
      <c r="P61" s="81">
        <f t="shared" si="17"/>
        <v>406120000</v>
      </c>
    </row>
    <row r="62" spans="2:22" s="2" customFormat="1" ht="78" customHeight="1">
      <c r="B62" s="59">
        <v>5</v>
      </c>
      <c r="C62" s="67" t="s">
        <v>1149</v>
      </c>
      <c r="D62" s="196" t="s">
        <v>1154</v>
      </c>
      <c r="E62" s="196" t="s">
        <v>1154</v>
      </c>
      <c r="F62" s="76">
        <v>4</v>
      </c>
      <c r="G62" s="54">
        <v>550000</v>
      </c>
      <c r="H62" s="54">
        <v>570000</v>
      </c>
      <c r="I62" s="54">
        <v>600000</v>
      </c>
      <c r="J62" s="39">
        <f t="shared" si="11"/>
        <v>2200000</v>
      </c>
      <c r="K62" s="39">
        <f t="shared" si="12"/>
        <v>2200000</v>
      </c>
      <c r="L62" s="39">
        <f t="shared" si="13"/>
        <v>2280000</v>
      </c>
      <c r="M62" s="39">
        <f t="shared" si="14"/>
        <v>27360000</v>
      </c>
      <c r="N62" s="39">
        <f t="shared" si="15"/>
        <v>2400000</v>
      </c>
      <c r="O62" s="39">
        <f t="shared" si="16"/>
        <v>28800000</v>
      </c>
      <c r="P62" s="81">
        <f t="shared" si="17"/>
        <v>58360000</v>
      </c>
    </row>
    <row r="63" spans="2:22" s="2" customFormat="1" ht="71.25" customHeight="1">
      <c r="B63" s="59">
        <v>6</v>
      </c>
      <c r="C63" s="67" t="s">
        <v>1155</v>
      </c>
      <c r="D63" s="196" t="s">
        <v>1156</v>
      </c>
      <c r="E63" s="196"/>
      <c r="F63" s="76">
        <v>34</v>
      </c>
      <c r="G63" s="54">
        <v>150000</v>
      </c>
      <c r="H63" s="54">
        <v>160000</v>
      </c>
      <c r="I63" s="54">
        <v>180000</v>
      </c>
      <c r="J63" s="39">
        <f t="shared" si="11"/>
        <v>5100000</v>
      </c>
      <c r="K63" s="39">
        <f t="shared" si="12"/>
        <v>5100000</v>
      </c>
      <c r="L63" s="39">
        <f t="shared" si="13"/>
        <v>5440000</v>
      </c>
      <c r="M63" s="39">
        <f t="shared" si="14"/>
        <v>65280000</v>
      </c>
      <c r="N63" s="39">
        <f t="shared" si="15"/>
        <v>6120000</v>
      </c>
      <c r="O63" s="39">
        <f t="shared" si="16"/>
        <v>73440000</v>
      </c>
      <c r="P63" s="81">
        <f t="shared" si="17"/>
        <v>143820000</v>
      </c>
    </row>
    <row r="64" spans="2:22" s="2" customFormat="1" ht="71.25" customHeight="1">
      <c r="B64" s="59">
        <v>7</v>
      </c>
      <c r="C64" s="67" t="s">
        <v>1155</v>
      </c>
      <c r="D64" s="196" t="s">
        <v>1157</v>
      </c>
      <c r="E64" s="196" t="s">
        <v>127</v>
      </c>
      <c r="F64" s="76">
        <v>8</v>
      </c>
      <c r="G64" s="54">
        <v>357800</v>
      </c>
      <c r="H64" s="54">
        <v>387590</v>
      </c>
      <c r="I64" s="54">
        <v>425870</v>
      </c>
      <c r="J64" s="39">
        <f t="shared" si="11"/>
        <v>2862400</v>
      </c>
      <c r="K64" s="39">
        <f t="shared" si="12"/>
        <v>2862400</v>
      </c>
      <c r="L64" s="39">
        <f t="shared" si="13"/>
        <v>3100720</v>
      </c>
      <c r="M64" s="39">
        <f t="shared" si="14"/>
        <v>37208640</v>
      </c>
      <c r="N64" s="39">
        <f t="shared" si="15"/>
        <v>3406960</v>
      </c>
      <c r="O64" s="39">
        <f t="shared" si="16"/>
        <v>40883520</v>
      </c>
      <c r="P64" s="81">
        <f t="shared" si="17"/>
        <v>80954560</v>
      </c>
    </row>
    <row r="65" spans="2:16" s="2" customFormat="1" ht="71.25" customHeight="1">
      <c r="B65" s="59">
        <v>8</v>
      </c>
      <c r="C65" s="67" t="s">
        <v>1155</v>
      </c>
      <c r="D65" s="196" t="s">
        <v>1158</v>
      </c>
      <c r="E65" s="196" t="s">
        <v>128</v>
      </c>
      <c r="F65" s="76">
        <v>7</v>
      </c>
      <c r="G65" s="54">
        <v>235000</v>
      </c>
      <c r="H65" s="54">
        <v>245680</v>
      </c>
      <c r="I65" s="54">
        <v>278541</v>
      </c>
      <c r="J65" s="39">
        <f t="shared" si="11"/>
        <v>1645000</v>
      </c>
      <c r="K65" s="39">
        <f t="shared" si="12"/>
        <v>1645000</v>
      </c>
      <c r="L65" s="39">
        <f t="shared" si="13"/>
        <v>1719760</v>
      </c>
      <c r="M65" s="39">
        <f t="shared" si="14"/>
        <v>20637120</v>
      </c>
      <c r="N65" s="39">
        <f t="shared" si="15"/>
        <v>1949787</v>
      </c>
      <c r="O65" s="39">
        <f t="shared" si="16"/>
        <v>23397444</v>
      </c>
      <c r="P65" s="81">
        <f t="shared" si="17"/>
        <v>45679564</v>
      </c>
    </row>
    <row r="66" spans="2:16" s="2" customFormat="1" ht="71.25" customHeight="1">
      <c r="B66" s="59">
        <v>9</v>
      </c>
      <c r="C66" s="67" t="s">
        <v>1155</v>
      </c>
      <c r="D66" s="196" t="s">
        <v>1159</v>
      </c>
      <c r="E66" s="196" t="s">
        <v>1178</v>
      </c>
      <c r="F66" s="76">
        <v>9</v>
      </c>
      <c r="G66" s="54">
        <v>214500</v>
      </c>
      <c r="H66" s="54">
        <v>225400</v>
      </c>
      <c r="I66" s="54">
        <v>235460</v>
      </c>
      <c r="J66" s="39">
        <f t="shared" si="11"/>
        <v>1930500</v>
      </c>
      <c r="K66" s="39">
        <f t="shared" si="12"/>
        <v>1930500</v>
      </c>
      <c r="L66" s="39">
        <f t="shared" si="13"/>
        <v>2028600</v>
      </c>
      <c r="M66" s="39">
        <f t="shared" si="14"/>
        <v>24343200</v>
      </c>
      <c r="N66" s="39">
        <f t="shared" si="15"/>
        <v>2119140</v>
      </c>
      <c r="O66" s="39">
        <f t="shared" si="16"/>
        <v>25429680</v>
      </c>
      <c r="P66" s="81">
        <f t="shared" si="17"/>
        <v>51703380</v>
      </c>
    </row>
    <row r="67" spans="2:16" s="2" customFormat="1" ht="71.25" customHeight="1">
      <c r="B67" s="59">
        <v>10</v>
      </c>
      <c r="C67" s="67" t="s">
        <v>1155</v>
      </c>
      <c r="D67" s="196" t="s">
        <v>1160</v>
      </c>
      <c r="E67" s="196" t="s">
        <v>1178</v>
      </c>
      <c r="F67" s="76">
        <v>8</v>
      </c>
      <c r="G67" s="54">
        <v>14500</v>
      </c>
      <c r="H67" s="54">
        <v>15500</v>
      </c>
      <c r="I67" s="54">
        <v>17500</v>
      </c>
      <c r="J67" s="39">
        <f t="shared" si="11"/>
        <v>116000</v>
      </c>
      <c r="K67" s="39">
        <f t="shared" si="12"/>
        <v>116000</v>
      </c>
      <c r="L67" s="39">
        <f t="shared" si="13"/>
        <v>124000</v>
      </c>
      <c r="M67" s="39">
        <f t="shared" si="14"/>
        <v>1488000</v>
      </c>
      <c r="N67" s="39">
        <f t="shared" si="15"/>
        <v>140000</v>
      </c>
      <c r="O67" s="39">
        <f t="shared" si="16"/>
        <v>1680000</v>
      </c>
      <c r="P67" s="81">
        <f t="shared" si="17"/>
        <v>3284000</v>
      </c>
    </row>
    <row r="68" spans="2:16" s="2" customFormat="1" ht="44.25" customHeight="1">
      <c r="B68" s="59">
        <v>11</v>
      </c>
      <c r="C68" s="67" t="s">
        <v>1155</v>
      </c>
      <c r="D68" s="196" t="s">
        <v>1161</v>
      </c>
      <c r="E68" s="196" t="s">
        <v>1178</v>
      </c>
      <c r="F68" s="76">
        <v>77</v>
      </c>
      <c r="G68" s="54">
        <v>65400</v>
      </c>
      <c r="H68" s="54">
        <v>75400</v>
      </c>
      <c r="I68" s="54">
        <v>85900</v>
      </c>
      <c r="J68" s="39">
        <f t="shared" si="11"/>
        <v>5035800</v>
      </c>
      <c r="K68" s="39">
        <f t="shared" si="12"/>
        <v>5035800</v>
      </c>
      <c r="L68" s="39">
        <f t="shared" si="13"/>
        <v>5805800</v>
      </c>
      <c r="M68" s="39">
        <f t="shared" si="14"/>
        <v>69669600</v>
      </c>
      <c r="N68" s="39">
        <f t="shared" si="15"/>
        <v>6614300</v>
      </c>
      <c r="O68" s="39">
        <f t="shared" si="16"/>
        <v>79371600</v>
      </c>
      <c r="P68" s="81">
        <f t="shared" si="17"/>
        <v>154077000</v>
      </c>
    </row>
    <row r="69" spans="2:16" s="2" customFormat="1" ht="44.25" customHeight="1">
      <c r="B69" s="59">
        <v>12</v>
      </c>
      <c r="C69" s="67" t="s">
        <v>1155</v>
      </c>
      <c r="D69" s="196" t="s">
        <v>1162</v>
      </c>
      <c r="E69" s="196" t="s">
        <v>1179</v>
      </c>
      <c r="F69" s="76">
        <v>17</v>
      </c>
      <c r="G69" s="54">
        <v>65400</v>
      </c>
      <c r="H69" s="54">
        <v>75400</v>
      </c>
      <c r="I69" s="54">
        <v>85900</v>
      </c>
      <c r="J69" s="39">
        <f t="shared" si="11"/>
        <v>1111800</v>
      </c>
      <c r="K69" s="39">
        <f t="shared" si="12"/>
        <v>1111800</v>
      </c>
      <c r="L69" s="39">
        <f t="shared" si="13"/>
        <v>1281800</v>
      </c>
      <c r="M69" s="39">
        <f t="shared" si="14"/>
        <v>15381600</v>
      </c>
      <c r="N69" s="39">
        <f t="shared" si="15"/>
        <v>1460300</v>
      </c>
      <c r="O69" s="39">
        <f t="shared" si="16"/>
        <v>17523600</v>
      </c>
      <c r="P69" s="81">
        <f t="shared" si="17"/>
        <v>34017000</v>
      </c>
    </row>
    <row r="70" spans="2:16" s="2" customFormat="1" ht="44.25" customHeight="1">
      <c r="B70" s="59">
        <v>13</v>
      </c>
      <c r="C70" s="67" t="s">
        <v>1155</v>
      </c>
      <c r="D70" s="196" t="s">
        <v>1163</v>
      </c>
      <c r="E70" s="196" t="s">
        <v>129</v>
      </c>
      <c r="F70" s="76">
        <v>12</v>
      </c>
      <c r="G70" s="54">
        <v>285700</v>
      </c>
      <c r="H70" s="54">
        <v>305000</v>
      </c>
      <c r="I70" s="54">
        <v>325600</v>
      </c>
      <c r="J70" s="39">
        <f t="shared" si="11"/>
        <v>3428400</v>
      </c>
      <c r="K70" s="39">
        <f t="shared" si="12"/>
        <v>3428400</v>
      </c>
      <c r="L70" s="39">
        <f t="shared" si="13"/>
        <v>3660000</v>
      </c>
      <c r="M70" s="39">
        <f t="shared" si="14"/>
        <v>43920000</v>
      </c>
      <c r="N70" s="39">
        <f t="shared" si="15"/>
        <v>3907200</v>
      </c>
      <c r="O70" s="39">
        <f t="shared" si="16"/>
        <v>46886400</v>
      </c>
      <c r="P70" s="81">
        <f t="shared" si="17"/>
        <v>94234800</v>
      </c>
    </row>
    <row r="71" spans="2:16" s="2" customFormat="1" ht="44.25" customHeight="1">
      <c r="B71" s="59">
        <v>14</v>
      </c>
      <c r="C71" s="67" t="s">
        <v>1155</v>
      </c>
      <c r="D71" s="196" t="s">
        <v>1164</v>
      </c>
      <c r="E71" s="196" t="s">
        <v>130</v>
      </c>
      <c r="F71" s="76">
        <v>14</v>
      </c>
      <c r="G71" s="54">
        <v>34500</v>
      </c>
      <c r="H71" s="54">
        <v>45700</v>
      </c>
      <c r="I71" s="54">
        <v>55800</v>
      </c>
      <c r="J71" s="39">
        <f t="shared" si="11"/>
        <v>483000</v>
      </c>
      <c r="K71" s="39">
        <f t="shared" si="12"/>
        <v>483000</v>
      </c>
      <c r="L71" s="39">
        <f t="shared" si="13"/>
        <v>639800</v>
      </c>
      <c r="M71" s="39">
        <f t="shared" si="14"/>
        <v>7677600</v>
      </c>
      <c r="N71" s="39">
        <f t="shared" si="15"/>
        <v>781200</v>
      </c>
      <c r="O71" s="39">
        <f t="shared" si="16"/>
        <v>9374400</v>
      </c>
      <c r="P71" s="81">
        <f t="shared" si="17"/>
        <v>17535000</v>
      </c>
    </row>
    <row r="72" spans="2:16" s="2" customFormat="1" ht="44.25" customHeight="1">
      <c r="B72" s="59">
        <v>15</v>
      </c>
      <c r="C72" s="67" t="s">
        <v>1155</v>
      </c>
      <c r="D72" s="196" t="s">
        <v>1165</v>
      </c>
      <c r="E72" s="196" t="s">
        <v>131</v>
      </c>
      <c r="F72" s="76">
        <v>1</v>
      </c>
      <c r="G72" s="54">
        <v>121500</v>
      </c>
      <c r="H72" s="54">
        <v>135200</v>
      </c>
      <c r="I72" s="54">
        <v>147800</v>
      </c>
      <c r="J72" s="39">
        <f t="shared" si="11"/>
        <v>121500</v>
      </c>
      <c r="K72" s="39">
        <f t="shared" si="12"/>
        <v>121500</v>
      </c>
      <c r="L72" s="39">
        <f t="shared" si="13"/>
        <v>135200</v>
      </c>
      <c r="M72" s="39">
        <f t="shared" si="14"/>
        <v>1622400</v>
      </c>
      <c r="N72" s="39">
        <f t="shared" si="15"/>
        <v>147800</v>
      </c>
      <c r="O72" s="39">
        <f t="shared" si="16"/>
        <v>1773600</v>
      </c>
      <c r="P72" s="81">
        <f t="shared" si="17"/>
        <v>3517500</v>
      </c>
    </row>
    <row r="73" spans="2:16" s="2" customFormat="1" ht="61.5" customHeight="1">
      <c r="B73" s="59">
        <v>16</v>
      </c>
      <c r="C73" s="67" t="s">
        <v>1155</v>
      </c>
      <c r="D73" s="196" t="s">
        <v>1166</v>
      </c>
      <c r="E73" s="196" t="s">
        <v>132</v>
      </c>
      <c r="F73" s="76">
        <v>3</v>
      </c>
      <c r="G73" s="54">
        <v>1250000</v>
      </c>
      <c r="H73" s="54">
        <v>1350000</v>
      </c>
      <c r="I73" s="54">
        <v>1450000</v>
      </c>
      <c r="J73" s="39">
        <f t="shared" si="11"/>
        <v>3750000</v>
      </c>
      <c r="K73" s="39">
        <f t="shared" si="12"/>
        <v>3750000</v>
      </c>
      <c r="L73" s="39">
        <f t="shared" si="13"/>
        <v>4050000</v>
      </c>
      <c r="M73" s="39">
        <f t="shared" si="14"/>
        <v>48600000</v>
      </c>
      <c r="N73" s="39">
        <f t="shared" si="15"/>
        <v>4350000</v>
      </c>
      <c r="O73" s="39">
        <f t="shared" si="16"/>
        <v>52200000</v>
      </c>
      <c r="P73" s="81">
        <f t="shared" si="17"/>
        <v>104550000</v>
      </c>
    </row>
    <row r="74" spans="2:16" s="2" customFormat="1" ht="44.25" customHeight="1">
      <c r="B74" s="59">
        <v>17</v>
      </c>
      <c r="C74" s="67" t="s">
        <v>1167</v>
      </c>
      <c r="D74" s="196" t="s">
        <v>1168</v>
      </c>
      <c r="E74" s="196"/>
      <c r="F74" s="76">
        <v>5</v>
      </c>
      <c r="G74" s="54">
        <v>670000</v>
      </c>
      <c r="H74" s="54">
        <v>750000</v>
      </c>
      <c r="I74" s="54">
        <v>850000</v>
      </c>
      <c r="J74" s="39">
        <f t="shared" si="11"/>
        <v>3350000</v>
      </c>
      <c r="K74" s="39">
        <f t="shared" si="12"/>
        <v>3350000</v>
      </c>
      <c r="L74" s="39">
        <f t="shared" si="13"/>
        <v>3750000</v>
      </c>
      <c r="M74" s="39">
        <f t="shared" si="14"/>
        <v>45000000</v>
      </c>
      <c r="N74" s="39">
        <f t="shared" si="15"/>
        <v>4250000</v>
      </c>
      <c r="O74" s="39">
        <f t="shared" si="16"/>
        <v>51000000</v>
      </c>
      <c r="P74" s="81">
        <f t="shared" si="17"/>
        <v>99350000</v>
      </c>
    </row>
    <row r="75" spans="2:16" s="2" customFormat="1" ht="44.25" customHeight="1">
      <c r="B75" s="59">
        <v>18</v>
      </c>
      <c r="C75" s="67" t="s">
        <v>1167</v>
      </c>
      <c r="D75" s="196" t="s">
        <v>1169</v>
      </c>
      <c r="E75" s="196" t="s">
        <v>1169</v>
      </c>
      <c r="F75" s="76">
        <v>34</v>
      </c>
      <c r="G75" s="54">
        <v>7500</v>
      </c>
      <c r="H75" s="54">
        <v>9500</v>
      </c>
      <c r="I75" s="54">
        <v>11500</v>
      </c>
      <c r="J75" s="39">
        <f t="shared" si="11"/>
        <v>255000</v>
      </c>
      <c r="K75" s="39">
        <f t="shared" si="12"/>
        <v>255000</v>
      </c>
      <c r="L75" s="39">
        <f t="shared" si="13"/>
        <v>323000</v>
      </c>
      <c r="M75" s="39">
        <f t="shared" si="14"/>
        <v>3876000</v>
      </c>
      <c r="N75" s="39">
        <f t="shared" si="15"/>
        <v>391000</v>
      </c>
      <c r="O75" s="39">
        <f t="shared" si="16"/>
        <v>4692000</v>
      </c>
      <c r="P75" s="81">
        <f t="shared" si="17"/>
        <v>8823000</v>
      </c>
    </row>
    <row r="76" spans="2:16" s="2" customFormat="1" ht="44.25" customHeight="1">
      <c r="B76" s="59">
        <v>19</v>
      </c>
      <c r="C76" s="67" t="s">
        <v>1170</v>
      </c>
      <c r="D76" s="196" t="s">
        <v>1171</v>
      </c>
      <c r="E76" s="196"/>
      <c r="F76" s="76">
        <v>22</v>
      </c>
      <c r="G76" s="54">
        <v>134287</v>
      </c>
      <c r="H76" s="54">
        <v>144287</v>
      </c>
      <c r="I76" s="54">
        <v>154287</v>
      </c>
      <c r="J76" s="39">
        <f t="shared" si="11"/>
        <v>2954314</v>
      </c>
      <c r="K76" s="39">
        <f t="shared" si="12"/>
        <v>2954314</v>
      </c>
      <c r="L76" s="39">
        <f t="shared" si="13"/>
        <v>3174314</v>
      </c>
      <c r="M76" s="39">
        <f t="shared" si="14"/>
        <v>38091768</v>
      </c>
      <c r="N76" s="39">
        <f t="shared" si="15"/>
        <v>3394314</v>
      </c>
      <c r="O76" s="39">
        <f t="shared" si="16"/>
        <v>40731768</v>
      </c>
      <c r="P76" s="81">
        <f t="shared" si="17"/>
        <v>81777850</v>
      </c>
    </row>
    <row r="77" spans="2:16" s="2" customFormat="1" ht="44.25" customHeight="1">
      <c r="B77" s="59">
        <v>20</v>
      </c>
      <c r="C77" s="67" t="s">
        <v>1170</v>
      </c>
      <c r="D77" s="196" t="s">
        <v>1172</v>
      </c>
      <c r="E77" s="196" t="s">
        <v>1172</v>
      </c>
      <c r="F77" s="76">
        <v>8</v>
      </c>
      <c r="G77" s="54">
        <v>75900</v>
      </c>
      <c r="H77" s="54">
        <v>85900</v>
      </c>
      <c r="I77" s="54">
        <v>99900</v>
      </c>
      <c r="J77" s="39">
        <f t="shared" si="11"/>
        <v>607200</v>
      </c>
      <c r="K77" s="39">
        <f t="shared" si="12"/>
        <v>607200</v>
      </c>
      <c r="L77" s="39">
        <f t="shared" si="13"/>
        <v>687200</v>
      </c>
      <c r="M77" s="39">
        <f t="shared" si="14"/>
        <v>8246400</v>
      </c>
      <c r="N77" s="39">
        <f t="shared" si="15"/>
        <v>799200</v>
      </c>
      <c r="O77" s="39">
        <f t="shared" si="16"/>
        <v>9590400</v>
      </c>
      <c r="P77" s="81">
        <f t="shared" si="17"/>
        <v>18444000</v>
      </c>
    </row>
    <row r="78" spans="2:16" s="2" customFormat="1" ht="44.25" customHeight="1">
      <c r="B78" s="59">
        <v>21</v>
      </c>
      <c r="C78" s="67" t="s">
        <v>1170</v>
      </c>
      <c r="D78" s="196" t="s">
        <v>1173</v>
      </c>
      <c r="E78" s="196" t="s">
        <v>1173</v>
      </c>
      <c r="F78" s="76">
        <v>15</v>
      </c>
      <c r="G78" s="54">
        <v>69900</v>
      </c>
      <c r="H78" s="54">
        <v>79900</v>
      </c>
      <c r="I78" s="54">
        <v>89900</v>
      </c>
      <c r="J78" s="39">
        <f t="shared" si="11"/>
        <v>1048500</v>
      </c>
      <c r="K78" s="39">
        <f t="shared" si="12"/>
        <v>1048500</v>
      </c>
      <c r="L78" s="39">
        <f t="shared" si="13"/>
        <v>1198500</v>
      </c>
      <c r="M78" s="39">
        <f t="shared" si="14"/>
        <v>14382000</v>
      </c>
      <c r="N78" s="39">
        <f t="shared" si="15"/>
        <v>1348500</v>
      </c>
      <c r="O78" s="39">
        <f t="shared" si="16"/>
        <v>16182000</v>
      </c>
      <c r="P78" s="81">
        <f t="shared" si="17"/>
        <v>31612500</v>
      </c>
    </row>
    <row r="79" spans="2:16" s="2" customFormat="1" ht="44.25" customHeight="1">
      <c r="B79" s="59">
        <v>22</v>
      </c>
      <c r="C79" s="67" t="s">
        <v>1170</v>
      </c>
      <c r="D79" s="196" t="s">
        <v>1174</v>
      </c>
      <c r="E79" s="196" t="s">
        <v>1174</v>
      </c>
      <c r="F79" s="76">
        <v>9</v>
      </c>
      <c r="G79" s="54">
        <v>68000</v>
      </c>
      <c r="H79" s="54">
        <v>72000</v>
      </c>
      <c r="I79" s="54">
        <v>82000</v>
      </c>
      <c r="J79" s="39">
        <f t="shared" si="11"/>
        <v>612000</v>
      </c>
      <c r="K79" s="39">
        <f t="shared" si="12"/>
        <v>612000</v>
      </c>
      <c r="L79" s="39">
        <f t="shared" si="13"/>
        <v>648000</v>
      </c>
      <c r="M79" s="39">
        <f t="shared" si="14"/>
        <v>7776000</v>
      </c>
      <c r="N79" s="39">
        <f t="shared" si="15"/>
        <v>738000</v>
      </c>
      <c r="O79" s="39">
        <f t="shared" si="16"/>
        <v>8856000</v>
      </c>
      <c r="P79" s="81">
        <f t="shared" si="17"/>
        <v>17244000</v>
      </c>
    </row>
    <row r="80" spans="2:16" s="2" customFormat="1" ht="44.25" customHeight="1">
      <c r="B80" s="59">
        <v>23</v>
      </c>
      <c r="C80" s="67" t="s">
        <v>1170</v>
      </c>
      <c r="D80" s="196" t="s">
        <v>1175</v>
      </c>
      <c r="E80" s="196"/>
      <c r="F80" s="76">
        <v>1</v>
      </c>
      <c r="G80" s="54">
        <v>450000</v>
      </c>
      <c r="H80" s="54">
        <v>470000</v>
      </c>
      <c r="I80" s="54">
        <v>490000</v>
      </c>
      <c r="J80" s="39">
        <f t="shared" si="11"/>
        <v>450000</v>
      </c>
      <c r="K80" s="39">
        <f t="shared" si="12"/>
        <v>450000</v>
      </c>
      <c r="L80" s="39">
        <f t="shared" si="13"/>
        <v>470000</v>
      </c>
      <c r="M80" s="39">
        <f t="shared" si="14"/>
        <v>5640000</v>
      </c>
      <c r="N80" s="39">
        <f t="shared" si="15"/>
        <v>490000</v>
      </c>
      <c r="O80" s="39">
        <f t="shared" si="16"/>
        <v>5880000</v>
      </c>
      <c r="P80" s="81">
        <f t="shared" si="17"/>
        <v>11970000</v>
      </c>
    </row>
    <row r="81" spans="2:16" s="2" customFormat="1" ht="24.75" customHeight="1">
      <c r="B81" s="201" t="s">
        <v>1224</v>
      </c>
      <c r="C81" s="201"/>
      <c r="D81" s="201"/>
      <c r="E81" s="201"/>
      <c r="F81" s="201"/>
      <c r="G81" s="201"/>
      <c r="H81" s="201"/>
      <c r="I81" s="201"/>
      <c r="J81" s="201"/>
      <c r="K81" s="201"/>
      <c r="L81" s="201"/>
      <c r="M81" s="201"/>
      <c r="N81" s="201"/>
      <c r="O81" s="201"/>
      <c r="P81" s="81">
        <f>SUM(P58:P80)</f>
        <v>1778424154</v>
      </c>
    </row>
    <row r="82" spans="2:16" s="2" customFormat="1" ht="12.5">
      <c r="C82" s="4"/>
      <c r="D82" s="4"/>
      <c r="E82" s="4"/>
      <c r="F82" s="4"/>
      <c r="G82" s="99">
        <f>SUM(G58:G80)</f>
        <v>5849887</v>
      </c>
      <c r="H82" s="99">
        <f>SUM(H58:H80)</f>
        <v>6302457</v>
      </c>
      <c r="I82" s="99">
        <f>SUM(I58:I80)</f>
        <v>6855958</v>
      </c>
    </row>
    <row r="83" spans="2:16" s="2" customFormat="1" ht="29.25" customHeight="1">
      <c r="B83" s="171" t="s">
        <v>1184</v>
      </c>
      <c r="C83" s="172"/>
      <c r="D83" s="172"/>
      <c r="E83" s="172"/>
      <c r="F83" s="172"/>
      <c r="G83" s="172"/>
      <c r="H83" s="172"/>
      <c r="I83" s="172"/>
      <c r="J83" s="197"/>
    </row>
    <row r="84" spans="2:16" s="2" customFormat="1" ht="29.25" customHeight="1">
      <c r="C84" s="4"/>
      <c r="D84" s="4"/>
      <c r="E84" s="4"/>
      <c r="F84" s="4"/>
      <c r="G84" s="4"/>
      <c r="H84" s="4"/>
    </row>
    <row r="85" spans="2:16" s="2" customFormat="1" ht="29.25" customHeight="1">
      <c r="B85" s="198" t="s">
        <v>1185</v>
      </c>
      <c r="C85" s="198"/>
      <c r="D85" s="198"/>
      <c r="E85" s="198"/>
      <c r="F85" s="198"/>
      <c r="G85"/>
      <c r="H85"/>
      <c r="I85"/>
      <c r="J85"/>
    </row>
    <row r="86" spans="2:16" s="2" customFormat="1" ht="29.25" customHeight="1">
      <c r="C86" s="4"/>
      <c r="D86" s="4"/>
      <c r="E86" s="4"/>
      <c r="F86" s="4"/>
      <c r="G86" s="4"/>
      <c r="H86" s="4"/>
    </row>
    <row r="87" spans="2:16" s="2" customFormat="1" ht="29.25" customHeight="1">
      <c r="B87" s="199" t="s">
        <v>133</v>
      </c>
      <c r="C87" s="199"/>
      <c r="D87" s="199"/>
      <c r="E87" s="77" t="s">
        <v>121</v>
      </c>
    </row>
    <row r="88" spans="2:16" s="2" customFormat="1" ht="29.25" customHeight="1">
      <c r="B88" s="180" t="s">
        <v>134</v>
      </c>
      <c r="C88" s="181"/>
      <c r="D88" s="182"/>
      <c r="E88" s="78">
        <f>SUM(V45:V50)</f>
        <v>6407213394</v>
      </c>
    </row>
    <row r="89" spans="2:16" s="2" customFormat="1" ht="29.25" customHeight="1">
      <c r="B89" s="180" t="s">
        <v>135</v>
      </c>
      <c r="C89" s="181"/>
      <c r="D89" s="182"/>
      <c r="E89" s="78">
        <f>SUM(P58:P80)</f>
        <v>1778424154</v>
      </c>
    </row>
    <row r="90" spans="2:16" s="2" customFormat="1" ht="29.25" customHeight="1">
      <c r="B90" s="180" t="s">
        <v>136</v>
      </c>
      <c r="C90" s="181"/>
      <c r="D90" s="182"/>
      <c r="E90" s="78">
        <f>E88+E89</f>
        <v>8185637548</v>
      </c>
    </row>
    <row r="91" spans="2:16" s="2" customFormat="1" ht="29.25" customHeight="1">
      <c r="B91" s="183" t="s">
        <v>1195</v>
      </c>
      <c r="C91" s="183"/>
      <c r="D91" s="55">
        <v>0.1</v>
      </c>
      <c r="E91" s="78">
        <f>ROUND((E90)*D91,0)</f>
        <v>818563755</v>
      </c>
      <c r="G91" s="70"/>
    </row>
    <row r="92" spans="2:16" s="2" customFormat="1" ht="29.25" customHeight="1">
      <c r="B92" s="183" t="s">
        <v>137</v>
      </c>
      <c r="C92" s="183"/>
      <c r="D92" s="56">
        <v>0.19</v>
      </c>
      <c r="E92" s="78">
        <f>ROUND(E91*D92,0)</f>
        <v>155527113</v>
      </c>
      <c r="G92" s="70"/>
    </row>
    <row r="93" spans="2:16" s="2" customFormat="1" ht="29.25" customHeight="1">
      <c r="B93" s="173" t="s">
        <v>1203</v>
      </c>
      <c r="C93" s="184"/>
      <c r="D93" s="185"/>
      <c r="E93" s="79">
        <f>E90+E92</f>
        <v>8341164661</v>
      </c>
      <c r="G93" s="70"/>
    </row>
    <row r="94" spans="2:16" s="2" customFormat="1" ht="12.5">
      <c r="C94" s="4"/>
      <c r="D94" s="4"/>
      <c r="E94" s="4"/>
      <c r="G94" s="4"/>
    </row>
    <row r="95" spans="2:16" s="2" customFormat="1" ht="12.5">
      <c r="C95" s="4"/>
      <c r="D95" s="4"/>
      <c r="E95" s="4"/>
      <c r="F95" s="4"/>
      <c r="G95" s="4"/>
      <c r="H95" s="4"/>
    </row>
    <row r="96" spans="2:16" ht="27.75" customHeight="1">
      <c r="B96" s="260" t="s">
        <v>83</v>
      </c>
      <c r="C96" s="260"/>
      <c r="D96" s="260"/>
      <c r="E96" s="260"/>
      <c r="F96" s="260"/>
      <c r="G96" s="260"/>
      <c r="H96" s="260"/>
      <c r="I96" s="260"/>
    </row>
    <row r="97" spans="2:9" ht="63.75" customHeight="1">
      <c r="B97" s="259" t="s">
        <v>1225</v>
      </c>
      <c r="C97" s="259"/>
      <c r="D97" s="259"/>
      <c r="E97" s="259"/>
      <c r="F97" s="259"/>
      <c r="G97" s="259"/>
      <c r="H97" s="259"/>
      <c r="I97" s="259"/>
    </row>
    <row r="98" spans="2:9" ht="52.5" customHeight="1">
      <c r="B98" s="259" t="s">
        <v>1186</v>
      </c>
      <c r="C98" s="259"/>
      <c r="D98" s="259"/>
      <c r="E98" s="259"/>
      <c r="F98" s="259"/>
      <c r="G98" s="259"/>
      <c r="H98" s="259"/>
      <c r="I98" s="259"/>
    </row>
    <row r="99" spans="2:9" ht="12.5"/>
  </sheetData>
  <mergeCells count="72">
    <mergeCell ref="C8:D8"/>
    <mergeCell ref="I8:J8"/>
    <mergeCell ref="K8:L8"/>
    <mergeCell ref="B2:K4"/>
    <mergeCell ref="L2:L4"/>
    <mergeCell ref="B6:L6"/>
    <mergeCell ref="B7:C7"/>
    <mergeCell ref="D7:L7"/>
    <mergeCell ref="B32:M32"/>
    <mergeCell ref="C9:E9"/>
    <mergeCell ref="G9:H9"/>
    <mergeCell ref="B10:L10"/>
    <mergeCell ref="B13:L13"/>
    <mergeCell ref="B15:L15"/>
    <mergeCell ref="B17:L17"/>
    <mergeCell ref="C20:E20"/>
    <mergeCell ref="M20:N22"/>
    <mergeCell ref="C21:E21"/>
    <mergeCell ref="B23:B30"/>
    <mergeCell ref="C23:F23"/>
    <mergeCell ref="D57:E57"/>
    <mergeCell ref="F35:G35"/>
    <mergeCell ref="F36:G36"/>
    <mergeCell ref="B38:V38"/>
    <mergeCell ref="B41:V41"/>
    <mergeCell ref="B43:E43"/>
    <mergeCell ref="F43:K43"/>
    <mergeCell ref="L43:M43"/>
    <mergeCell ref="N43:O43"/>
    <mergeCell ref="P43:Q43"/>
    <mergeCell ref="R43:S43"/>
    <mergeCell ref="T43:U43"/>
    <mergeCell ref="B51:U51"/>
    <mergeCell ref="B54:V54"/>
    <mergeCell ref="B56:E56"/>
    <mergeCell ref="F56:P56"/>
    <mergeCell ref="D69:E69"/>
    <mergeCell ref="D58:E58"/>
    <mergeCell ref="D59:E59"/>
    <mergeCell ref="D60:E60"/>
    <mergeCell ref="D61:E61"/>
    <mergeCell ref="D62:E62"/>
    <mergeCell ref="D63:E63"/>
    <mergeCell ref="D64:E64"/>
    <mergeCell ref="D65:E65"/>
    <mergeCell ref="D66:E66"/>
    <mergeCell ref="D67:E67"/>
    <mergeCell ref="D68:E68"/>
    <mergeCell ref="B81:O81"/>
    <mergeCell ref="D70:E70"/>
    <mergeCell ref="D71:E71"/>
    <mergeCell ref="D72:E72"/>
    <mergeCell ref="D73:E73"/>
    <mergeCell ref="D74:E74"/>
    <mergeCell ref="D75:E75"/>
    <mergeCell ref="D76:E76"/>
    <mergeCell ref="D77:E77"/>
    <mergeCell ref="D78:E78"/>
    <mergeCell ref="D79:E79"/>
    <mergeCell ref="D80:E80"/>
    <mergeCell ref="B98:I98"/>
    <mergeCell ref="B83:J83"/>
    <mergeCell ref="B85:F85"/>
    <mergeCell ref="B87:D87"/>
    <mergeCell ref="B88:D88"/>
    <mergeCell ref="B89:D89"/>
    <mergeCell ref="B90:D90"/>
    <mergeCell ref="B91:C91"/>
    <mergeCell ref="B92:C92"/>
    <mergeCell ref="B93:D93"/>
    <mergeCell ref="B96:I96"/>
    <mergeCell ref="B97:I97"/>
  </mergeCells>
  <dataValidations count="2">
    <dataValidation type="decimal" allowBlank="1" showInputMessage="1" showErrorMessage="1" error="Tener en cuenta que las cooperativas de vigilancia y seguridad privada, podrán descontar del valor de la tarifa hasta el diez por ciento (10%)," sqref="F21" xr:uid="{3B884374-E8D8-4767-ABE4-B5B65CC9D066}">
      <formula1>0</formula1>
      <formula2>0.1</formula2>
    </dataValidation>
    <dataValidation type="list" allowBlank="1" showInputMessage="1" showErrorMessage="1" sqref="F20" xr:uid="{38D5934C-34F2-4590-BDCD-401848787D7D}">
      <formula1>"EMPRESA, COOPERATIVA"</formula1>
    </dataValidation>
  </dataValidations>
  <pageMargins left="0.70866141732283472" right="0.70866141732283472" top="0.74803149606299213" bottom="0.74803149606299213" header="0.31496062992125984" footer="0.31496062992125984"/>
  <pageSetup scale="43" orientation="portrait" r:id="rId1"/>
  <headerFooter>
    <oddFooter xml:space="preserve">&amp;C&amp;P/&amp;N
</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89D098-E5D1-47BB-B436-C821E3064EC9}">
  <sheetPr>
    <tabColor rgb="FFFFFFCC"/>
  </sheetPr>
  <dimension ref="A1:Y99"/>
  <sheetViews>
    <sheetView showGridLines="0" topLeftCell="A3" zoomScale="70" zoomScaleNormal="70" zoomScaleSheetLayoutView="90" workbookViewId="0">
      <selection activeCell="G21" sqref="G21:G22"/>
    </sheetView>
  </sheetViews>
  <sheetFormatPr baseColWidth="10" defaultColWidth="0" defaultRowHeight="12.65" customHeight="1" zeroHeight="1"/>
  <cols>
    <col min="1" max="1" width="2" style="4" customWidth="1"/>
    <col min="2" max="2" width="13.81640625" style="4" customWidth="1"/>
    <col min="3" max="3" width="30" style="4" customWidth="1"/>
    <col min="4" max="4" width="25.81640625" style="4" customWidth="1"/>
    <col min="5" max="5" width="32.1796875" style="5" customWidth="1"/>
    <col min="6" max="6" width="15.7265625" style="5" customWidth="1"/>
    <col min="7" max="7" width="24.1796875" style="4" customWidth="1"/>
    <col min="8" max="8" width="23.54296875" style="4" customWidth="1"/>
    <col min="9" max="9" width="22.26953125" style="4" customWidth="1"/>
    <col min="10" max="10" width="21.54296875" style="4" customWidth="1"/>
    <col min="11" max="11" width="23.1796875" style="4" customWidth="1"/>
    <col min="12" max="12" width="20.81640625" style="4" customWidth="1"/>
    <col min="13" max="13" width="23.7265625" style="4" customWidth="1"/>
    <col min="14" max="14" width="21" style="4" customWidth="1"/>
    <col min="15" max="15" width="22.81640625" style="4" customWidth="1"/>
    <col min="16" max="16" width="23.7265625" style="4" customWidth="1"/>
    <col min="17" max="21" width="18.1796875" style="4" customWidth="1"/>
    <col min="22" max="23" width="18.54296875" style="4" customWidth="1"/>
    <col min="24" max="25" width="18.54296875" style="4" hidden="1" customWidth="1"/>
    <col min="26" max="16384" width="11.453125" style="4" hidden="1"/>
  </cols>
  <sheetData>
    <row r="1" spans="2:12" s="2" customFormat="1" ht="12.75" customHeight="1">
      <c r="E1" s="3"/>
      <c r="F1" s="3"/>
    </row>
    <row r="2" spans="2:12" s="2" customFormat="1" ht="21.75" customHeight="1">
      <c r="B2" s="268" t="s">
        <v>81</v>
      </c>
      <c r="C2" s="269"/>
      <c r="D2" s="269"/>
      <c r="E2" s="269"/>
      <c r="F2" s="269"/>
      <c r="G2" s="269"/>
      <c r="H2" s="269"/>
      <c r="I2" s="269"/>
      <c r="J2" s="269"/>
      <c r="K2" s="270"/>
      <c r="L2" s="257" t="s">
        <v>0</v>
      </c>
    </row>
    <row r="3" spans="2:12" s="2" customFormat="1" ht="21.75" customHeight="1">
      <c r="B3" s="271"/>
      <c r="C3" s="272"/>
      <c r="D3" s="272"/>
      <c r="E3" s="272"/>
      <c r="F3" s="272"/>
      <c r="G3" s="272"/>
      <c r="H3" s="272"/>
      <c r="I3" s="272"/>
      <c r="J3" s="272"/>
      <c r="K3" s="273"/>
      <c r="L3" s="257"/>
    </row>
    <row r="4" spans="2:12" s="2" customFormat="1" ht="21.75" customHeight="1">
      <c r="B4" s="274"/>
      <c r="C4" s="275"/>
      <c r="D4" s="275"/>
      <c r="E4" s="275"/>
      <c r="F4" s="275"/>
      <c r="G4" s="275"/>
      <c r="H4" s="275"/>
      <c r="I4" s="275"/>
      <c r="J4" s="275"/>
      <c r="K4" s="276"/>
      <c r="L4" s="257"/>
    </row>
    <row r="5" spans="2:12" s="2" customFormat="1" ht="5.25" customHeight="1">
      <c r="E5" s="3"/>
      <c r="F5" s="3"/>
    </row>
    <row r="6" spans="2:12" s="2" customFormat="1" ht="15.75" customHeight="1">
      <c r="B6" s="169" t="s">
        <v>81</v>
      </c>
      <c r="C6" s="169"/>
      <c r="D6" s="169"/>
      <c r="E6" s="169"/>
      <c r="F6" s="169"/>
      <c r="G6" s="169"/>
      <c r="H6" s="169"/>
      <c r="I6" s="169"/>
      <c r="J6" s="169"/>
      <c r="K6" s="169"/>
      <c r="L6" s="169"/>
    </row>
    <row r="7" spans="2:12" s="2" customFormat="1" ht="32.25" customHeight="1">
      <c r="B7" s="201" t="s">
        <v>82</v>
      </c>
      <c r="C7" s="201"/>
      <c r="D7" s="265" t="s">
        <v>1147</v>
      </c>
      <c r="E7" s="266"/>
      <c r="F7" s="266"/>
      <c r="G7" s="266"/>
      <c r="H7" s="266"/>
      <c r="I7" s="266"/>
      <c r="J7" s="266"/>
      <c r="K7" s="266"/>
      <c r="L7" s="267"/>
    </row>
    <row r="8" spans="2:12" s="2" customFormat="1" ht="36" customHeight="1">
      <c r="B8" s="87" t="s">
        <v>1229</v>
      </c>
      <c r="C8" s="277" t="s">
        <v>1288</v>
      </c>
      <c r="D8" s="278"/>
      <c r="E8" s="88" t="s">
        <v>1231</v>
      </c>
      <c r="F8" s="52" t="s">
        <v>1289</v>
      </c>
      <c r="G8" s="88" t="s">
        <v>1233</v>
      </c>
      <c r="H8" s="52" t="s">
        <v>1290</v>
      </c>
      <c r="I8" s="279" t="s">
        <v>1235</v>
      </c>
      <c r="J8" s="279"/>
      <c r="K8" s="280" t="s">
        <v>1291</v>
      </c>
      <c r="L8" s="281"/>
    </row>
    <row r="9" spans="2:12" s="2" customFormat="1" ht="33" customHeight="1">
      <c r="B9" s="89" t="s">
        <v>1237</v>
      </c>
      <c r="C9" s="280" t="s">
        <v>1292</v>
      </c>
      <c r="D9" s="282"/>
      <c r="E9" s="281"/>
      <c r="F9" s="88" t="s">
        <v>1239</v>
      </c>
      <c r="G9" s="277" t="s">
        <v>1293</v>
      </c>
      <c r="H9" s="278"/>
      <c r="I9" s="90" t="s">
        <v>1241</v>
      </c>
      <c r="J9" s="52">
        <v>31049931.98</v>
      </c>
      <c r="K9" s="91" t="s">
        <v>1243</v>
      </c>
      <c r="L9" s="92">
        <v>45504</v>
      </c>
    </row>
    <row r="10" spans="2:12" s="2" customFormat="1" ht="5.15" customHeight="1">
      <c r="B10" s="285"/>
      <c r="C10" s="286"/>
      <c r="D10" s="286"/>
      <c r="E10" s="286"/>
      <c r="F10" s="286"/>
      <c r="G10" s="286"/>
      <c r="H10" s="286"/>
      <c r="I10" s="286"/>
      <c r="J10" s="286"/>
      <c r="K10" s="286"/>
      <c r="L10" s="287"/>
    </row>
    <row r="11" spans="2:12" s="2" customFormat="1" ht="8.25" customHeight="1">
      <c r="B11" s="68"/>
      <c r="C11" s="68"/>
      <c r="D11" s="68"/>
      <c r="E11" s="68"/>
      <c r="F11" s="68"/>
      <c r="G11" s="68"/>
      <c r="H11" s="68"/>
      <c r="I11" s="68"/>
      <c r="J11" s="68"/>
      <c r="K11" s="68"/>
      <c r="L11" s="68"/>
    </row>
    <row r="12" spans="2:12" s="2" customFormat="1" ht="8.25" customHeight="1">
      <c r="B12" s="68"/>
      <c r="C12" s="68"/>
      <c r="D12" s="68"/>
      <c r="E12" s="68"/>
      <c r="F12" s="68"/>
      <c r="G12" s="68"/>
      <c r="H12" s="68"/>
      <c r="I12" s="68"/>
      <c r="J12" s="68"/>
      <c r="K12" s="68"/>
      <c r="L12" s="68"/>
    </row>
    <row r="13" spans="2:12" s="2" customFormat="1" ht="104.25" customHeight="1">
      <c r="B13" s="283" t="s">
        <v>1197</v>
      </c>
      <c r="C13" s="283"/>
      <c r="D13" s="283"/>
      <c r="E13" s="283"/>
      <c r="F13" s="283"/>
      <c r="G13" s="283"/>
      <c r="H13" s="283"/>
      <c r="I13" s="283"/>
      <c r="J13" s="283"/>
      <c r="K13" s="283"/>
      <c r="L13" s="283"/>
    </row>
    <row r="14" spans="2:12" s="2" customFormat="1" ht="8.25" customHeight="1">
      <c r="B14" s="68"/>
      <c r="C14" s="68"/>
      <c r="D14" s="68"/>
      <c r="E14" s="68"/>
      <c r="F14" s="68"/>
      <c r="G14" s="68"/>
      <c r="H14" s="68"/>
      <c r="I14" s="68"/>
      <c r="J14" s="68"/>
      <c r="K14" s="68"/>
      <c r="L14" s="68"/>
    </row>
    <row r="15" spans="2:12" s="2" customFormat="1" ht="180" customHeight="1">
      <c r="B15" s="284" t="s">
        <v>1226</v>
      </c>
      <c r="C15" s="284"/>
      <c r="D15" s="284"/>
      <c r="E15" s="284"/>
      <c r="F15" s="284"/>
      <c r="G15" s="284"/>
      <c r="H15" s="284"/>
      <c r="I15" s="284"/>
      <c r="J15" s="284"/>
      <c r="K15" s="284"/>
      <c r="L15" s="284"/>
    </row>
    <row r="16" spans="2:12" s="2" customFormat="1" ht="8.25" customHeight="1">
      <c r="B16" s="68"/>
      <c r="C16" s="68"/>
      <c r="D16" s="68"/>
      <c r="E16" s="68"/>
      <c r="F16" s="68"/>
      <c r="G16" s="68"/>
      <c r="H16" s="68"/>
      <c r="I16" s="68"/>
      <c r="J16" s="68"/>
      <c r="K16" s="68"/>
      <c r="L16" s="68"/>
    </row>
    <row r="17" spans="2:14" s="2" customFormat="1" ht="23.25" customHeight="1">
      <c r="B17" s="171" t="s">
        <v>115</v>
      </c>
      <c r="C17" s="172"/>
      <c r="D17" s="172"/>
      <c r="E17" s="172"/>
      <c r="F17" s="172"/>
      <c r="G17" s="172"/>
      <c r="H17" s="172"/>
      <c r="I17" s="172"/>
      <c r="J17" s="172"/>
      <c r="K17" s="172"/>
      <c r="L17" s="197"/>
    </row>
    <row r="18" spans="2:14" s="2" customFormat="1" ht="8.25" customHeight="1">
      <c r="B18" s="68"/>
      <c r="C18" s="68"/>
      <c r="D18" s="68"/>
      <c r="E18" s="68"/>
      <c r="F18" s="68"/>
      <c r="G18" s="68"/>
      <c r="H18" s="68"/>
      <c r="I18" s="68"/>
      <c r="J18" s="68"/>
      <c r="K18" s="68"/>
      <c r="L18" s="68"/>
    </row>
    <row r="19" spans="2:14" s="2" customFormat="1" ht="8.25" customHeight="1">
      <c r="B19" s="68"/>
      <c r="C19" s="68"/>
      <c r="D19" s="68"/>
      <c r="E19" s="68"/>
      <c r="F19" s="68"/>
      <c r="G19" s="68"/>
      <c r="H19" s="68"/>
      <c r="I19" s="68"/>
      <c r="J19" s="68"/>
      <c r="K19" s="68"/>
      <c r="L19" s="68"/>
    </row>
    <row r="20" spans="2:14" s="2" customFormat="1" ht="29.25" customHeight="1">
      <c r="B20" s="67">
        <v>1</v>
      </c>
      <c r="C20" s="264" t="s">
        <v>116</v>
      </c>
      <c r="D20" s="264"/>
      <c r="E20" s="264"/>
      <c r="F20" s="51" t="s">
        <v>1227</v>
      </c>
      <c r="G20" s="68"/>
      <c r="M20" s="263"/>
      <c r="N20" s="263"/>
    </row>
    <row r="21" spans="2:14" s="2" customFormat="1" ht="29.25" customHeight="1">
      <c r="B21" s="67">
        <v>2</v>
      </c>
      <c r="C21" s="264" t="s">
        <v>117</v>
      </c>
      <c r="D21" s="264"/>
      <c r="E21" s="264"/>
      <c r="F21" s="52"/>
      <c r="G21" s="68"/>
      <c r="M21" s="263"/>
      <c r="N21" s="263"/>
    </row>
    <row r="22" spans="2:14" s="2" customFormat="1" ht="29.25" customHeight="1">
      <c r="G22" s="68"/>
      <c r="M22" s="263"/>
      <c r="N22" s="263"/>
    </row>
    <row r="23" spans="2:14" s="2" customFormat="1" ht="43.5" customHeight="1">
      <c r="B23" s="201" t="s">
        <v>118</v>
      </c>
      <c r="C23" s="169" t="s">
        <v>1146</v>
      </c>
      <c r="D23" s="169"/>
      <c r="E23" s="169"/>
      <c r="F23" s="169"/>
      <c r="G23" s="29" t="s">
        <v>119</v>
      </c>
      <c r="H23" s="29" t="s">
        <v>119</v>
      </c>
      <c r="I23" s="29" t="s">
        <v>119</v>
      </c>
      <c r="L23" s="69"/>
      <c r="M23" s="69"/>
    </row>
    <row r="24" spans="2:14" s="2" customFormat="1" ht="29.25" customHeight="1">
      <c r="B24" s="201"/>
      <c r="C24" s="29" t="s">
        <v>104</v>
      </c>
      <c r="D24" s="29" t="s">
        <v>105</v>
      </c>
      <c r="E24" s="29" t="s">
        <v>106</v>
      </c>
      <c r="F24" s="37" t="s">
        <v>107</v>
      </c>
      <c r="G24" s="29">
        <v>2024</v>
      </c>
      <c r="H24" s="29">
        <v>2025</v>
      </c>
      <c r="I24" s="29">
        <v>2026</v>
      </c>
      <c r="L24" s="69"/>
      <c r="M24" s="69"/>
    </row>
    <row r="25" spans="2:14" s="2" customFormat="1" ht="33.75" customHeight="1">
      <c r="B25" s="201"/>
      <c r="C25" s="62">
        <v>24</v>
      </c>
      <c r="D25" s="63" t="s">
        <v>108</v>
      </c>
      <c r="E25" s="63" t="s">
        <v>109</v>
      </c>
      <c r="F25" s="63" t="s">
        <v>90</v>
      </c>
      <c r="G25" s="53">
        <v>9000</v>
      </c>
      <c r="H25" s="53">
        <v>12000</v>
      </c>
      <c r="I25" s="53">
        <v>15000</v>
      </c>
      <c r="M25" s="69"/>
    </row>
    <row r="26" spans="2:14" s="2" customFormat="1" ht="33.75" customHeight="1">
      <c r="B26" s="201"/>
      <c r="C26" s="62">
        <v>24</v>
      </c>
      <c r="D26" s="63" t="s">
        <v>108</v>
      </c>
      <c r="E26" s="63" t="s">
        <v>109</v>
      </c>
      <c r="F26" s="63" t="s">
        <v>92</v>
      </c>
      <c r="G26" s="53">
        <v>9000</v>
      </c>
      <c r="H26" s="53">
        <v>12000</v>
      </c>
      <c r="I26" s="53">
        <v>15000</v>
      </c>
      <c r="M26" s="69"/>
    </row>
    <row r="27" spans="2:14" s="2" customFormat="1" ht="33.75" customHeight="1">
      <c r="B27" s="201"/>
      <c r="C27" s="62">
        <v>24</v>
      </c>
      <c r="D27" s="63" t="s">
        <v>1143</v>
      </c>
      <c r="E27" s="63" t="s">
        <v>109</v>
      </c>
      <c r="F27" s="63" t="s">
        <v>92</v>
      </c>
      <c r="G27" s="53">
        <v>9000</v>
      </c>
      <c r="H27" s="53">
        <v>12000</v>
      </c>
      <c r="I27" s="53">
        <v>15000</v>
      </c>
      <c r="M27" s="69"/>
    </row>
    <row r="28" spans="2:14" s="2" customFormat="1" ht="33.75" customHeight="1">
      <c r="B28" s="201"/>
      <c r="C28" s="62">
        <v>12</v>
      </c>
      <c r="D28" s="63" t="s">
        <v>110</v>
      </c>
      <c r="E28" s="63" t="s">
        <v>111</v>
      </c>
      <c r="F28" s="63" t="s">
        <v>1144</v>
      </c>
      <c r="G28" s="53">
        <v>3000</v>
      </c>
      <c r="H28" s="53">
        <v>4000</v>
      </c>
      <c r="I28" s="53">
        <v>5000</v>
      </c>
      <c r="M28" s="69"/>
    </row>
    <row r="29" spans="2:14" s="2" customFormat="1" ht="33.75" customHeight="1">
      <c r="B29" s="201"/>
      <c r="C29" s="62">
        <v>12</v>
      </c>
      <c r="D29" s="63" t="s">
        <v>110</v>
      </c>
      <c r="E29" s="66" t="s">
        <v>1190</v>
      </c>
      <c r="F29" s="63" t="s">
        <v>90</v>
      </c>
      <c r="G29" s="53">
        <v>3000</v>
      </c>
      <c r="H29" s="53">
        <v>4000</v>
      </c>
      <c r="I29" s="53">
        <v>5000</v>
      </c>
      <c r="M29" s="69"/>
    </row>
    <row r="30" spans="2:14" s="2" customFormat="1" ht="33.75" customHeight="1">
      <c r="B30" s="201"/>
      <c r="C30" s="62">
        <v>12</v>
      </c>
      <c r="D30" s="63" t="s">
        <v>108</v>
      </c>
      <c r="E30" s="63" t="s">
        <v>111</v>
      </c>
      <c r="F30" s="63" t="s">
        <v>90</v>
      </c>
      <c r="G30" s="53">
        <v>3000</v>
      </c>
      <c r="H30" s="53">
        <v>4000</v>
      </c>
      <c r="I30" s="53">
        <v>5000</v>
      </c>
      <c r="M30" s="69"/>
    </row>
    <row r="31" spans="2:14" s="2" customFormat="1" ht="29.25" customHeight="1">
      <c r="G31" s="98">
        <f>SUM(G25:G30)</f>
        <v>36000</v>
      </c>
      <c r="H31" s="98">
        <f>SUM(H25:H30)</f>
        <v>48000</v>
      </c>
      <c r="I31" s="98">
        <f>SUM(I25:I30)</f>
        <v>60000</v>
      </c>
      <c r="M31" s="69"/>
      <c r="N31" s="69"/>
    </row>
    <row r="32" spans="2:14" s="2" customFormat="1" ht="29.25" customHeight="1">
      <c r="B32" s="200" t="s">
        <v>120</v>
      </c>
      <c r="C32" s="200"/>
      <c r="D32" s="200"/>
      <c r="E32" s="200"/>
      <c r="F32" s="200"/>
      <c r="G32" s="200"/>
      <c r="H32" s="200"/>
      <c r="I32" s="200"/>
      <c r="J32" s="200"/>
      <c r="K32" s="200"/>
      <c r="L32" s="200"/>
      <c r="M32" s="200"/>
      <c r="N32" s="69"/>
    </row>
    <row r="33" spans="1:22" s="2" customFormat="1" ht="6.75" customHeight="1">
      <c r="A33" s="70"/>
      <c r="B33" s="70"/>
      <c r="C33" s="70"/>
      <c r="D33" s="70"/>
      <c r="E33" s="70"/>
      <c r="F33" s="70"/>
      <c r="G33" s="70"/>
      <c r="H33" s="70"/>
      <c r="I33" s="70"/>
      <c r="J33" s="70"/>
      <c r="K33" s="70"/>
      <c r="L33" s="70"/>
      <c r="M33" s="70"/>
      <c r="N33" s="69"/>
    </row>
    <row r="34" spans="1:22" s="2" customFormat="1" ht="46.5" customHeight="1">
      <c r="A34" s="70"/>
      <c r="B34" s="70"/>
      <c r="C34" s="70"/>
      <c r="D34" s="70"/>
      <c r="E34" s="70"/>
      <c r="F34" s="68"/>
      <c r="G34" s="68"/>
      <c r="H34" s="67" t="s">
        <v>1198</v>
      </c>
      <c r="I34" s="59" t="s">
        <v>1210</v>
      </c>
      <c r="J34" s="59" t="s">
        <v>1205</v>
      </c>
      <c r="K34" s="59" t="s">
        <v>1206</v>
      </c>
      <c r="L34" s="59" t="s">
        <v>1207</v>
      </c>
      <c r="M34" s="59" t="s">
        <v>1208</v>
      </c>
    </row>
    <row r="35" spans="1:22" s="2" customFormat="1" ht="29.25" customHeight="1">
      <c r="F35" s="202" t="s">
        <v>122</v>
      </c>
      <c r="G35" s="203"/>
      <c r="H35" s="71">
        <f>SUM(I35:M35)</f>
        <v>25</v>
      </c>
      <c r="I35" s="72">
        <v>1</v>
      </c>
      <c r="J35" s="80">
        <v>6.5</v>
      </c>
      <c r="K35" s="80">
        <v>5.5</v>
      </c>
      <c r="L35" s="80">
        <v>6.5</v>
      </c>
      <c r="M35" s="80">
        <v>5.5</v>
      </c>
    </row>
    <row r="36" spans="1:22" s="2" customFormat="1" ht="29.25" customHeight="1">
      <c r="B36" s="70"/>
      <c r="C36" s="70"/>
      <c r="D36" s="70"/>
      <c r="E36" s="70"/>
      <c r="F36" s="202" t="s">
        <v>1191</v>
      </c>
      <c r="G36" s="203"/>
      <c r="H36" s="38" t="s">
        <v>1211</v>
      </c>
      <c r="I36" s="38">
        <f>'[31]RESUMEN CIRCULAR_DECRETO'!N26</f>
        <v>1300000</v>
      </c>
      <c r="J36" s="38">
        <f>'[31]RESUMEN CIRCULAR_DECRETO'!N27</f>
        <v>1410500</v>
      </c>
      <c r="K36" s="38">
        <f>'[31]RESUMEN CIRCULAR_DECRETO'!N27</f>
        <v>1410500</v>
      </c>
      <c r="L36" s="38">
        <f>'[31]RESUMEN CIRCULAR_DECRETO'!N28</f>
        <v>1504157.2</v>
      </c>
      <c r="M36" s="38">
        <f>'[31]RESUMEN CIRCULAR_DECRETO'!N28</f>
        <v>1504157.2</v>
      </c>
    </row>
    <row r="37" spans="1:22" s="2" customFormat="1" ht="29.25" customHeight="1">
      <c r="B37" s="70"/>
      <c r="C37" s="70"/>
      <c r="D37" s="70"/>
      <c r="E37" s="70"/>
      <c r="F37" s="83"/>
      <c r="G37" s="83"/>
      <c r="H37" s="84"/>
      <c r="I37" s="84"/>
      <c r="J37" s="84"/>
      <c r="K37" s="84"/>
      <c r="L37" s="82"/>
      <c r="M37" s="82"/>
    </row>
    <row r="38" spans="1:22" s="2" customFormat="1" ht="24" customHeight="1">
      <c r="B38" s="200" t="s">
        <v>1192</v>
      </c>
      <c r="C38" s="200"/>
      <c r="D38" s="200"/>
      <c r="E38" s="200"/>
      <c r="F38" s="200"/>
      <c r="G38" s="200"/>
      <c r="H38" s="200"/>
      <c r="I38" s="200"/>
      <c r="J38" s="200"/>
      <c r="K38" s="200"/>
      <c r="L38" s="200"/>
      <c r="M38" s="200"/>
      <c r="N38" s="200"/>
      <c r="O38" s="200"/>
      <c r="P38" s="200"/>
      <c r="Q38" s="200"/>
      <c r="R38" s="200"/>
      <c r="S38" s="200"/>
      <c r="T38" s="200"/>
      <c r="U38" s="200"/>
      <c r="V38" s="200"/>
    </row>
    <row r="39" spans="1:22" s="2" customFormat="1" ht="11.25" customHeight="1">
      <c r="M39" s="69"/>
      <c r="N39" s="69"/>
    </row>
    <row r="40" spans="1:22" s="2" customFormat="1" ht="9.75" customHeight="1">
      <c r="C40" s="4"/>
      <c r="D40" s="4"/>
      <c r="E40" s="4"/>
      <c r="F40" s="4"/>
    </row>
    <row r="41" spans="1:22" s="2" customFormat="1" ht="26.25" customHeight="1">
      <c r="B41" s="200" t="s">
        <v>1148</v>
      </c>
      <c r="C41" s="200"/>
      <c r="D41" s="200"/>
      <c r="E41" s="200"/>
      <c r="F41" s="200"/>
      <c r="G41" s="200"/>
      <c r="H41" s="200"/>
      <c r="I41" s="200"/>
      <c r="J41" s="200"/>
      <c r="K41" s="200"/>
      <c r="L41" s="200"/>
      <c r="M41" s="200"/>
      <c r="N41" s="200"/>
      <c r="O41" s="200"/>
      <c r="P41" s="200"/>
      <c r="Q41" s="200"/>
      <c r="R41" s="200"/>
      <c r="S41" s="200"/>
      <c r="T41" s="200"/>
      <c r="U41" s="200"/>
      <c r="V41" s="200"/>
    </row>
    <row r="42" spans="1:22" s="2" customFormat="1" ht="12.5">
      <c r="C42" s="4"/>
      <c r="D42" s="4"/>
      <c r="E42" s="4"/>
      <c r="F42" s="4"/>
      <c r="G42" s="4"/>
      <c r="H42" s="4"/>
    </row>
    <row r="43" spans="1:22" s="2" customFormat="1" ht="70.5" customHeight="1">
      <c r="B43" s="169" t="s">
        <v>123</v>
      </c>
      <c r="C43" s="169"/>
      <c r="D43" s="169"/>
      <c r="E43" s="169"/>
      <c r="F43" s="169" t="s">
        <v>1196</v>
      </c>
      <c r="G43" s="169"/>
      <c r="H43" s="169"/>
      <c r="I43" s="169"/>
      <c r="J43" s="169"/>
      <c r="K43" s="169"/>
      <c r="L43" s="261" t="s">
        <v>1204</v>
      </c>
      <c r="M43" s="262"/>
      <c r="N43" s="261" t="s">
        <v>1205</v>
      </c>
      <c r="O43" s="262"/>
      <c r="P43" s="261" t="s">
        <v>1206</v>
      </c>
      <c r="Q43" s="262"/>
      <c r="R43" s="261" t="s">
        <v>1207</v>
      </c>
      <c r="S43" s="262"/>
      <c r="T43" s="261" t="s">
        <v>1208</v>
      </c>
      <c r="U43" s="262"/>
      <c r="V43" s="29" t="s">
        <v>1198</v>
      </c>
    </row>
    <row r="44" spans="1:22" s="2" customFormat="1" ht="71.25" customHeight="1">
      <c r="B44" s="29" t="s">
        <v>104</v>
      </c>
      <c r="C44" s="29" t="s">
        <v>105</v>
      </c>
      <c r="D44" s="29" t="s">
        <v>106</v>
      </c>
      <c r="E44" s="29" t="s">
        <v>107</v>
      </c>
      <c r="F44" s="29" t="s">
        <v>124</v>
      </c>
      <c r="G44" s="29" t="s">
        <v>1209</v>
      </c>
      <c r="H44" s="29" t="s">
        <v>1199</v>
      </c>
      <c r="I44" s="29" t="s">
        <v>1200</v>
      </c>
      <c r="J44" s="29" t="s">
        <v>1201</v>
      </c>
      <c r="K44" s="29" t="s">
        <v>1202</v>
      </c>
      <c r="L44" s="73" t="s">
        <v>1180</v>
      </c>
      <c r="M44" s="58" t="s">
        <v>1181</v>
      </c>
      <c r="N44" s="73" t="s">
        <v>1182</v>
      </c>
      <c r="O44" s="58" t="s">
        <v>1183</v>
      </c>
      <c r="P44" s="73" t="s">
        <v>1182</v>
      </c>
      <c r="Q44" s="58" t="s">
        <v>1183</v>
      </c>
      <c r="R44" s="73" t="s">
        <v>1182</v>
      </c>
      <c r="S44" s="58" t="s">
        <v>1183</v>
      </c>
      <c r="T44" s="73" t="s">
        <v>1182</v>
      </c>
      <c r="U44" s="58" t="s">
        <v>1183</v>
      </c>
      <c r="V44" s="29" t="s">
        <v>1213</v>
      </c>
    </row>
    <row r="45" spans="1:22" s="2" customFormat="1" ht="30.75" customHeight="1">
      <c r="B45" s="62">
        <v>24</v>
      </c>
      <c r="C45" s="63" t="s">
        <v>108</v>
      </c>
      <c r="D45" s="63" t="s">
        <v>109</v>
      </c>
      <c r="E45" s="63" t="s">
        <v>90</v>
      </c>
      <c r="F45" s="59">
        <v>5</v>
      </c>
      <c r="G45" s="38">
        <f>IF(F45=0,"No se requiere",'[31]RESUMEN CIRCULAR_DECRETO'!H33)</f>
        <v>12842280</v>
      </c>
      <c r="H45" s="38">
        <f>IF(F45=0,"No se requiere",'[31]RESUMEN CIRCULAR_DECRETO'!K33)</f>
        <v>13936288</v>
      </c>
      <c r="I45" s="38">
        <f>IF(G45=0,"No se requiere",'[31]RESUMEN CIRCULAR_DECRETO'!N33)</f>
        <v>14164789</v>
      </c>
      <c r="J45" s="38">
        <f>IF(H45=0,"No se requiere",'[31]RESUMEN CIRCULAR_DECRETO'!Q33)</f>
        <v>15107710</v>
      </c>
      <c r="K45" s="38">
        <f>IF(I45=0,"No se requiere",'[31]RESUMEN CIRCULAR_DECRETO'!T33)</f>
        <v>15156445</v>
      </c>
      <c r="L45" s="39">
        <f t="shared" ref="L45:L50" si="0">G45*F45</f>
        <v>64211400</v>
      </c>
      <c r="M45" s="39">
        <f>ROUND(L45*$I$35,0)</f>
        <v>64211400</v>
      </c>
      <c r="N45" s="39">
        <f t="shared" ref="N45:N50" si="1">H45*F45</f>
        <v>69681440</v>
      </c>
      <c r="O45" s="39">
        <f>ROUND(N45*$J$35,0)</f>
        <v>452929360</v>
      </c>
      <c r="P45" s="39">
        <f>I45*F45</f>
        <v>70823945</v>
      </c>
      <c r="Q45" s="39">
        <f>ROUND(P45*$K$35,0)</f>
        <v>389531698</v>
      </c>
      <c r="R45" s="39">
        <f>J45*F45</f>
        <v>75538550</v>
      </c>
      <c r="S45" s="39">
        <f>ROUND(R45*$L$35,0)</f>
        <v>491000575</v>
      </c>
      <c r="T45" s="39">
        <f>K45*F45</f>
        <v>75782225</v>
      </c>
      <c r="U45" s="39">
        <f>ROUND(T45*$M$35,0)</f>
        <v>416802238</v>
      </c>
      <c r="V45" s="81">
        <f>O45+M45+Q45+S45+U45</f>
        <v>1814475271</v>
      </c>
    </row>
    <row r="46" spans="1:22" s="2" customFormat="1" ht="30.75" customHeight="1">
      <c r="B46" s="62">
        <v>24</v>
      </c>
      <c r="C46" s="63" t="s">
        <v>108</v>
      </c>
      <c r="D46" s="63" t="s">
        <v>109</v>
      </c>
      <c r="E46" s="63" t="s">
        <v>92</v>
      </c>
      <c r="F46" s="59">
        <v>11</v>
      </c>
      <c r="G46" s="38">
        <f>IF(F46=0,"No se requiere",'[31]RESUMEN CIRCULAR_DECRETO'!H34)</f>
        <v>13080100</v>
      </c>
      <c r="H46" s="38">
        <f>IF(F46=0,"No se requiere",'[31]RESUMEN CIRCULAR_DECRETO'!K34)</f>
        <v>14194367</v>
      </c>
      <c r="I46" s="38">
        <f>IF(G46=0,"No se requiere",'[31]RESUMEN CIRCULAR_DECRETO'!N34)</f>
        <v>14427100</v>
      </c>
      <c r="J46" s="38">
        <f>IF(H46=0,"No se requiere",'[31]RESUMEN CIRCULAR_DECRETO'!Q34)</f>
        <v>15387482</v>
      </c>
      <c r="K46" s="38">
        <f>IF(I46=0,"No se requiere",'[31]RESUMEN CIRCULAR_DECRETO'!T34)</f>
        <v>15437120</v>
      </c>
      <c r="L46" s="39">
        <f t="shared" si="0"/>
        <v>143881100</v>
      </c>
      <c r="M46" s="39">
        <f t="shared" ref="M46:M50" si="2">ROUND(L46*$I$35,0)</f>
        <v>143881100</v>
      </c>
      <c r="N46" s="39">
        <f t="shared" si="1"/>
        <v>156138037</v>
      </c>
      <c r="O46" s="39">
        <f t="shared" ref="O46:O50" si="3">ROUND(N46*$J$35,0)</f>
        <v>1014897241</v>
      </c>
      <c r="P46" s="39">
        <f t="shared" ref="P46:P50" si="4">I46*F46</f>
        <v>158698100</v>
      </c>
      <c r="Q46" s="39">
        <f t="shared" ref="Q46:Q50" si="5">ROUND(P46*$K$35,0)</f>
        <v>872839550</v>
      </c>
      <c r="R46" s="39">
        <f t="shared" ref="R46:R50" si="6">J46*F46</f>
        <v>169262302</v>
      </c>
      <c r="S46" s="39">
        <f t="shared" ref="S46:S50" si="7">ROUND(R46*$L$35,0)</f>
        <v>1100204963</v>
      </c>
      <c r="T46" s="39">
        <f t="shared" ref="T46:T50" si="8">K46*F46</f>
        <v>169808320</v>
      </c>
      <c r="U46" s="39">
        <f t="shared" ref="U46:U50" si="9">ROUND(T46*$M$35,0)</f>
        <v>933945760</v>
      </c>
      <c r="V46" s="81">
        <f t="shared" ref="V46:V50" si="10">O46+M46+Q46+S46+U46</f>
        <v>4065768614</v>
      </c>
    </row>
    <row r="47" spans="1:22" s="2" customFormat="1" ht="30.75" customHeight="1">
      <c r="B47" s="62">
        <v>24</v>
      </c>
      <c r="C47" s="63" t="s">
        <v>1143</v>
      </c>
      <c r="D47" s="63" t="s">
        <v>109</v>
      </c>
      <c r="E47" s="63" t="s">
        <v>92</v>
      </c>
      <c r="F47" s="59">
        <v>1</v>
      </c>
      <c r="G47" s="38">
        <f>IF(F47=0,"No se requiere",'[31]RESUMEN CIRCULAR_DECRETO'!H35)</f>
        <v>4366634</v>
      </c>
      <c r="H47" s="38">
        <f>IF(F47=0,"No se requiere",'[31]RESUMEN CIRCULAR_DECRETO'!K35)</f>
        <v>4740255</v>
      </c>
      <c r="I47" s="38">
        <f>IF(G47=0,"No se requiere",'[31]RESUMEN CIRCULAR_DECRETO'!N35)</f>
        <v>4817833</v>
      </c>
      <c r="J47" s="38">
        <f>IF(H47=0,"No se requiere",'[31]RESUMEN CIRCULAR_DECRETO'!Q35)</f>
        <v>5140160</v>
      </c>
      <c r="K47" s="38">
        <f>IF(I47=0,"No se requiere",'[31]RESUMEN CIRCULAR_DECRETO'!T35)</f>
        <v>5156707</v>
      </c>
      <c r="L47" s="39">
        <f t="shared" si="0"/>
        <v>4366634</v>
      </c>
      <c r="M47" s="39">
        <f t="shared" si="2"/>
        <v>4366634</v>
      </c>
      <c r="N47" s="39">
        <f t="shared" si="1"/>
        <v>4740255</v>
      </c>
      <c r="O47" s="39">
        <f t="shared" si="3"/>
        <v>30811658</v>
      </c>
      <c r="P47" s="39">
        <f t="shared" si="4"/>
        <v>4817833</v>
      </c>
      <c r="Q47" s="39">
        <f t="shared" si="5"/>
        <v>26498082</v>
      </c>
      <c r="R47" s="39">
        <f t="shared" si="6"/>
        <v>5140160</v>
      </c>
      <c r="S47" s="39">
        <f t="shared" si="7"/>
        <v>33411040</v>
      </c>
      <c r="T47" s="39">
        <f t="shared" si="8"/>
        <v>5156707</v>
      </c>
      <c r="U47" s="39">
        <f t="shared" si="9"/>
        <v>28361889</v>
      </c>
      <c r="V47" s="81">
        <f t="shared" si="10"/>
        <v>123449303</v>
      </c>
    </row>
    <row r="48" spans="1:22" s="2" customFormat="1" ht="30.75" customHeight="1">
      <c r="B48" s="62">
        <v>12</v>
      </c>
      <c r="C48" s="63" t="s">
        <v>110</v>
      </c>
      <c r="D48" s="63" t="s">
        <v>111</v>
      </c>
      <c r="E48" s="63" t="s">
        <v>1144</v>
      </c>
      <c r="F48" s="59">
        <v>1</v>
      </c>
      <c r="G48" s="38">
        <f>IF(F48=0,"No se requiere",'[31]RESUMEN CIRCULAR_DECRETO'!H36)</f>
        <v>3904842</v>
      </c>
      <c r="H48" s="38">
        <f>IF(F48=0,"No se requiere",'[31]RESUMEN CIRCULAR_DECRETO'!K36)</f>
        <v>4237573</v>
      </c>
      <c r="I48" s="38">
        <f>IF(G48=0,"No se requiere",'[31]RESUMEN CIRCULAR_DECRETO'!N36)</f>
        <v>4307046</v>
      </c>
      <c r="J48" s="38">
        <f>IF(H48=0,"No se requiere",'[31]RESUMEN CIRCULAR_DECRETO'!Q36)</f>
        <v>4593841</v>
      </c>
      <c r="K48" s="38">
        <f>IF(I48=0,"No se requiere",'[31]RESUMEN CIRCULAR_DECRETO'!T36)</f>
        <v>4608658</v>
      </c>
      <c r="L48" s="39">
        <f t="shared" si="0"/>
        <v>3904842</v>
      </c>
      <c r="M48" s="39">
        <f t="shared" si="2"/>
        <v>3904842</v>
      </c>
      <c r="N48" s="39">
        <f t="shared" si="1"/>
        <v>4237573</v>
      </c>
      <c r="O48" s="39">
        <f t="shared" si="3"/>
        <v>27544225</v>
      </c>
      <c r="P48" s="39">
        <f t="shared" si="4"/>
        <v>4307046</v>
      </c>
      <c r="Q48" s="39">
        <f t="shared" si="5"/>
        <v>23688753</v>
      </c>
      <c r="R48" s="39">
        <f t="shared" si="6"/>
        <v>4593841</v>
      </c>
      <c r="S48" s="39">
        <f t="shared" si="7"/>
        <v>29859967</v>
      </c>
      <c r="T48" s="39">
        <f t="shared" si="8"/>
        <v>4608658</v>
      </c>
      <c r="U48" s="39">
        <f t="shared" si="9"/>
        <v>25347619</v>
      </c>
      <c r="V48" s="81">
        <f t="shared" si="10"/>
        <v>110345406</v>
      </c>
    </row>
    <row r="49" spans="2:22" s="2" customFormat="1" ht="30.75" customHeight="1">
      <c r="B49" s="62">
        <v>12</v>
      </c>
      <c r="C49" s="63" t="s">
        <v>110</v>
      </c>
      <c r="D49" s="66" t="s">
        <v>1190</v>
      </c>
      <c r="E49" s="63" t="s">
        <v>90</v>
      </c>
      <c r="F49" s="59">
        <v>1</v>
      </c>
      <c r="G49" s="38">
        <f>IF(F49=0,"No se requiere",'[31]RESUMEN CIRCULAR_DECRETO'!H37)</f>
        <v>4727675</v>
      </c>
      <c r="H49" s="38">
        <f>IF(F49=0,"No se requiere",'[31]RESUMEN CIRCULAR_DECRETO'!K37)</f>
        <v>5130333</v>
      </c>
      <c r="I49" s="38">
        <f>IF(G49=0,"No se requiere",'[31]RESUMEN CIRCULAR_DECRETO'!N37)</f>
        <v>5214457</v>
      </c>
      <c r="J49" s="38">
        <f>IF(H49=0,"No se requiere",'[31]RESUMEN CIRCULAR_DECRETO'!Q37)</f>
        <v>5561490</v>
      </c>
      <c r="K49" s="38">
        <f>IF(I49=0,"No se requiere",'[31]RESUMEN CIRCULAR_DECRETO'!T37)</f>
        <v>5579432</v>
      </c>
      <c r="L49" s="39">
        <f t="shared" si="0"/>
        <v>4727675</v>
      </c>
      <c r="M49" s="39">
        <f t="shared" si="2"/>
        <v>4727675</v>
      </c>
      <c r="N49" s="39">
        <f t="shared" si="1"/>
        <v>5130333</v>
      </c>
      <c r="O49" s="39">
        <f t="shared" si="3"/>
        <v>33347165</v>
      </c>
      <c r="P49" s="39">
        <f t="shared" si="4"/>
        <v>5214457</v>
      </c>
      <c r="Q49" s="39">
        <f t="shared" si="5"/>
        <v>28679514</v>
      </c>
      <c r="R49" s="39">
        <f t="shared" si="6"/>
        <v>5561490</v>
      </c>
      <c r="S49" s="39">
        <f t="shared" si="7"/>
        <v>36149685</v>
      </c>
      <c r="T49" s="39">
        <f t="shared" si="8"/>
        <v>5579432</v>
      </c>
      <c r="U49" s="39">
        <f t="shared" si="9"/>
        <v>30686876</v>
      </c>
      <c r="V49" s="81">
        <f t="shared" si="10"/>
        <v>133590915</v>
      </c>
    </row>
    <row r="50" spans="2:22" s="2" customFormat="1" ht="30.75" customHeight="1">
      <c r="B50" s="62">
        <v>12</v>
      </c>
      <c r="C50" s="63" t="s">
        <v>108</v>
      </c>
      <c r="D50" s="63" t="s">
        <v>111</v>
      </c>
      <c r="E50" s="63" t="s">
        <v>90</v>
      </c>
      <c r="F50" s="59">
        <v>1</v>
      </c>
      <c r="G50" s="38">
        <f>IF(F50=0,"No se requiere",'[31]RESUMEN CIRCULAR_DECRETO'!H38)</f>
        <v>5749147</v>
      </c>
      <c r="H50" s="38">
        <f>IF(F50=0,"No se requiere",'[31]RESUMEN CIRCULAR_DECRETO'!K38)</f>
        <v>6238629</v>
      </c>
      <c r="I50" s="38">
        <f>IF(G50=0,"No se requiere",'[31]RESUMEN CIRCULAR_DECRETO'!N38)</f>
        <v>6340942</v>
      </c>
      <c r="J50" s="38">
        <f>IF(H50=0,"No se requiere",'[31]RESUMEN CIRCULAR_DECRETO'!Q38)</f>
        <v>6762774</v>
      </c>
      <c r="K50" s="38">
        <f>IF(I50=0,"No se requiere",'[31]RESUMEN CIRCULAR_DECRETO'!T38)</f>
        <v>6784596</v>
      </c>
      <c r="L50" s="39">
        <f t="shared" si="0"/>
        <v>5749147</v>
      </c>
      <c r="M50" s="39">
        <f t="shared" si="2"/>
        <v>5749147</v>
      </c>
      <c r="N50" s="39">
        <f t="shared" si="1"/>
        <v>6238629</v>
      </c>
      <c r="O50" s="39">
        <f t="shared" si="3"/>
        <v>40551089</v>
      </c>
      <c r="P50" s="39">
        <f t="shared" si="4"/>
        <v>6340942</v>
      </c>
      <c r="Q50" s="39">
        <f t="shared" si="5"/>
        <v>34875181</v>
      </c>
      <c r="R50" s="39">
        <f t="shared" si="6"/>
        <v>6762774</v>
      </c>
      <c r="S50" s="39">
        <f t="shared" si="7"/>
        <v>43958031</v>
      </c>
      <c r="T50" s="39">
        <f t="shared" si="8"/>
        <v>6784596</v>
      </c>
      <c r="U50" s="39">
        <f t="shared" si="9"/>
        <v>37315278</v>
      </c>
      <c r="V50" s="81">
        <f t="shared" si="10"/>
        <v>162448726</v>
      </c>
    </row>
    <row r="51" spans="2:22" s="2" customFormat="1" ht="27" customHeight="1">
      <c r="B51" s="201" t="s">
        <v>1212</v>
      </c>
      <c r="C51" s="201"/>
      <c r="D51" s="201"/>
      <c r="E51" s="201"/>
      <c r="F51" s="201"/>
      <c r="G51" s="201"/>
      <c r="H51" s="201"/>
      <c r="I51" s="201"/>
      <c r="J51" s="201"/>
      <c r="K51" s="201"/>
      <c r="L51" s="201"/>
      <c r="M51" s="201"/>
      <c r="N51" s="201"/>
      <c r="O51" s="201"/>
      <c r="P51" s="201"/>
      <c r="Q51" s="201"/>
      <c r="R51" s="201"/>
      <c r="S51" s="201"/>
      <c r="T51" s="201"/>
      <c r="U51" s="201"/>
      <c r="V51" s="81">
        <f>SUM(V45:V50)</f>
        <v>6410078235</v>
      </c>
    </row>
    <row r="52" spans="2:22" s="2" customFormat="1" ht="12.5">
      <c r="C52" s="4"/>
      <c r="D52" s="4"/>
      <c r="E52" s="4"/>
      <c r="F52" s="4"/>
      <c r="G52" s="4"/>
      <c r="H52" s="4"/>
    </row>
    <row r="53" spans="2:22" s="2" customFormat="1" ht="12.5">
      <c r="C53" s="4"/>
      <c r="D53" s="4"/>
      <c r="E53" s="4"/>
      <c r="F53" s="4"/>
      <c r="G53" s="4"/>
      <c r="H53" s="4"/>
    </row>
    <row r="54" spans="2:22" s="2" customFormat="1" ht="27.75" customHeight="1">
      <c r="B54" s="200" t="s">
        <v>1193</v>
      </c>
      <c r="C54" s="200"/>
      <c r="D54" s="200"/>
      <c r="E54" s="200"/>
      <c r="F54" s="200"/>
      <c r="G54" s="200"/>
      <c r="H54" s="200"/>
      <c r="I54" s="200"/>
      <c r="J54" s="200"/>
      <c r="K54" s="200"/>
      <c r="L54" s="200"/>
      <c r="M54" s="200"/>
      <c r="N54" s="200"/>
      <c r="O54" s="200"/>
      <c r="P54" s="200"/>
      <c r="Q54" s="200"/>
      <c r="R54" s="200"/>
      <c r="S54" s="200"/>
      <c r="T54" s="200"/>
      <c r="U54" s="200"/>
      <c r="V54" s="200"/>
    </row>
    <row r="55" spans="2:22" s="2" customFormat="1" ht="12.5">
      <c r="C55" s="4"/>
      <c r="D55" s="4"/>
      <c r="E55" s="4"/>
      <c r="F55" s="4"/>
      <c r="G55" s="4"/>
      <c r="H55" s="4"/>
    </row>
    <row r="56" spans="2:22" s="2" customFormat="1" ht="61.5" customHeight="1">
      <c r="B56" s="169" t="s">
        <v>1194</v>
      </c>
      <c r="C56" s="169"/>
      <c r="D56" s="169"/>
      <c r="E56" s="169"/>
      <c r="F56" s="169" t="s">
        <v>1214</v>
      </c>
      <c r="G56" s="169"/>
      <c r="H56" s="169"/>
      <c r="I56" s="169"/>
      <c r="J56" s="169"/>
      <c r="K56" s="169"/>
      <c r="L56" s="169"/>
      <c r="M56" s="169"/>
      <c r="N56" s="169"/>
      <c r="O56" s="169"/>
      <c r="P56" s="169"/>
    </row>
    <row r="57" spans="2:22" s="2" customFormat="1" ht="60" customHeight="1">
      <c r="B57" s="74" t="s">
        <v>1176</v>
      </c>
      <c r="C57" s="29" t="s">
        <v>1177</v>
      </c>
      <c r="D57" s="173" t="s">
        <v>125</v>
      </c>
      <c r="E57" s="174"/>
      <c r="F57" s="60" t="s">
        <v>124</v>
      </c>
      <c r="G57" s="75" t="s">
        <v>126</v>
      </c>
      <c r="H57" s="75" t="s">
        <v>1215</v>
      </c>
      <c r="I57" s="75" t="s">
        <v>1216</v>
      </c>
      <c r="J57" s="85" t="s">
        <v>1217</v>
      </c>
      <c r="K57" s="85" t="s">
        <v>1218</v>
      </c>
      <c r="L57" s="85" t="s">
        <v>1219</v>
      </c>
      <c r="M57" s="85" t="s">
        <v>1220</v>
      </c>
      <c r="N57" s="85" t="s">
        <v>1221</v>
      </c>
      <c r="O57" s="85" t="s">
        <v>1222</v>
      </c>
      <c r="P57" s="60" t="s">
        <v>1223</v>
      </c>
    </row>
    <row r="58" spans="2:22" s="2" customFormat="1" ht="57.75" customHeight="1">
      <c r="B58" s="59">
        <v>1</v>
      </c>
      <c r="C58" s="67" t="s">
        <v>1149</v>
      </c>
      <c r="D58" s="196" t="s">
        <v>1150</v>
      </c>
      <c r="E58" s="196"/>
      <c r="F58" s="76">
        <v>8</v>
      </c>
      <c r="G58" s="54">
        <f>(5706819+2127107)/12</f>
        <v>652827.16666666663</v>
      </c>
      <c r="H58" s="54">
        <f>G58*12%+G58</f>
        <v>731166.42666666664</v>
      </c>
      <c r="I58" s="54">
        <f>H58*12%+H58</f>
        <v>818906.39786666667</v>
      </c>
      <c r="J58" s="39">
        <f t="shared" ref="J58:J80" si="11">ROUND(G58*F58,0)</f>
        <v>5222617</v>
      </c>
      <c r="K58" s="39">
        <f>J58*$I$35</f>
        <v>5222617</v>
      </c>
      <c r="L58" s="39">
        <f>ROUND(H58*F58,0)</f>
        <v>5849331</v>
      </c>
      <c r="M58" s="39">
        <f>L58*(SUM($J$35:$K$35))</f>
        <v>70191972</v>
      </c>
      <c r="N58" s="39">
        <f>ROUND(I58*F58,0)</f>
        <v>6551251</v>
      </c>
      <c r="O58" s="39">
        <f>N58*(SUM($L$35:$M$35))</f>
        <v>78615012</v>
      </c>
      <c r="P58" s="81">
        <f>K58+M58+O58</f>
        <v>154029601</v>
      </c>
    </row>
    <row r="59" spans="2:22" s="2" customFormat="1" ht="78" customHeight="1">
      <c r="B59" s="59">
        <v>2</v>
      </c>
      <c r="C59" s="67" t="s">
        <v>1149</v>
      </c>
      <c r="D59" s="196" t="s">
        <v>1151</v>
      </c>
      <c r="E59" s="196" t="s">
        <v>1151</v>
      </c>
      <c r="F59" s="76">
        <v>8</v>
      </c>
      <c r="G59" s="54">
        <f>(2555431.5+2127107)/12</f>
        <v>390211.54166666669</v>
      </c>
      <c r="H59" s="54">
        <f t="shared" ref="H59:I74" si="12">G59*12%+G59</f>
        <v>437036.9266666667</v>
      </c>
      <c r="I59" s="54">
        <f t="shared" si="12"/>
        <v>489481.35786666669</v>
      </c>
      <c r="J59" s="39">
        <f t="shared" si="11"/>
        <v>3121692</v>
      </c>
      <c r="K59" s="39">
        <f t="shared" ref="K59:K80" si="13">J59*$I$35</f>
        <v>3121692</v>
      </c>
      <c r="L59" s="39">
        <f t="shared" ref="L59:L80" si="14">ROUND(H59*F59,0)</f>
        <v>3496295</v>
      </c>
      <c r="M59" s="39">
        <f t="shared" ref="M59:M80" si="15">L59*(SUM($J$35:$K$35))</f>
        <v>41955540</v>
      </c>
      <c r="N59" s="39">
        <f t="shared" ref="N59:N80" si="16">ROUND(I59*F59,0)</f>
        <v>3915851</v>
      </c>
      <c r="O59" s="39">
        <f t="shared" ref="O59:O80" si="17">N59*(SUM($L$35:$M$35))</f>
        <v>46990212</v>
      </c>
      <c r="P59" s="81">
        <f t="shared" ref="P59:P80" si="18">K59+M59+O59</f>
        <v>92067444</v>
      </c>
    </row>
    <row r="60" spans="2:22" s="2" customFormat="1" ht="78" customHeight="1">
      <c r="B60" s="59">
        <v>3</v>
      </c>
      <c r="C60" s="67" t="s">
        <v>1149</v>
      </c>
      <c r="D60" s="196" t="s">
        <v>1152</v>
      </c>
      <c r="E60" s="196" t="s">
        <v>1152</v>
      </c>
      <c r="F60" s="76">
        <f>36+5</f>
        <v>41</v>
      </c>
      <c r="G60" s="54">
        <f>(613800+2127107)/12</f>
        <v>228408.91666666666</v>
      </c>
      <c r="H60" s="54">
        <f t="shared" si="12"/>
        <v>255817.98666666666</v>
      </c>
      <c r="I60" s="54">
        <f t="shared" si="12"/>
        <v>286516.14506666665</v>
      </c>
      <c r="J60" s="39">
        <f t="shared" si="11"/>
        <v>9364766</v>
      </c>
      <c r="K60" s="39">
        <f t="shared" si="13"/>
        <v>9364766</v>
      </c>
      <c r="L60" s="39">
        <f t="shared" si="14"/>
        <v>10488537</v>
      </c>
      <c r="M60" s="39">
        <f t="shared" si="15"/>
        <v>125862444</v>
      </c>
      <c r="N60" s="39">
        <f t="shared" si="16"/>
        <v>11747162</v>
      </c>
      <c r="O60" s="39">
        <f t="shared" si="17"/>
        <v>140965944</v>
      </c>
      <c r="P60" s="81">
        <f t="shared" si="18"/>
        <v>276193154</v>
      </c>
    </row>
    <row r="61" spans="2:22" s="2" customFormat="1" ht="78" customHeight="1">
      <c r="B61" s="59">
        <v>4</v>
      </c>
      <c r="C61" s="67" t="s">
        <v>1149</v>
      </c>
      <c r="D61" s="196" t="s">
        <v>1153</v>
      </c>
      <c r="E61" s="196" t="s">
        <v>1153</v>
      </c>
      <c r="F61" s="76">
        <f>70+1</f>
        <v>71</v>
      </c>
      <c r="G61" s="54">
        <f>(615544.5+2127107)/12</f>
        <v>228554.29166666666</v>
      </c>
      <c r="H61" s="54">
        <f t="shared" si="12"/>
        <v>255980.80666666664</v>
      </c>
      <c r="I61" s="54">
        <f t="shared" si="12"/>
        <v>286698.50346666662</v>
      </c>
      <c r="J61" s="39">
        <f t="shared" si="11"/>
        <v>16227355</v>
      </c>
      <c r="K61" s="39">
        <f t="shared" si="13"/>
        <v>16227355</v>
      </c>
      <c r="L61" s="39">
        <f t="shared" si="14"/>
        <v>18174637</v>
      </c>
      <c r="M61" s="39">
        <f t="shared" si="15"/>
        <v>218095644</v>
      </c>
      <c r="N61" s="39">
        <f t="shared" si="16"/>
        <v>20355594</v>
      </c>
      <c r="O61" s="39">
        <f t="shared" si="17"/>
        <v>244267128</v>
      </c>
      <c r="P61" s="81">
        <f t="shared" si="18"/>
        <v>478590127</v>
      </c>
    </row>
    <row r="62" spans="2:22" s="2" customFormat="1" ht="78" customHeight="1">
      <c r="B62" s="59">
        <v>5</v>
      </c>
      <c r="C62" s="67" t="s">
        <v>1149</v>
      </c>
      <c r="D62" s="196" t="s">
        <v>1154</v>
      </c>
      <c r="E62" s="196" t="s">
        <v>1154</v>
      </c>
      <c r="F62" s="76">
        <v>4</v>
      </c>
      <c r="G62" s="54">
        <f>(1862014.5+2127107)/12</f>
        <v>332426.79166666669</v>
      </c>
      <c r="H62" s="54">
        <f t="shared" si="12"/>
        <v>372318.00666666671</v>
      </c>
      <c r="I62" s="54">
        <f t="shared" si="12"/>
        <v>416996.16746666672</v>
      </c>
      <c r="J62" s="39">
        <f t="shared" si="11"/>
        <v>1329707</v>
      </c>
      <c r="K62" s="39">
        <f t="shared" si="13"/>
        <v>1329707</v>
      </c>
      <c r="L62" s="39">
        <f t="shared" si="14"/>
        <v>1489272</v>
      </c>
      <c r="M62" s="39">
        <f t="shared" si="15"/>
        <v>17871264</v>
      </c>
      <c r="N62" s="39">
        <f t="shared" si="16"/>
        <v>1667985</v>
      </c>
      <c r="O62" s="39">
        <f t="shared" si="17"/>
        <v>20015820</v>
      </c>
      <c r="P62" s="81">
        <f t="shared" si="18"/>
        <v>39216791</v>
      </c>
    </row>
    <row r="63" spans="2:22" s="2" customFormat="1" ht="71.25" customHeight="1">
      <c r="B63" s="59">
        <v>6</v>
      </c>
      <c r="C63" s="67" t="s">
        <v>1155</v>
      </c>
      <c r="D63" s="196" t="s">
        <v>1156</v>
      </c>
      <c r="E63" s="196"/>
      <c r="F63" s="76">
        <v>34</v>
      </c>
      <c r="G63" s="54">
        <f>(132300+2127107)/12</f>
        <v>188283.91666666666</v>
      </c>
      <c r="H63" s="54">
        <f t="shared" si="12"/>
        <v>210877.98666666666</v>
      </c>
      <c r="I63" s="54">
        <f t="shared" si="12"/>
        <v>236183.34506666666</v>
      </c>
      <c r="J63" s="39">
        <f t="shared" si="11"/>
        <v>6401653</v>
      </c>
      <c r="K63" s="39">
        <f t="shared" si="13"/>
        <v>6401653</v>
      </c>
      <c r="L63" s="39">
        <f t="shared" si="14"/>
        <v>7169852</v>
      </c>
      <c r="M63" s="39">
        <f t="shared" si="15"/>
        <v>86038224</v>
      </c>
      <c r="N63" s="39">
        <f t="shared" si="16"/>
        <v>8030234</v>
      </c>
      <c r="O63" s="39">
        <f t="shared" si="17"/>
        <v>96362808</v>
      </c>
      <c r="P63" s="81">
        <f t="shared" si="18"/>
        <v>188802685</v>
      </c>
    </row>
    <row r="64" spans="2:22" s="2" customFormat="1" ht="71.25" customHeight="1">
      <c r="B64" s="59">
        <v>7</v>
      </c>
      <c r="C64" s="67" t="s">
        <v>1155</v>
      </c>
      <c r="D64" s="196" t="s">
        <v>1157</v>
      </c>
      <c r="E64" s="196" t="s">
        <v>127</v>
      </c>
      <c r="F64" s="76">
        <v>8</v>
      </c>
      <c r="G64" s="54">
        <f>(3087000+2127107)/12</f>
        <v>434508.91666666669</v>
      </c>
      <c r="H64" s="54">
        <f t="shared" si="12"/>
        <v>486649.98666666669</v>
      </c>
      <c r="I64" s="54">
        <f t="shared" si="12"/>
        <v>545047.98506666673</v>
      </c>
      <c r="J64" s="39">
        <f t="shared" si="11"/>
        <v>3476071</v>
      </c>
      <c r="K64" s="39">
        <f t="shared" si="13"/>
        <v>3476071</v>
      </c>
      <c r="L64" s="39">
        <f t="shared" si="14"/>
        <v>3893200</v>
      </c>
      <c r="M64" s="39">
        <f t="shared" si="15"/>
        <v>46718400</v>
      </c>
      <c r="N64" s="39">
        <f t="shared" si="16"/>
        <v>4360384</v>
      </c>
      <c r="O64" s="39">
        <f t="shared" si="17"/>
        <v>52324608</v>
      </c>
      <c r="P64" s="81">
        <f t="shared" si="18"/>
        <v>102519079</v>
      </c>
    </row>
    <row r="65" spans="2:16" s="2" customFormat="1" ht="71.25" customHeight="1">
      <c r="B65" s="59">
        <v>8</v>
      </c>
      <c r="C65" s="67" t="s">
        <v>1155</v>
      </c>
      <c r="D65" s="196" t="s">
        <v>1158</v>
      </c>
      <c r="E65" s="196" t="s">
        <v>128</v>
      </c>
      <c r="F65" s="76">
        <v>7</v>
      </c>
      <c r="G65" s="54">
        <f>(132300+2127107)/12</f>
        <v>188283.91666666666</v>
      </c>
      <c r="H65" s="54">
        <f t="shared" si="12"/>
        <v>210877.98666666666</v>
      </c>
      <c r="I65" s="54">
        <f t="shared" si="12"/>
        <v>236183.34506666666</v>
      </c>
      <c r="J65" s="39">
        <f t="shared" si="11"/>
        <v>1317987</v>
      </c>
      <c r="K65" s="39">
        <f t="shared" si="13"/>
        <v>1317987</v>
      </c>
      <c r="L65" s="39">
        <f t="shared" si="14"/>
        <v>1476146</v>
      </c>
      <c r="M65" s="39">
        <f t="shared" si="15"/>
        <v>17713752</v>
      </c>
      <c r="N65" s="39">
        <f t="shared" si="16"/>
        <v>1653283</v>
      </c>
      <c r="O65" s="39">
        <f t="shared" si="17"/>
        <v>19839396</v>
      </c>
      <c r="P65" s="81">
        <f t="shared" si="18"/>
        <v>38871135</v>
      </c>
    </row>
    <row r="66" spans="2:16" s="2" customFormat="1" ht="71.25" customHeight="1">
      <c r="B66" s="59">
        <v>9</v>
      </c>
      <c r="C66" s="67" t="s">
        <v>1155</v>
      </c>
      <c r="D66" s="196" t="s">
        <v>1159</v>
      </c>
      <c r="E66" s="196" t="s">
        <v>1178</v>
      </c>
      <c r="F66" s="76">
        <v>9</v>
      </c>
      <c r="G66" s="54">
        <f>(220500+2127107)/12</f>
        <v>195633.91666666666</v>
      </c>
      <c r="H66" s="54">
        <f t="shared" si="12"/>
        <v>219109.98666666666</v>
      </c>
      <c r="I66" s="54">
        <f t="shared" si="12"/>
        <v>245403.18506666666</v>
      </c>
      <c r="J66" s="39">
        <f t="shared" si="11"/>
        <v>1760705</v>
      </c>
      <c r="K66" s="39">
        <f t="shared" si="13"/>
        <v>1760705</v>
      </c>
      <c r="L66" s="39">
        <f t="shared" si="14"/>
        <v>1971990</v>
      </c>
      <c r="M66" s="39">
        <f t="shared" si="15"/>
        <v>23663880</v>
      </c>
      <c r="N66" s="39">
        <f t="shared" si="16"/>
        <v>2208629</v>
      </c>
      <c r="O66" s="39">
        <f t="shared" si="17"/>
        <v>26503548</v>
      </c>
      <c r="P66" s="81">
        <f t="shared" si="18"/>
        <v>51928133</v>
      </c>
    </row>
    <row r="67" spans="2:16" s="2" customFormat="1" ht="71.25" customHeight="1">
      <c r="B67" s="59">
        <v>10</v>
      </c>
      <c r="C67" s="67" t="s">
        <v>1155</v>
      </c>
      <c r="D67" s="196" t="s">
        <v>1160</v>
      </c>
      <c r="E67" s="196" t="s">
        <v>1178</v>
      </c>
      <c r="F67" s="76">
        <v>8</v>
      </c>
      <c r="G67" s="54">
        <f>(233100+2127107)/12</f>
        <v>196683.91666666666</v>
      </c>
      <c r="H67" s="54">
        <f t="shared" si="12"/>
        <v>220285.98666666666</v>
      </c>
      <c r="I67" s="54">
        <f t="shared" si="12"/>
        <v>246720.30506666665</v>
      </c>
      <c r="J67" s="39">
        <f t="shared" si="11"/>
        <v>1573471</v>
      </c>
      <c r="K67" s="39">
        <f t="shared" si="13"/>
        <v>1573471</v>
      </c>
      <c r="L67" s="39">
        <f t="shared" si="14"/>
        <v>1762288</v>
      </c>
      <c r="M67" s="39">
        <f t="shared" si="15"/>
        <v>21147456</v>
      </c>
      <c r="N67" s="39">
        <f t="shared" si="16"/>
        <v>1973762</v>
      </c>
      <c r="O67" s="39">
        <f t="shared" si="17"/>
        <v>23685144</v>
      </c>
      <c r="P67" s="81">
        <f t="shared" si="18"/>
        <v>46406071</v>
      </c>
    </row>
    <row r="68" spans="2:16" s="2" customFormat="1" ht="44.25" customHeight="1">
      <c r="B68" s="59">
        <v>11</v>
      </c>
      <c r="C68" s="67" t="s">
        <v>1155</v>
      </c>
      <c r="D68" s="196" t="s">
        <v>1161</v>
      </c>
      <c r="E68" s="196" t="s">
        <v>1178</v>
      </c>
      <c r="F68" s="76">
        <v>77</v>
      </c>
      <c r="G68" s="54">
        <f>(185826+2127107)/12</f>
        <v>192744.41666666666</v>
      </c>
      <c r="H68" s="54">
        <f t="shared" si="12"/>
        <v>215873.74666666664</v>
      </c>
      <c r="I68" s="54">
        <f t="shared" si="12"/>
        <v>241778.59626666663</v>
      </c>
      <c r="J68" s="39">
        <f t="shared" si="11"/>
        <v>14841320</v>
      </c>
      <c r="K68" s="39">
        <f t="shared" si="13"/>
        <v>14841320</v>
      </c>
      <c r="L68" s="39">
        <f t="shared" si="14"/>
        <v>16622278</v>
      </c>
      <c r="M68" s="39">
        <f t="shared" si="15"/>
        <v>199467336</v>
      </c>
      <c r="N68" s="39">
        <f t="shared" si="16"/>
        <v>18616952</v>
      </c>
      <c r="O68" s="39">
        <f t="shared" si="17"/>
        <v>223403424</v>
      </c>
      <c r="P68" s="81">
        <f t="shared" si="18"/>
        <v>437712080</v>
      </c>
    </row>
    <row r="69" spans="2:16" s="2" customFormat="1" ht="44.25" customHeight="1">
      <c r="B69" s="59">
        <v>12</v>
      </c>
      <c r="C69" s="67" t="s">
        <v>1155</v>
      </c>
      <c r="D69" s="196" t="s">
        <v>1162</v>
      </c>
      <c r="E69" s="196" t="s">
        <v>1179</v>
      </c>
      <c r="F69" s="76">
        <v>17</v>
      </c>
      <c r="G69" s="54">
        <f>(765819+2127107)/12</f>
        <v>241077.16666666666</v>
      </c>
      <c r="H69" s="54">
        <f t="shared" si="12"/>
        <v>270006.42666666664</v>
      </c>
      <c r="I69" s="54">
        <f t="shared" si="12"/>
        <v>302407.19786666665</v>
      </c>
      <c r="J69" s="39">
        <f t="shared" si="11"/>
        <v>4098312</v>
      </c>
      <c r="K69" s="39">
        <f t="shared" si="13"/>
        <v>4098312</v>
      </c>
      <c r="L69" s="39">
        <f t="shared" si="14"/>
        <v>4590109</v>
      </c>
      <c r="M69" s="39">
        <f t="shared" si="15"/>
        <v>55081308</v>
      </c>
      <c r="N69" s="39">
        <f t="shared" si="16"/>
        <v>5140922</v>
      </c>
      <c r="O69" s="39">
        <f t="shared" si="17"/>
        <v>61691064</v>
      </c>
      <c r="P69" s="81">
        <f t="shared" si="18"/>
        <v>120870684</v>
      </c>
    </row>
    <row r="70" spans="2:16" s="2" customFormat="1" ht="44.25" customHeight="1">
      <c r="B70" s="59">
        <v>13</v>
      </c>
      <c r="C70" s="67" t="s">
        <v>1155</v>
      </c>
      <c r="D70" s="196" t="s">
        <v>1163</v>
      </c>
      <c r="E70" s="196" t="s">
        <v>129</v>
      </c>
      <c r="F70" s="76">
        <v>12</v>
      </c>
      <c r="G70" s="54">
        <f>(656686.5+2127107)/12</f>
        <v>231982.79166666666</v>
      </c>
      <c r="H70" s="54">
        <f t="shared" si="12"/>
        <v>259820.72666666665</v>
      </c>
      <c r="I70" s="54">
        <f t="shared" si="12"/>
        <v>290999.21386666666</v>
      </c>
      <c r="J70" s="39">
        <f t="shared" si="11"/>
        <v>2783794</v>
      </c>
      <c r="K70" s="39">
        <f t="shared" si="13"/>
        <v>2783794</v>
      </c>
      <c r="L70" s="39">
        <f t="shared" si="14"/>
        <v>3117849</v>
      </c>
      <c r="M70" s="39">
        <f t="shared" si="15"/>
        <v>37414188</v>
      </c>
      <c r="N70" s="39">
        <f t="shared" si="16"/>
        <v>3491991</v>
      </c>
      <c r="O70" s="39">
        <f t="shared" si="17"/>
        <v>41903892</v>
      </c>
      <c r="P70" s="81">
        <f t="shared" si="18"/>
        <v>82101874</v>
      </c>
    </row>
    <row r="71" spans="2:16" s="2" customFormat="1" ht="44.25" customHeight="1">
      <c r="B71" s="59">
        <v>14</v>
      </c>
      <c r="C71" s="67" t="s">
        <v>1155</v>
      </c>
      <c r="D71" s="196" t="s">
        <v>1164</v>
      </c>
      <c r="E71" s="196" t="s">
        <v>130</v>
      </c>
      <c r="F71" s="76">
        <v>14</v>
      </c>
      <c r="G71" s="54">
        <f>(14911.5+2127107)/12</f>
        <v>178501.54166666666</v>
      </c>
      <c r="H71" s="54">
        <f t="shared" si="12"/>
        <v>199921.72666666665</v>
      </c>
      <c r="I71" s="54">
        <f t="shared" si="12"/>
        <v>223912.33386666665</v>
      </c>
      <c r="J71" s="39">
        <f t="shared" si="11"/>
        <v>2499022</v>
      </c>
      <c r="K71" s="39">
        <f t="shared" si="13"/>
        <v>2499022</v>
      </c>
      <c r="L71" s="39">
        <f t="shared" si="14"/>
        <v>2798904</v>
      </c>
      <c r="M71" s="39">
        <f t="shared" si="15"/>
        <v>33586848</v>
      </c>
      <c r="N71" s="39">
        <f t="shared" si="16"/>
        <v>3134773</v>
      </c>
      <c r="O71" s="39">
        <f t="shared" si="17"/>
        <v>37617276</v>
      </c>
      <c r="P71" s="81">
        <f t="shared" si="18"/>
        <v>73703146</v>
      </c>
    </row>
    <row r="72" spans="2:16" s="2" customFormat="1" ht="44.25" customHeight="1">
      <c r="B72" s="59">
        <v>15</v>
      </c>
      <c r="C72" s="67" t="s">
        <v>1155</v>
      </c>
      <c r="D72" s="196" t="s">
        <v>1165</v>
      </c>
      <c r="E72" s="196" t="s">
        <v>131</v>
      </c>
      <c r="F72" s="76">
        <v>1</v>
      </c>
      <c r="G72" s="54">
        <f>(91117.5+2127107)/12</f>
        <v>184852.04166666666</v>
      </c>
      <c r="H72" s="54">
        <f t="shared" si="12"/>
        <v>207034.28666666665</v>
      </c>
      <c r="I72" s="54">
        <f t="shared" si="12"/>
        <v>231878.40106666664</v>
      </c>
      <c r="J72" s="39">
        <f t="shared" si="11"/>
        <v>184852</v>
      </c>
      <c r="K72" s="39">
        <f t="shared" si="13"/>
        <v>184852</v>
      </c>
      <c r="L72" s="39">
        <f t="shared" si="14"/>
        <v>207034</v>
      </c>
      <c r="M72" s="39">
        <f t="shared" si="15"/>
        <v>2484408</v>
      </c>
      <c r="N72" s="39">
        <f t="shared" si="16"/>
        <v>231878</v>
      </c>
      <c r="O72" s="39">
        <f t="shared" si="17"/>
        <v>2782536</v>
      </c>
      <c r="P72" s="81">
        <f t="shared" si="18"/>
        <v>5451796</v>
      </c>
    </row>
    <row r="73" spans="2:16" s="2" customFormat="1" ht="61.5" customHeight="1">
      <c r="B73" s="59">
        <v>16</v>
      </c>
      <c r="C73" s="67" t="s">
        <v>1155</v>
      </c>
      <c r="D73" s="196" t="s">
        <v>1166</v>
      </c>
      <c r="E73" s="196" t="s">
        <v>132</v>
      </c>
      <c r="F73" s="76">
        <v>3</v>
      </c>
      <c r="G73" s="54">
        <f>(2167500)/12</f>
        <v>180625</v>
      </c>
      <c r="H73" s="54">
        <f t="shared" si="12"/>
        <v>202300</v>
      </c>
      <c r="I73" s="54">
        <f t="shared" si="12"/>
        <v>226576</v>
      </c>
      <c r="J73" s="39">
        <f t="shared" si="11"/>
        <v>541875</v>
      </c>
      <c r="K73" s="39">
        <f t="shared" si="13"/>
        <v>541875</v>
      </c>
      <c r="L73" s="39">
        <f t="shared" si="14"/>
        <v>606900</v>
      </c>
      <c r="M73" s="39">
        <f t="shared" si="15"/>
        <v>7282800</v>
      </c>
      <c r="N73" s="39">
        <f t="shared" si="16"/>
        <v>679728</v>
      </c>
      <c r="O73" s="39">
        <f t="shared" si="17"/>
        <v>8156736</v>
      </c>
      <c r="P73" s="81">
        <f t="shared" si="18"/>
        <v>15981411</v>
      </c>
    </row>
    <row r="74" spans="2:16" s="2" customFormat="1" ht="44.25" customHeight="1">
      <c r="B74" s="59">
        <v>17</v>
      </c>
      <c r="C74" s="67" t="s">
        <v>1167</v>
      </c>
      <c r="D74" s="196" t="s">
        <v>1168</v>
      </c>
      <c r="E74" s="196"/>
      <c r="F74" s="76">
        <v>5</v>
      </c>
      <c r="G74" s="54">
        <f>(384811.5+2127107)/12</f>
        <v>209326.54166666666</v>
      </c>
      <c r="H74" s="54">
        <f t="shared" si="12"/>
        <v>234445.72666666665</v>
      </c>
      <c r="I74" s="54">
        <f t="shared" si="12"/>
        <v>262579.21386666666</v>
      </c>
      <c r="J74" s="39">
        <f t="shared" si="11"/>
        <v>1046633</v>
      </c>
      <c r="K74" s="39">
        <f t="shared" si="13"/>
        <v>1046633</v>
      </c>
      <c r="L74" s="39">
        <f t="shared" si="14"/>
        <v>1172229</v>
      </c>
      <c r="M74" s="39">
        <f t="shared" si="15"/>
        <v>14066748</v>
      </c>
      <c r="N74" s="39">
        <f t="shared" si="16"/>
        <v>1312896</v>
      </c>
      <c r="O74" s="39">
        <f t="shared" si="17"/>
        <v>15754752</v>
      </c>
      <c r="P74" s="81">
        <f t="shared" si="18"/>
        <v>30868133</v>
      </c>
    </row>
    <row r="75" spans="2:16" s="2" customFormat="1" ht="44.25" customHeight="1">
      <c r="B75" s="59">
        <v>18</v>
      </c>
      <c r="C75" s="67" t="s">
        <v>1167</v>
      </c>
      <c r="D75" s="196" t="s">
        <v>1169</v>
      </c>
      <c r="E75" s="196" t="s">
        <v>1169</v>
      </c>
      <c r="F75" s="76">
        <v>34</v>
      </c>
      <c r="G75" s="54">
        <v>45000</v>
      </c>
      <c r="H75" s="54">
        <f t="shared" ref="H75:I80" si="19">G75*12%+G75</f>
        <v>50400</v>
      </c>
      <c r="I75" s="54">
        <f t="shared" si="19"/>
        <v>56448</v>
      </c>
      <c r="J75" s="39">
        <f t="shared" si="11"/>
        <v>1530000</v>
      </c>
      <c r="K75" s="39">
        <f t="shared" si="13"/>
        <v>1530000</v>
      </c>
      <c r="L75" s="39">
        <f t="shared" si="14"/>
        <v>1713600</v>
      </c>
      <c r="M75" s="39">
        <f t="shared" si="15"/>
        <v>20563200</v>
      </c>
      <c r="N75" s="39">
        <f t="shared" si="16"/>
        <v>1919232</v>
      </c>
      <c r="O75" s="39">
        <f t="shared" si="17"/>
        <v>23030784</v>
      </c>
      <c r="P75" s="81">
        <f t="shared" si="18"/>
        <v>45123984</v>
      </c>
    </row>
    <row r="76" spans="2:16" s="2" customFormat="1" ht="44.25" customHeight="1">
      <c r="B76" s="59">
        <v>19</v>
      </c>
      <c r="C76" s="67" t="s">
        <v>1170</v>
      </c>
      <c r="D76" s="196" t="s">
        <v>1171</v>
      </c>
      <c r="E76" s="196"/>
      <c r="F76" s="76">
        <v>22</v>
      </c>
      <c r="G76" s="54">
        <f>(705000)/12</f>
        <v>58750</v>
      </c>
      <c r="H76" s="54">
        <f t="shared" si="19"/>
        <v>65800</v>
      </c>
      <c r="I76" s="54">
        <f t="shared" si="19"/>
        <v>73696</v>
      </c>
      <c r="J76" s="39">
        <f t="shared" si="11"/>
        <v>1292500</v>
      </c>
      <c r="K76" s="39">
        <f t="shared" si="13"/>
        <v>1292500</v>
      </c>
      <c r="L76" s="39">
        <f t="shared" si="14"/>
        <v>1447600</v>
      </c>
      <c r="M76" s="39">
        <f t="shared" si="15"/>
        <v>17371200</v>
      </c>
      <c r="N76" s="39">
        <f t="shared" si="16"/>
        <v>1621312</v>
      </c>
      <c r="O76" s="39">
        <f t="shared" si="17"/>
        <v>19455744</v>
      </c>
      <c r="P76" s="81">
        <f t="shared" si="18"/>
        <v>38119444</v>
      </c>
    </row>
    <row r="77" spans="2:16" s="2" customFormat="1" ht="44.25" customHeight="1">
      <c r="B77" s="59">
        <v>20</v>
      </c>
      <c r="C77" s="67" t="s">
        <v>1170</v>
      </c>
      <c r="D77" s="196" t="s">
        <v>1172</v>
      </c>
      <c r="E77" s="196" t="s">
        <v>1172</v>
      </c>
      <c r="F77" s="76">
        <v>8</v>
      </c>
      <c r="G77" s="54">
        <f>(239850)/12</f>
        <v>19987.5</v>
      </c>
      <c r="H77" s="54">
        <f t="shared" si="19"/>
        <v>22386</v>
      </c>
      <c r="I77" s="54">
        <f t="shared" si="19"/>
        <v>25072.32</v>
      </c>
      <c r="J77" s="39">
        <f t="shared" si="11"/>
        <v>159900</v>
      </c>
      <c r="K77" s="39">
        <f t="shared" si="13"/>
        <v>159900</v>
      </c>
      <c r="L77" s="39">
        <f t="shared" si="14"/>
        <v>179088</v>
      </c>
      <c r="M77" s="39">
        <f t="shared" si="15"/>
        <v>2149056</v>
      </c>
      <c r="N77" s="39">
        <f t="shared" si="16"/>
        <v>200579</v>
      </c>
      <c r="O77" s="39">
        <f t="shared" si="17"/>
        <v>2406948</v>
      </c>
      <c r="P77" s="81">
        <f t="shared" si="18"/>
        <v>4715904</v>
      </c>
    </row>
    <row r="78" spans="2:16" s="2" customFormat="1" ht="44.25" customHeight="1">
      <c r="B78" s="59">
        <v>21</v>
      </c>
      <c r="C78" s="67" t="s">
        <v>1170</v>
      </c>
      <c r="D78" s="196" t="s">
        <v>1173</v>
      </c>
      <c r="E78" s="196" t="s">
        <v>1173</v>
      </c>
      <c r="F78" s="76">
        <v>15</v>
      </c>
      <c r="G78" s="54">
        <f>(104850)/12</f>
        <v>8737.5</v>
      </c>
      <c r="H78" s="54">
        <f t="shared" si="19"/>
        <v>9786</v>
      </c>
      <c r="I78" s="54">
        <f t="shared" si="19"/>
        <v>10960.32</v>
      </c>
      <c r="J78" s="39">
        <f t="shared" si="11"/>
        <v>131063</v>
      </c>
      <c r="K78" s="39">
        <f t="shared" si="13"/>
        <v>131063</v>
      </c>
      <c r="L78" s="39">
        <f t="shared" si="14"/>
        <v>146790</v>
      </c>
      <c r="M78" s="39">
        <f t="shared" si="15"/>
        <v>1761480</v>
      </c>
      <c r="N78" s="39">
        <f t="shared" si="16"/>
        <v>164405</v>
      </c>
      <c r="O78" s="39">
        <f t="shared" si="17"/>
        <v>1972860</v>
      </c>
      <c r="P78" s="81">
        <f t="shared" si="18"/>
        <v>3865403</v>
      </c>
    </row>
    <row r="79" spans="2:16" s="2" customFormat="1" ht="44.25" customHeight="1">
      <c r="B79" s="59">
        <v>22</v>
      </c>
      <c r="C79" s="67" t="s">
        <v>1170</v>
      </c>
      <c r="D79" s="196" t="s">
        <v>1174</v>
      </c>
      <c r="E79" s="196" t="s">
        <v>1174</v>
      </c>
      <c r="F79" s="76">
        <v>9</v>
      </c>
      <c r="G79" s="54">
        <f>(192919.5)/12</f>
        <v>16076.625</v>
      </c>
      <c r="H79" s="54">
        <f t="shared" si="19"/>
        <v>18005.82</v>
      </c>
      <c r="I79" s="54">
        <f t="shared" si="19"/>
        <v>20166.518400000001</v>
      </c>
      <c r="J79" s="39">
        <f t="shared" si="11"/>
        <v>144690</v>
      </c>
      <c r="K79" s="39">
        <f t="shared" si="13"/>
        <v>144690</v>
      </c>
      <c r="L79" s="39">
        <f t="shared" si="14"/>
        <v>162052</v>
      </c>
      <c r="M79" s="39">
        <f t="shared" si="15"/>
        <v>1944624</v>
      </c>
      <c r="N79" s="39">
        <f t="shared" si="16"/>
        <v>181499</v>
      </c>
      <c r="O79" s="39">
        <f t="shared" si="17"/>
        <v>2177988</v>
      </c>
      <c r="P79" s="81">
        <f t="shared" si="18"/>
        <v>4267302</v>
      </c>
    </row>
    <row r="80" spans="2:16" s="2" customFormat="1" ht="44.25" customHeight="1">
      <c r="B80" s="59">
        <v>23</v>
      </c>
      <c r="C80" s="67" t="s">
        <v>1170</v>
      </c>
      <c r="D80" s="196" t="s">
        <v>1175</v>
      </c>
      <c r="E80" s="196"/>
      <c r="F80" s="76">
        <v>1</v>
      </c>
      <c r="G80" s="54">
        <f>(2220000)/12</f>
        <v>185000</v>
      </c>
      <c r="H80" s="54">
        <f t="shared" si="19"/>
        <v>207200</v>
      </c>
      <c r="I80" s="54">
        <f t="shared" si="19"/>
        <v>232064</v>
      </c>
      <c r="J80" s="39">
        <f t="shared" si="11"/>
        <v>185000</v>
      </c>
      <c r="K80" s="39">
        <f t="shared" si="13"/>
        <v>185000</v>
      </c>
      <c r="L80" s="39">
        <f t="shared" si="14"/>
        <v>207200</v>
      </c>
      <c r="M80" s="39">
        <f t="shared" si="15"/>
        <v>2486400</v>
      </c>
      <c r="N80" s="39">
        <f t="shared" si="16"/>
        <v>232064</v>
      </c>
      <c r="O80" s="39">
        <f t="shared" si="17"/>
        <v>2784768</v>
      </c>
      <c r="P80" s="81">
        <f t="shared" si="18"/>
        <v>5456168</v>
      </c>
    </row>
    <row r="81" spans="2:16" s="2" customFormat="1" ht="24.75" customHeight="1">
      <c r="B81" s="201" t="s">
        <v>1224</v>
      </c>
      <c r="C81" s="201"/>
      <c r="D81" s="201"/>
      <c r="E81" s="201"/>
      <c r="F81" s="201"/>
      <c r="G81" s="201"/>
      <c r="H81" s="201"/>
      <c r="I81" s="201"/>
      <c r="J81" s="201"/>
      <c r="K81" s="201"/>
      <c r="L81" s="201"/>
      <c r="M81" s="201"/>
      <c r="N81" s="201"/>
      <c r="O81" s="201"/>
      <c r="P81" s="81">
        <f>SUM(P58:P80)</f>
        <v>2336861549</v>
      </c>
    </row>
    <row r="82" spans="2:16" s="2" customFormat="1" ht="12.5">
      <c r="C82" s="4"/>
      <c r="D82" s="4"/>
      <c r="E82" s="4"/>
      <c r="F82" s="4"/>
      <c r="G82" s="99">
        <f>SUM(G58:G80)</f>
        <v>4788484.416666666</v>
      </c>
      <c r="H82" s="99">
        <f>SUM(H58:H80)</f>
        <v>5363102.5466666678</v>
      </c>
      <c r="I82" s="99">
        <f>SUM(I58:I80)</f>
        <v>6006674.8522666674</v>
      </c>
    </row>
    <row r="83" spans="2:16" s="2" customFormat="1" ht="29.25" customHeight="1">
      <c r="B83" s="171" t="s">
        <v>1184</v>
      </c>
      <c r="C83" s="172"/>
      <c r="D83" s="172"/>
      <c r="E83" s="172"/>
      <c r="F83" s="172"/>
      <c r="G83" s="172"/>
      <c r="H83" s="172"/>
      <c r="I83" s="172"/>
      <c r="J83" s="197"/>
    </row>
    <row r="84" spans="2:16" s="2" customFormat="1" ht="29.25" customHeight="1">
      <c r="C84" s="4"/>
      <c r="D84" s="4"/>
      <c r="E84" s="4"/>
      <c r="F84" s="4"/>
      <c r="G84" s="4"/>
      <c r="H84" s="4"/>
    </row>
    <row r="85" spans="2:16" s="2" customFormat="1" ht="29.25" customHeight="1">
      <c r="B85" s="198" t="s">
        <v>1185</v>
      </c>
      <c r="C85" s="198"/>
      <c r="D85" s="198"/>
      <c r="E85" s="198"/>
      <c r="F85" s="198"/>
      <c r="G85"/>
      <c r="H85"/>
      <c r="I85"/>
      <c r="J85"/>
    </row>
    <row r="86" spans="2:16" s="2" customFormat="1" ht="29.25" customHeight="1">
      <c r="C86" s="4"/>
      <c r="D86" s="4"/>
      <c r="E86" s="4"/>
      <c r="F86" s="4"/>
      <c r="G86" s="4"/>
      <c r="H86" s="4"/>
    </row>
    <row r="87" spans="2:16" s="2" customFormat="1" ht="29.25" customHeight="1">
      <c r="B87" s="199" t="s">
        <v>133</v>
      </c>
      <c r="C87" s="199"/>
      <c r="D87" s="199"/>
      <c r="E87" s="77" t="s">
        <v>121</v>
      </c>
    </row>
    <row r="88" spans="2:16" s="2" customFormat="1" ht="29.25" customHeight="1">
      <c r="B88" s="180" t="s">
        <v>134</v>
      </c>
      <c r="C88" s="181"/>
      <c r="D88" s="182"/>
      <c r="E88" s="78">
        <f>SUM(V45:V50)</f>
        <v>6410078235</v>
      </c>
    </row>
    <row r="89" spans="2:16" s="2" customFormat="1" ht="29.25" customHeight="1">
      <c r="B89" s="180" t="s">
        <v>135</v>
      </c>
      <c r="C89" s="181"/>
      <c r="D89" s="182"/>
      <c r="E89" s="78">
        <f>SUM(P58:P80)</f>
        <v>2336861549</v>
      </c>
    </row>
    <row r="90" spans="2:16" s="2" customFormat="1" ht="29.25" customHeight="1">
      <c r="B90" s="180" t="s">
        <v>136</v>
      </c>
      <c r="C90" s="181"/>
      <c r="D90" s="182"/>
      <c r="E90" s="78">
        <f>E88+E89</f>
        <v>8746939784</v>
      </c>
    </row>
    <row r="91" spans="2:16" s="2" customFormat="1" ht="29.25" customHeight="1">
      <c r="B91" s="183" t="s">
        <v>1195</v>
      </c>
      <c r="C91" s="183"/>
      <c r="D91" s="55">
        <v>0.1</v>
      </c>
      <c r="E91" s="78">
        <f>ROUND((E90)*D91,0)</f>
        <v>874693978</v>
      </c>
      <c r="G91" s="70"/>
    </row>
    <row r="92" spans="2:16" s="2" customFormat="1" ht="29.25" customHeight="1">
      <c r="B92" s="183" t="s">
        <v>137</v>
      </c>
      <c r="C92" s="183"/>
      <c r="D92" s="56">
        <v>0.19</v>
      </c>
      <c r="E92" s="78">
        <f>ROUND(E91*D92,0)</f>
        <v>166191856</v>
      </c>
      <c r="G92" s="70"/>
    </row>
    <row r="93" spans="2:16" s="2" customFormat="1" ht="29.25" customHeight="1">
      <c r="B93" s="173" t="s">
        <v>1203</v>
      </c>
      <c r="C93" s="184"/>
      <c r="D93" s="185"/>
      <c r="E93" s="79">
        <f>E90+E92</f>
        <v>8913131640</v>
      </c>
      <c r="G93" s="70"/>
    </row>
    <row r="94" spans="2:16" s="2" customFormat="1" ht="12.5">
      <c r="C94" s="4"/>
      <c r="D94" s="4"/>
      <c r="E94" s="4"/>
      <c r="G94" s="4"/>
    </row>
    <row r="95" spans="2:16" s="2" customFormat="1" ht="12.5">
      <c r="C95" s="4"/>
      <c r="D95" s="4"/>
      <c r="E95" s="4"/>
      <c r="F95" s="4"/>
      <c r="G95" s="4"/>
      <c r="H95" s="4"/>
    </row>
    <row r="96" spans="2:16" ht="27.75" customHeight="1">
      <c r="B96" s="260" t="s">
        <v>83</v>
      </c>
      <c r="C96" s="260"/>
      <c r="D96" s="260"/>
      <c r="E96" s="260"/>
      <c r="F96" s="260"/>
      <c r="G96" s="260"/>
      <c r="H96" s="260"/>
      <c r="I96" s="260"/>
    </row>
    <row r="97" spans="2:9" ht="63.75" customHeight="1">
      <c r="B97" s="259" t="s">
        <v>1225</v>
      </c>
      <c r="C97" s="259"/>
      <c r="D97" s="259"/>
      <c r="E97" s="259"/>
      <c r="F97" s="259"/>
      <c r="G97" s="259"/>
      <c r="H97" s="259"/>
      <c r="I97" s="259"/>
    </row>
    <row r="98" spans="2:9" ht="52.5" customHeight="1">
      <c r="B98" s="259" t="s">
        <v>1186</v>
      </c>
      <c r="C98" s="259"/>
      <c r="D98" s="259"/>
      <c r="E98" s="259"/>
      <c r="F98" s="259"/>
      <c r="G98" s="259"/>
      <c r="H98" s="259"/>
      <c r="I98" s="259"/>
    </row>
    <row r="99" spans="2:9" ht="12.5"/>
  </sheetData>
  <mergeCells count="72">
    <mergeCell ref="C8:D8"/>
    <mergeCell ref="I8:J8"/>
    <mergeCell ref="K8:L8"/>
    <mergeCell ref="B2:K4"/>
    <mergeCell ref="L2:L4"/>
    <mergeCell ref="B6:L6"/>
    <mergeCell ref="B7:C7"/>
    <mergeCell ref="D7:L7"/>
    <mergeCell ref="B32:M32"/>
    <mergeCell ref="C9:E9"/>
    <mergeCell ref="G9:H9"/>
    <mergeCell ref="B10:L10"/>
    <mergeCell ref="B13:L13"/>
    <mergeCell ref="B15:L15"/>
    <mergeCell ref="B17:L17"/>
    <mergeCell ref="C20:E20"/>
    <mergeCell ref="M20:N22"/>
    <mergeCell ref="C21:E21"/>
    <mergeCell ref="B23:B30"/>
    <mergeCell ref="C23:F23"/>
    <mergeCell ref="D57:E57"/>
    <mergeCell ref="F35:G35"/>
    <mergeCell ref="F36:G36"/>
    <mergeCell ref="B38:V38"/>
    <mergeCell ref="B41:V41"/>
    <mergeCell ref="B43:E43"/>
    <mergeCell ref="F43:K43"/>
    <mergeCell ref="L43:M43"/>
    <mergeCell ref="N43:O43"/>
    <mergeCell ref="P43:Q43"/>
    <mergeCell ref="R43:S43"/>
    <mergeCell ref="T43:U43"/>
    <mergeCell ref="B51:U51"/>
    <mergeCell ref="B54:V54"/>
    <mergeCell ref="B56:E56"/>
    <mergeCell ref="F56:P56"/>
    <mergeCell ref="D69:E69"/>
    <mergeCell ref="D58:E58"/>
    <mergeCell ref="D59:E59"/>
    <mergeCell ref="D60:E60"/>
    <mergeCell ref="D61:E61"/>
    <mergeCell ref="D62:E62"/>
    <mergeCell ref="D63:E63"/>
    <mergeCell ref="D64:E64"/>
    <mergeCell ref="D65:E65"/>
    <mergeCell ref="D66:E66"/>
    <mergeCell ref="D67:E67"/>
    <mergeCell ref="D68:E68"/>
    <mergeCell ref="B81:O81"/>
    <mergeCell ref="D70:E70"/>
    <mergeCell ref="D71:E71"/>
    <mergeCell ref="D72:E72"/>
    <mergeCell ref="D73:E73"/>
    <mergeCell ref="D74:E74"/>
    <mergeCell ref="D75:E75"/>
    <mergeCell ref="D76:E76"/>
    <mergeCell ref="D77:E77"/>
    <mergeCell ref="D78:E78"/>
    <mergeCell ref="D79:E79"/>
    <mergeCell ref="D80:E80"/>
    <mergeCell ref="B98:I98"/>
    <mergeCell ref="B83:J83"/>
    <mergeCell ref="B85:F85"/>
    <mergeCell ref="B87:D87"/>
    <mergeCell ref="B88:D88"/>
    <mergeCell ref="B89:D89"/>
    <mergeCell ref="B90:D90"/>
    <mergeCell ref="B91:C91"/>
    <mergeCell ref="B92:C92"/>
    <mergeCell ref="B93:D93"/>
    <mergeCell ref="B96:I96"/>
    <mergeCell ref="B97:I97"/>
  </mergeCells>
  <dataValidations count="2">
    <dataValidation type="decimal" allowBlank="1" showInputMessage="1" showErrorMessage="1" error="Tener en cuenta que las cooperativas de vigilancia y seguridad privada, podrán descontar del valor de la tarifa hasta el diez por ciento (10%)," sqref="F21" xr:uid="{EA3100A2-DB70-4EE0-AE03-70224E6615B3}">
      <formula1>0</formula1>
      <formula2>0.1</formula2>
    </dataValidation>
    <dataValidation type="list" allowBlank="1" showInputMessage="1" showErrorMessage="1" sqref="F20" xr:uid="{56A5F8E5-8422-4DB9-84AB-5893EF25D6F9}">
      <formula1>"EMPRESA, COOPERATIVA"</formula1>
    </dataValidation>
  </dataValidations>
  <pageMargins left="0.70866141732283472" right="0.70866141732283472" top="0.74803149606299213" bottom="0.74803149606299213" header="0.31496062992125984" footer="0.31496062992125984"/>
  <pageSetup scale="43" orientation="portrait" r:id="rId1"/>
  <headerFooter>
    <oddFooter xml:space="preserve">&amp;C&amp;P/&amp;N
</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A713B2-227A-4A6D-B467-564695D99887}">
  <sheetPr>
    <tabColor rgb="FFFFFFCC"/>
  </sheetPr>
  <dimension ref="A1:Y99"/>
  <sheetViews>
    <sheetView showGridLines="0" topLeftCell="A3" zoomScale="80" zoomScaleNormal="80" zoomScaleSheetLayoutView="90" workbookViewId="0">
      <selection activeCell="G21" sqref="G21:G22"/>
    </sheetView>
  </sheetViews>
  <sheetFormatPr baseColWidth="10" defaultColWidth="0" defaultRowHeight="12.65" customHeight="1" zeroHeight="1"/>
  <cols>
    <col min="1" max="1" width="2" style="4" customWidth="1"/>
    <col min="2" max="2" width="13.81640625" style="4" customWidth="1"/>
    <col min="3" max="3" width="30" style="4" customWidth="1"/>
    <col min="4" max="4" width="25.81640625" style="4" customWidth="1"/>
    <col min="5" max="5" width="32.1796875" style="5" customWidth="1"/>
    <col min="6" max="6" width="15.7265625" style="5" customWidth="1"/>
    <col min="7" max="7" width="24.1796875" style="4" customWidth="1"/>
    <col min="8" max="8" width="23.54296875" style="4" customWidth="1"/>
    <col min="9" max="9" width="22.26953125" style="4" customWidth="1"/>
    <col min="10" max="10" width="21.54296875" style="4" customWidth="1"/>
    <col min="11" max="11" width="23.1796875" style="4" customWidth="1"/>
    <col min="12" max="12" width="20.81640625" style="4" customWidth="1"/>
    <col min="13" max="13" width="23.7265625" style="4" customWidth="1"/>
    <col min="14" max="14" width="21" style="4" customWidth="1"/>
    <col min="15" max="15" width="22.81640625" style="4" customWidth="1"/>
    <col min="16" max="16" width="23.7265625" style="4" customWidth="1"/>
    <col min="17" max="21" width="18.1796875" style="4" customWidth="1"/>
    <col min="22" max="23" width="18.54296875" style="4" customWidth="1"/>
    <col min="24" max="25" width="18.54296875" style="4" hidden="1" customWidth="1"/>
    <col min="26" max="16384" width="11.453125" style="4" hidden="1"/>
  </cols>
  <sheetData>
    <row r="1" spans="2:12" s="2" customFormat="1" ht="12.75" customHeight="1">
      <c r="E1" s="3"/>
      <c r="F1" s="3"/>
    </row>
    <row r="2" spans="2:12" s="2" customFormat="1" ht="21.75" customHeight="1">
      <c r="B2" s="268" t="s">
        <v>81</v>
      </c>
      <c r="C2" s="269"/>
      <c r="D2" s="269"/>
      <c r="E2" s="269"/>
      <c r="F2" s="269"/>
      <c r="G2" s="269"/>
      <c r="H2" s="269"/>
      <c r="I2" s="269"/>
      <c r="J2" s="269"/>
      <c r="K2" s="270"/>
      <c r="L2" s="257" t="s">
        <v>0</v>
      </c>
    </row>
    <row r="3" spans="2:12" s="2" customFormat="1" ht="21.75" customHeight="1">
      <c r="B3" s="271"/>
      <c r="C3" s="272"/>
      <c r="D3" s="272"/>
      <c r="E3" s="272"/>
      <c r="F3" s="272"/>
      <c r="G3" s="272"/>
      <c r="H3" s="272"/>
      <c r="I3" s="272"/>
      <c r="J3" s="272"/>
      <c r="K3" s="273"/>
      <c r="L3" s="257"/>
    </row>
    <row r="4" spans="2:12" s="2" customFormat="1" ht="21.75" customHeight="1">
      <c r="B4" s="274"/>
      <c r="C4" s="275"/>
      <c r="D4" s="275"/>
      <c r="E4" s="275"/>
      <c r="F4" s="275"/>
      <c r="G4" s="275"/>
      <c r="H4" s="275"/>
      <c r="I4" s="275"/>
      <c r="J4" s="275"/>
      <c r="K4" s="276"/>
      <c r="L4" s="257"/>
    </row>
    <row r="5" spans="2:12" s="2" customFormat="1" ht="5.25" customHeight="1">
      <c r="E5" s="3"/>
      <c r="F5" s="3"/>
    </row>
    <row r="6" spans="2:12" s="2" customFormat="1" ht="15.75" customHeight="1">
      <c r="B6" s="169" t="s">
        <v>81</v>
      </c>
      <c r="C6" s="169"/>
      <c r="D6" s="169"/>
      <c r="E6" s="169"/>
      <c r="F6" s="169"/>
      <c r="G6" s="169"/>
      <c r="H6" s="169"/>
      <c r="I6" s="169"/>
      <c r="J6" s="169"/>
      <c r="K6" s="169"/>
      <c r="L6" s="169"/>
    </row>
    <row r="7" spans="2:12" s="2" customFormat="1" ht="32.25" customHeight="1">
      <c r="B7" s="201" t="s">
        <v>82</v>
      </c>
      <c r="C7" s="201"/>
      <c r="D7" s="265" t="s">
        <v>1147</v>
      </c>
      <c r="E7" s="266"/>
      <c r="F7" s="266"/>
      <c r="G7" s="266"/>
      <c r="H7" s="266"/>
      <c r="I7" s="266"/>
      <c r="J7" s="266"/>
      <c r="K7" s="266"/>
      <c r="L7" s="267"/>
    </row>
    <row r="8" spans="2:12" s="2" customFormat="1" ht="36" customHeight="1">
      <c r="B8" s="87" t="s">
        <v>1229</v>
      </c>
      <c r="C8" s="277" t="s">
        <v>1294</v>
      </c>
      <c r="D8" s="278"/>
      <c r="E8" s="88" t="s">
        <v>1231</v>
      </c>
      <c r="F8" s="52" t="s">
        <v>1245</v>
      </c>
      <c r="G8" s="88" t="s">
        <v>1233</v>
      </c>
      <c r="H8" s="52" t="s">
        <v>1295</v>
      </c>
      <c r="I8" s="279" t="s">
        <v>1235</v>
      </c>
      <c r="J8" s="279"/>
      <c r="K8" s="280" t="s">
        <v>1296</v>
      </c>
      <c r="L8" s="281"/>
    </row>
    <row r="9" spans="2:12" s="2" customFormat="1" ht="33" customHeight="1">
      <c r="B9" s="89" t="s">
        <v>1237</v>
      </c>
      <c r="C9" s="280" t="s">
        <v>1297</v>
      </c>
      <c r="D9" s="282"/>
      <c r="E9" s="281"/>
      <c r="F9" s="88" t="s">
        <v>1239</v>
      </c>
      <c r="G9" s="277" t="s">
        <v>1298</v>
      </c>
      <c r="H9" s="278"/>
      <c r="I9" s="90" t="s">
        <v>1241</v>
      </c>
      <c r="J9" s="52">
        <v>3133711079</v>
      </c>
      <c r="K9" s="91" t="s">
        <v>1243</v>
      </c>
      <c r="L9" s="92">
        <v>45502</v>
      </c>
    </row>
    <row r="10" spans="2:12" s="2" customFormat="1" ht="5.15" customHeight="1">
      <c r="B10" s="285"/>
      <c r="C10" s="286"/>
      <c r="D10" s="286"/>
      <c r="E10" s="286"/>
      <c r="F10" s="286"/>
      <c r="G10" s="286"/>
      <c r="H10" s="286"/>
      <c r="I10" s="286"/>
      <c r="J10" s="286"/>
      <c r="K10" s="286"/>
      <c r="L10" s="287"/>
    </row>
    <row r="11" spans="2:12" s="2" customFormat="1" ht="8.25" customHeight="1">
      <c r="B11" s="68"/>
      <c r="C11" s="68"/>
      <c r="D11" s="68"/>
      <c r="E11" s="68"/>
      <c r="F11" s="68"/>
      <c r="G11" s="68"/>
      <c r="H11" s="68"/>
      <c r="I11" s="68"/>
      <c r="J11" s="68"/>
      <c r="K11" s="68"/>
      <c r="L11" s="68"/>
    </row>
    <row r="12" spans="2:12" s="2" customFormat="1" ht="8.25" customHeight="1">
      <c r="B12" s="68"/>
      <c r="C12" s="68"/>
      <c r="D12" s="68"/>
      <c r="E12" s="68"/>
      <c r="F12" s="68"/>
      <c r="G12" s="68"/>
      <c r="H12" s="68"/>
      <c r="I12" s="68"/>
      <c r="J12" s="68"/>
      <c r="K12" s="68"/>
      <c r="L12" s="68"/>
    </row>
    <row r="13" spans="2:12" s="2" customFormat="1" ht="104.25" customHeight="1">
      <c r="B13" s="283" t="s">
        <v>1197</v>
      </c>
      <c r="C13" s="283"/>
      <c r="D13" s="283"/>
      <c r="E13" s="283"/>
      <c r="F13" s="283"/>
      <c r="G13" s="283"/>
      <c r="H13" s="283"/>
      <c r="I13" s="283"/>
      <c r="J13" s="283"/>
      <c r="K13" s="283"/>
      <c r="L13" s="283"/>
    </row>
    <row r="14" spans="2:12" s="2" customFormat="1" ht="8.25" customHeight="1">
      <c r="B14" s="68"/>
      <c r="C14" s="68"/>
      <c r="D14" s="68"/>
      <c r="E14" s="68"/>
      <c r="F14" s="68"/>
      <c r="G14" s="68"/>
      <c r="H14" s="68"/>
      <c r="I14" s="68"/>
      <c r="J14" s="68"/>
      <c r="K14" s="68"/>
      <c r="L14" s="68"/>
    </row>
    <row r="15" spans="2:12" s="2" customFormat="1" ht="180" customHeight="1">
      <c r="B15" s="284" t="s">
        <v>1226</v>
      </c>
      <c r="C15" s="284"/>
      <c r="D15" s="284"/>
      <c r="E15" s="284"/>
      <c r="F15" s="284"/>
      <c r="G15" s="284"/>
      <c r="H15" s="284"/>
      <c r="I15" s="284"/>
      <c r="J15" s="284"/>
      <c r="K15" s="284"/>
      <c r="L15" s="284"/>
    </row>
    <row r="16" spans="2:12" s="2" customFormat="1" ht="8.25" customHeight="1">
      <c r="B16" s="68"/>
      <c r="C16" s="68"/>
      <c r="D16" s="68"/>
      <c r="E16" s="68"/>
      <c r="F16" s="68"/>
      <c r="G16" s="68"/>
      <c r="H16" s="68"/>
      <c r="I16" s="68"/>
      <c r="J16" s="68"/>
      <c r="K16" s="68"/>
      <c r="L16" s="68"/>
    </row>
    <row r="17" spans="2:14" s="2" customFormat="1" ht="23.25" customHeight="1">
      <c r="B17" s="171" t="s">
        <v>115</v>
      </c>
      <c r="C17" s="172"/>
      <c r="D17" s="172"/>
      <c r="E17" s="172"/>
      <c r="F17" s="172"/>
      <c r="G17" s="172"/>
      <c r="H17" s="172"/>
      <c r="I17" s="172"/>
      <c r="J17" s="172"/>
      <c r="K17" s="172"/>
      <c r="L17" s="197"/>
    </row>
    <row r="18" spans="2:14" s="2" customFormat="1" ht="8.25" customHeight="1">
      <c r="B18" s="68"/>
      <c r="C18" s="68"/>
      <c r="D18" s="68"/>
      <c r="E18" s="68"/>
      <c r="F18" s="68"/>
      <c r="G18" s="68"/>
      <c r="H18" s="68"/>
      <c r="I18" s="68"/>
      <c r="J18" s="68"/>
      <c r="K18" s="68"/>
      <c r="L18" s="68"/>
    </row>
    <row r="19" spans="2:14" s="2" customFormat="1" ht="8.25" customHeight="1">
      <c r="B19" s="68"/>
      <c r="C19" s="68"/>
      <c r="D19" s="68"/>
      <c r="E19" s="68"/>
      <c r="F19" s="68"/>
      <c r="G19" s="68"/>
      <c r="H19" s="68"/>
      <c r="I19" s="68"/>
      <c r="J19" s="68"/>
      <c r="K19" s="68"/>
      <c r="L19" s="68"/>
    </row>
    <row r="20" spans="2:14" s="2" customFormat="1" ht="29.25" customHeight="1">
      <c r="B20" s="67">
        <v>1</v>
      </c>
      <c r="C20" s="264" t="s">
        <v>116</v>
      </c>
      <c r="D20" s="264"/>
      <c r="E20" s="264"/>
      <c r="F20" s="51" t="s">
        <v>1227</v>
      </c>
      <c r="G20" s="68"/>
      <c r="M20" s="263"/>
      <c r="N20" s="263"/>
    </row>
    <row r="21" spans="2:14" s="2" customFormat="1" ht="29.25" customHeight="1">
      <c r="B21" s="67">
        <v>2</v>
      </c>
      <c r="C21" s="264" t="s">
        <v>117</v>
      </c>
      <c r="D21" s="264"/>
      <c r="E21" s="264"/>
      <c r="F21" s="52"/>
      <c r="G21" s="68"/>
      <c r="M21" s="263"/>
      <c r="N21" s="263"/>
    </row>
    <row r="22" spans="2:14" s="2" customFormat="1" ht="29.25" customHeight="1">
      <c r="G22" s="68"/>
      <c r="M22" s="263"/>
      <c r="N22" s="263"/>
    </row>
    <row r="23" spans="2:14" s="2" customFormat="1" ht="43.5" customHeight="1">
      <c r="B23" s="201" t="s">
        <v>118</v>
      </c>
      <c r="C23" s="169" t="s">
        <v>1146</v>
      </c>
      <c r="D23" s="169"/>
      <c r="E23" s="169"/>
      <c r="F23" s="169"/>
      <c r="G23" s="29" t="s">
        <v>119</v>
      </c>
      <c r="H23" s="29" t="s">
        <v>119</v>
      </c>
      <c r="I23" s="29" t="s">
        <v>119</v>
      </c>
      <c r="L23" s="69"/>
      <c r="M23" s="69"/>
    </row>
    <row r="24" spans="2:14" s="2" customFormat="1" ht="29.25" customHeight="1">
      <c r="B24" s="201"/>
      <c r="C24" s="29" t="s">
        <v>104</v>
      </c>
      <c r="D24" s="29" t="s">
        <v>105</v>
      </c>
      <c r="E24" s="29" t="s">
        <v>106</v>
      </c>
      <c r="F24" s="37" t="s">
        <v>107</v>
      </c>
      <c r="G24" s="29">
        <v>2024</v>
      </c>
      <c r="H24" s="29">
        <v>2025</v>
      </c>
      <c r="I24" s="29">
        <v>2026</v>
      </c>
      <c r="L24" s="69"/>
      <c r="M24" s="69"/>
    </row>
    <row r="25" spans="2:14" s="2" customFormat="1" ht="33.75" customHeight="1">
      <c r="B25" s="201"/>
      <c r="C25" s="62">
        <v>24</v>
      </c>
      <c r="D25" s="63" t="s">
        <v>108</v>
      </c>
      <c r="E25" s="63" t="s">
        <v>109</v>
      </c>
      <c r="F25" s="63" t="s">
        <v>90</v>
      </c>
      <c r="G25" s="53">
        <v>1500</v>
      </c>
      <c r="H25" s="53">
        <v>1680</v>
      </c>
      <c r="I25" s="53">
        <v>1882</v>
      </c>
      <c r="M25" s="69"/>
    </row>
    <row r="26" spans="2:14" s="2" customFormat="1" ht="33.75" customHeight="1">
      <c r="B26" s="201"/>
      <c r="C26" s="62">
        <v>24</v>
      </c>
      <c r="D26" s="63" t="s">
        <v>108</v>
      </c>
      <c r="E26" s="63" t="s">
        <v>109</v>
      </c>
      <c r="F26" s="63" t="s">
        <v>92</v>
      </c>
      <c r="G26" s="53">
        <v>1500</v>
      </c>
      <c r="H26" s="53">
        <v>1680</v>
      </c>
      <c r="I26" s="53">
        <v>1882</v>
      </c>
      <c r="M26" s="69"/>
    </row>
    <row r="27" spans="2:14" s="2" customFormat="1" ht="33.75" customHeight="1">
      <c r="B27" s="201"/>
      <c r="C27" s="62">
        <v>24</v>
      </c>
      <c r="D27" s="63" t="s">
        <v>1143</v>
      </c>
      <c r="E27" s="63" t="s">
        <v>109</v>
      </c>
      <c r="F27" s="63" t="s">
        <v>92</v>
      </c>
      <c r="G27" s="53">
        <v>1500</v>
      </c>
      <c r="H27" s="53">
        <v>1680</v>
      </c>
      <c r="I27" s="53">
        <v>1882</v>
      </c>
      <c r="M27" s="69"/>
    </row>
    <row r="28" spans="2:14" s="2" customFormat="1" ht="33.75" customHeight="1">
      <c r="B28" s="201"/>
      <c r="C28" s="62">
        <v>12</v>
      </c>
      <c r="D28" s="63" t="s">
        <v>110</v>
      </c>
      <c r="E28" s="63" t="s">
        <v>111</v>
      </c>
      <c r="F28" s="63" t="s">
        <v>1144</v>
      </c>
      <c r="G28" s="53">
        <v>1500</v>
      </c>
      <c r="H28" s="53">
        <v>1680</v>
      </c>
      <c r="I28" s="53">
        <v>1882</v>
      </c>
      <c r="M28" s="69"/>
    </row>
    <row r="29" spans="2:14" s="2" customFormat="1" ht="33.75" customHeight="1">
      <c r="B29" s="201"/>
      <c r="C29" s="62">
        <v>12</v>
      </c>
      <c r="D29" s="63" t="s">
        <v>110</v>
      </c>
      <c r="E29" s="66" t="s">
        <v>1190</v>
      </c>
      <c r="F29" s="63" t="s">
        <v>90</v>
      </c>
      <c r="G29" s="53">
        <v>1500</v>
      </c>
      <c r="H29" s="53">
        <v>1680</v>
      </c>
      <c r="I29" s="53">
        <v>1882</v>
      </c>
      <c r="M29" s="69"/>
    </row>
    <row r="30" spans="2:14" s="2" customFormat="1" ht="33.75" customHeight="1">
      <c r="B30" s="201"/>
      <c r="C30" s="62">
        <v>12</v>
      </c>
      <c r="D30" s="63" t="s">
        <v>108</v>
      </c>
      <c r="E30" s="63" t="s">
        <v>111</v>
      </c>
      <c r="F30" s="63" t="s">
        <v>90</v>
      </c>
      <c r="G30" s="53">
        <v>1500</v>
      </c>
      <c r="H30" s="53">
        <v>1680</v>
      </c>
      <c r="I30" s="53">
        <v>1882</v>
      </c>
      <c r="M30" s="69"/>
    </row>
    <row r="31" spans="2:14" s="2" customFormat="1" ht="29.25" customHeight="1">
      <c r="G31" s="98">
        <f>SUM(G25:G30)</f>
        <v>9000</v>
      </c>
      <c r="H31" s="98">
        <f>SUM(H25:H30)</f>
        <v>10080</v>
      </c>
      <c r="I31" s="98">
        <f>SUM(I25:I30)</f>
        <v>11292</v>
      </c>
      <c r="M31" s="69"/>
      <c r="N31" s="69"/>
    </row>
    <row r="32" spans="2:14" s="2" customFormat="1" ht="29.25" customHeight="1">
      <c r="B32" s="200" t="s">
        <v>120</v>
      </c>
      <c r="C32" s="200"/>
      <c r="D32" s="200"/>
      <c r="E32" s="200"/>
      <c r="F32" s="200"/>
      <c r="G32" s="200"/>
      <c r="H32" s="200"/>
      <c r="I32" s="200"/>
      <c r="J32" s="200"/>
      <c r="K32" s="200"/>
      <c r="L32" s="200"/>
      <c r="M32" s="200"/>
      <c r="N32" s="69"/>
    </row>
    <row r="33" spans="1:22" s="2" customFormat="1" ht="6.75" customHeight="1">
      <c r="A33" s="70"/>
      <c r="B33" s="70"/>
      <c r="C33" s="70"/>
      <c r="D33" s="70"/>
      <c r="E33" s="70"/>
      <c r="F33" s="70"/>
      <c r="G33" s="70"/>
      <c r="H33" s="70"/>
      <c r="I33" s="70"/>
      <c r="J33" s="70"/>
      <c r="K33" s="70"/>
      <c r="L33" s="70"/>
      <c r="M33" s="70"/>
      <c r="N33" s="69"/>
    </row>
    <row r="34" spans="1:22" s="2" customFormat="1" ht="46.5" customHeight="1">
      <c r="A34" s="70"/>
      <c r="B34" s="70"/>
      <c r="C34" s="70"/>
      <c r="D34" s="70"/>
      <c r="E34" s="70"/>
      <c r="F34" s="68"/>
      <c r="G34" s="68"/>
      <c r="H34" s="67" t="s">
        <v>1198</v>
      </c>
      <c r="I34" s="59" t="s">
        <v>1210</v>
      </c>
      <c r="J34" s="59" t="s">
        <v>1205</v>
      </c>
      <c r="K34" s="59" t="s">
        <v>1206</v>
      </c>
      <c r="L34" s="59" t="s">
        <v>1207</v>
      </c>
      <c r="M34" s="59" t="s">
        <v>1208</v>
      </c>
    </row>
    <row r="35" spans="1:22" s="2" customFormat="1" ht="29.25" customHeight="1">
      <c r="F35" s="202" t="s">
        <v>122</v>
      </c>
      <c r="G35" s="203"/>
      <c r="H35" s="71">
        <f>SUM(I35:M35)</f>
        <v>25</v>
      </c>
      <c r="I35" s="72">
        <v>1</v>
      </c>
      <c r="J35" s="80">
        <v>6.5</v>
      </c>
      <c r="K35" s="80">
        <v>5.5</v>
      </c>
      <c r="L35" s="80">
        <v>6.5</v>
      </c>
      <c r="M35" s="80">
        <v>5.5</v>
      </c>
    </row>
    <row r="36" spans="1:22" s="2" customFormat="1" ht="29.25" customHeight="1">
      <c r="B36" s="70"/>
      <c r="C36" s="70"/>
      <c r="D36" s="70"/>
      <c r="E36" s="70"/>
      <c r="F36" s="202" t="s">
        <v>1191</v>
      </c>
      <c r="G36" s="203"/>
      <c r="H36" s="38" t="s">
        <v>1211</v>
      </c>
      <c r="I36" s="38">
        <f>'[32]RESUMEN CIRCULAR_DECRETO'!N26</f>
        <v>1300000</v>
      </c>
      <c r="J36" s="38">
        <f>'[32]RESUMEN CIRCULAR_DECRETO'!N27</f>
        <v>1410500</v>
      </c>
      <c r="K36" s="38">
        <f>'[32]RESUMEN CIRCULAR_DECRETO'!N27</f>
        <v>1410500</v>
      </c>
      <c r="L36" s="38">
        <f>'[32]RESUMEN CIRCULAR_DECRETO'!N28</f>
        <v>1504157.2</v>
      </c>
      <c r="M36" s="38">
        <f>'[32]RESUMEN CIRCULAR_DECRETO'!N28</f>
        <v>1504157.2</v>
      </c>
    </row>
    <row r="37" spans="1:22" s="2" customFormat="1" ht="29.25" customHeight="1">
      <c r="B37" s="70"/>
      <c r="C37" s="70"/>
      <c r="D37" s="70"/>
      <c r="E37" s="70"/>
      <c r="F37" s="83"/>
      <c r="G37" s="83"/>
      <c r="H37" s="84"/>
      <c r="I37" s="84"/>
      <c r="J37" s="84"/>
      <c r="K37" s="84"/>
      <c r="L37" s="82"/>
      <c r="M37" s="82"/>
    </row>
    <row r="38" spans="1:22" s="2" customFormat="1" ht="24" customHeight="1">
      <c r="B38" s="200" t="s">
        <v>1192</v>
      </c>
      <c r="C38" s="200"/>
      <c r="D38" s="200"/>
      <c r="E38" s="200"/>
      <c r="F38" s="200"/>
      <c r="G38" s="200"/>
      <c r="H38" s="200"/>
      <c r="I38" s="200"/>
      <c r="J38" s="200"/>
      <c r="K38" s="200"/>
      <c r="L38" s="200"/>
      <c r="M38" s="200"/>
      <c r="N38" s="200"/>
      <c r="O38" s="200"/>
      <c r="P38" s="200"/>
      <c r="Q38" s="200"/>
      <c r="R38" s="200"/>
      <c r="S38" s="200"/>
      <c r="T38" s="200"/>
      <c r="U38" s="200"/>
      <c r="V38" s="200"/>
    </row>
    <row r="39" spans="1:22" s="2" customFormat="1" ht="11.25" customHeight="1">
      <c r="M39" s="69"/>
      <c r="N39" s="69"/>
    </row>
    <row r="40" spans="1:22" s="2" customFormat="1" ht="9.75" customHeight="1">
      <c r="C40" s="4"/>
      <c r="D40" s="4"/>
      <c r="E40" s="4"/>
      <c r="F40" s="4"/>
    </row>
    <row r="41" spans="1:22" s="2" customFormat="1" ht="26.25" customHeight="1">
      <c r="B41" s="200" t="s">
        <v>1148</v>
      </c>
      <c r="C41" s="200"/>
      <c r="D41" s="200"/>
      <c r="E41" s="200"/>
      <c r="F41" s="200"/>
      <c r="G41" s="200"/>
      <c r="H41" s="200"/>
      <c r="I41" s="200"/>
      <c r="J41" s="200"/>
      <c r="K41" s="200"/>
      <c r="L41" s="200"/>
      <c r="M41" s="200"/>
      <c r="N41" s="200"/>
      <c r="O41" s="200"/>
      <c r="P41" s="200"/>
      <c r="Q41" s="200"/>
      <c r="R41" s="200"/>
      <c r="S41" s="200"/>
      <c r="T41" s="200"/>
      <c r="U41" s="200"/>
      <c r="V41" s="200"/>
    </row>
    <row r="42" spans="1:22" s="2" customFormat="1" ht="12.5">
      <c r="C42" s="4"/>
      <c r="D42" s="4"/>
      <c r="E42" s="4"/>
      <c r="F42" s="4"/>
      <c r="G42" s="4"/>
      <c r="H42" s="4"/>
    </row>
    <row r="43" spans="1:22" s="2" customFormat="1" ht="70.5" customHeight="1">
      <c r="B43" s="169" t="s">
        <v>123</v>
      </c>
      <c r="C43" s="169"/>
      <c r="D43" s="169"/>
      <c r="E43" s="169"/>
      <c r="F43" s="169" t="s">
        <v>1196</v>
      </c>
      <c r="G43" s="169"/>
      <c r="H43" s="169"/>
      <c r="I43" s="169"/>
      <c r="J43" s="169"/>
      <c r="K43" s="169"/>
      <c r="L43" s="261" t="s">
        <v>1204</v>
      </c>
      <c r="M43" s="262"/>
      <c r="N43" s="261" t="s">
        <v>1205</v>
      </c>
      <c r="O43" s="262"/>
      <c r="P43" s="261" t="s">
        <v>1206</v>
      </c>
      <c r="Q43" s="262"/>
      <c r="R43" s="261" t="s">
        <v>1207</v>
      </c>
      <c r="S43" s="262"/>
      <c r="T43" s="261" t="s">
        <v>1208</v>
      </c>
      <c r="U43" s="262"/>
      <c r="V43" s="29" t="s">
        <v>1198</v>
      </c>
    </row>
    <row r="44" spans="1:22" s="2" customFormat="1" ht="71.25" customHeight="1">
      <c r="B44" s="29" t="s">
        <v>104</v>
      </c>
      <c r="C44" s="29" t="s">
        <v>105</v>
      </c>
      <c r="D44" s="29" t="s">
        <v>106</v>
      </c>
      <c r="E44" s="29" t="s">
        <v>107</v>
      </c>
      <c r="F44" s="29" t="s">
        <v>124</v>
      </c>
      <c r="G44" s="29" t="s">
        <v>1209</v>
      </c>
      <c r="H44" s="29" t="s">
        <v>1199</v>
      </c>
      <c r="I44" s="29" t="s">
        <v>1200</v>
      </c>
      <c r="J44" s="29" t="s">
        <v>1201</v>
      </c>
      <c r="K44" s="29" t="s">
        <v>1202</v>
      </c>
      <c r="L44" s="73" t="s">
        <v>1180</v>
      </c>
      <c r="M44" s="58" t="s">
        <v>1181</v>
      </c>
      <c r="N44" s="73" t="s">
        <v>1182</v>
      </c>
      <c r="O44" s="58" t="s">
        <v>1183</v>
      </c>
      <c r="P44" s="73" t="s">
        <v>1182</v>
      </c>
      <c r="Q44" s="58" t="s">
        <v>1183</v>
      </c>
      <c r="R44" s="73" t="s">
        <v>1182</v>
      </c>
      <c r="S44" s="58" t="s">
        <v>1183</v>
      </c>
      <c r="T44" s="73" t="s">
        <v>1182</v>
      </c>
      <c r="U44" s="58" t="s">
        <v>1183</v>
      </c>
      <c r="V44" s="29" t="s">
        <v>1213</v>
      </c>
    </row>
    <row r="45" spans="1:22" s="2" customFormat="1" ht="30.75" customHeight="1">
      <c r="B45" s="62">
        <v>24</v>
      </c>
      <c r="C45" s="63" t="s">
        <v>108</v>
      </c>
      <c r="D45" s="63" t="s">
        <v>109</v>
      </c>
      <c r="E45" s="63" t="s">
        <v>90</v>
      </c>
      <c r="F45" s="59">
        <v>5</v>
      </c>
      <c r="G45" s="38">
        <f>IF(F45=0,"No se requiere",'[32]RESUMEN CIRCULAR_DECRETO'!H33)</f>
        <v>12834180</v>
      </c>
      <c r="H45" s="38">
        <f>IF(F45=0,"No se requiere",'[32]RESUMEN CIRCULAR_DECRETO'!K33)</f>
        <v>13925142</v>
      </c>
      <c r="I45" s="38">
        <f>IF(G45=0,"No se requiere",'[32]RESUMEN CIRCULAR_DECRETO'!N33)</f>
        <v>14153643</v>
      </c>
      <c r="J45" s="38">
        <f>IF(H45=0,"No se requiere",'[32]RESUMEN CIRCULAR_DECRETO'!Q33)</f>
        <v>15093542</v>
      </c>
      <c r="K45" s="38">
        <f>IF(I45=0,"No se requiere",'[32]RESUMEN CIRCULAR_DECRETO'!T33)</f>
        <v>15142277</v>
      </c>
      <c r="L45" s="39">
        <f t="shared" ref="L45:L50" si="0">G45*F45</f>
        <v>64170900</v>
      </c>
      <c r="M45" s="39">
        <f>ROUND(L45*$I$35,0)</f>
        <v>64170900</v>
      </c>
      <c r="N45" s="39">
        <f t="shared" ref="N45:N50" si="1">H45*F45</f>
        <v>69625710</v>
      </c>
      <c r="O45" s="39">
        <f>ROUND(N45*$J$35,0)</f>
        <v>452567115</v>
      </c>
      <c r="P45" s="39">
        <f>I45*F45</f>
        <v>70768215</v>
      </c>
      <c r="Q45" s="39">
        <f>ROUND(P45*$K$35,0)</f>
        <v>389225183</v>
      </c>
      <c r="R45" s="39">
        <f>J45*F45</f>
        <v>75467710</v>
      </c>
      <c r="S45" s="39">
        <f>ROUND(R45*$L$35,0)</f>
        <v>490540115</v>
      </c>
      <c r="T45" s="39">
        <f>K45*F45</f>
        <v>75711385</v>
      </c>
      <c r="U45" s="39">
        <f>ROUND(T45*$M$35,0)</f>
        <v>416412618</v>
      </c>
      <c r="V45" s="81">
        <f>O45+M45+Q45+S45+U45</f>
        <v>1812915931</v>
      </c>
    </row>
    <row r="46" spans="1:22" s="2" customFormat="1" ht="30.75" customHeight="1">
      <c r="B46" s="62">
        <v>24</v>
      </c>
      <c r="C46" s="63" t="s">
        <v>108</v>
      </c>
      <c r="D46" s="63" t="s">
        <v>109</v>
      </c>
      <c r="E46" s="63" t="s">
        <v>92</v>
      </c>
      <c r="F46" s="59">
        <v>11</v>
      </c>
      <c r="G46" s="38">
        <f>IF(F46=0,"No se requiere",'[32]RESUMEN CIRCULAR_DECRETO'!H34)</f>
        <v>13071850</v>
      </c>
      <c r="H46" s="38">
        <f>IF(F46=0,"No se requiere",'[32]RESUMEN CIRCULAR_DECRETO'!K34)</f>
        <v>14183015</v>
      </c>
      <c r="I46" s="38">
        <f>IF(G46=0,"No se requiere",'[32]RESUMEN CIRCULAR_DECRETO'!N34)</f>
        <v>14415748</v>
      </c>
      <c r="J46" s="38">
        <f>IF(H46=0,"No se requiere",'[32]RESUMEN CIRCULAR_DECRETO'!Q34)</f>
        <v>15373052</v>
      </c>
      <c r="K46" s="38">
        <f>IF(I46=0,"No se requiere",'[32]RESUMEN CIRCULAR_DECRETO'!T34)</f>
        <v>15422690</v>
      </c>
      <c r="L46" s="39">
        <f t="shared" si="0"/>
        <v>143790350</v>
      </c>
      <c r="M46" s="39">
        <f t="shared" ref="M46:M50" si="2">ROUND(L46*$I$35,0)</f>
        <v>143790350</v>
      </c>
      <c r="N46" s="39">
        <f t="shared" si="1"/>
        <v>156013165</v>
      </c>
      <c r="O46" s="39">
        <f t="shared" ref="O46:O50" si="3">ROUND(N46*$J$35,0)</f>
        <v>1014085573</v>
      </c>
      <c r="P46" s="39">
        <f t="shared" ref="P46:P50" si="4">I46*F46</f>
        <v>158573228</v>
      </c>
      <c r="Q46" s="39">
        <f t="shared" ref="Q46:Q50" si="5">ROUND(P46*$K$35,0)</f>
        <v>872152754</v>
      </c>
      <c r="R46" s="39">
        <f t="shared" ref="R46:R50" si="6">J46*F46</f>
        <v>169103572</v>
      </c>
      <c r="S46" s="39">
        <f t="shared" ref="S46:S50" si="7">ROUND(R46*$L$35,0)</f>
        <v>1099173218</v>
      </c>
      <c r="T46" s="39">
        <f t="shared" ref="T46:T50" si="8">K46*F46</f>
        <v>169649590</v>
      </c>
      <c r="U46" s="39">
        <f t="shared" ref="U46:U50" si="9">ROUND(T46*$M$35,0)</f>
        <v>933072745</v>
      </c>
      <c r="V46" s="81">
        <f t="shared" ref="V46:V50" si="10">O46+M46+Q46+S46+U46</f>
        <v>4062274640</v>
      </c>
    </row>
    <row r="47" spans="1:22" s="2" customFormat="1" ht="30.75" customHeight="1">
      <c r="B47" s="62">
        <v>24</v>
      </c>
      <c r="C47" s="63" t="s">
        <v>1143</v>
      </c>
      <c r="D47" s="63" t="s">
        <v>109</v>
      </c>
      <c r="E47" s="63" t="s">
        <v>92</v>
      </c>
      <c r="F47" s="59">
        <v>1</v>
      </c>
      <c r="G47" s="38">
        <f>IF(F47=0,"No se requiere",'[32]RESUMEN CIRCULAR_DECRETO'!H35)</f>
        <v>4358384</v>
      </c>
      <c r="H47" s="38">
        <f>IF(F47=0,"No se requiere",'[32]RESUMEN CIRCULAR_DECRETO'!K35)</f>
        <v>4728903</v>
      </c>
      <c r="I47" s="38">
        <f>IF(G47=0,"No se requiere",'[32]RESUMEN CIRCULAR_DECRETO'!N35)</f>
        <v>4806481</v>
      </c>
      <c r="J47" s="38">
        <f>IF(H47=0,"No se requiere",'[32]RESUMEN CIRCULAR_DECRETO'!Q35)</f>
        <v>5125731</v>
      </c>
      <c r="K47" s="38">
        <f>IF(I47=0,"No se requiere",'[32]RESUMEN CIRCULAR_DECRETO'!T35)</f>
        <v>5142277</v>
      </c>
      <c r="L47" s="39">
        <f t="shared" si="0"/>
        <v>4358384</v>
      </c>
      <c r="M47" s="39">
        <f t="shared" si="2"/>
        <v>4358384</v>
      </c>
      <c r="N47" s="39">
        <f t="shared" si="1"/>
        <v>4728903</v>
      </c>
      <c r="O47" s="39">
        <f t="shared" si="3"/>
        <v>30737870</v>
      </c>
      <c r="P47" s="39">
        <f t="shared" si="4"/>
        <v>4806481</v>
      </c>
      <c r="Q47" s="39">
        <f t="shared" si="5"/>
        <v>26435646</v>
      </c>
      <c r="R47" s="39">
        <f t="shared" si="6"/>
        <v>5125731</v>
      </c>
      <c r="S47" s="39">
        <f t="shared" si="7"/>
        <v>33317252</v>
      </c>
      <c r="T47" s="39">
        <f t="shared" si="8"/>
        <v>5142277</v>
      </c>
      <c r="U47" s="39">
        <f t="shared" si="9"/>
        <v>28282524</v>
      </c>
      <c r="V47" s="81">
        <f t="shared" si="10"/>
        <v>123131676</v>
      </c>
    </row>
    <row r="48" spans="1:22" s="2" customFormat="1" ht="30.75" customHeight="1">
      <c r="B48" s="62">
        <v>12</v>
      </c>
      <c r="C48" s="63" t="s">
        <v>110</v>
      </c>
      <c r="D48" s="63" t="s">
        <v>111</v>
      </c>
      <c r="E48" s="63" t="s">
        <v>1144</v>
      </c>
      <c r="F48" s="59">
        <v>1</v>
      </c>
      <c r="G48" s="38">
        <f>IF(F48=0,"No se requiere",'[32]RESUMEN CIRCULAR_DECRETO'!H36)</f>
        <v>3903192</v>
      </c>
      <c r="H48" s="38">
        <f>IF(F48=0,"No se requiere",'[32]RESUMEN CIRCULAR_DECRETO'!K36)</f>
        <v>4235021</v>
      </c>
      <c r="I48" s="38">
        <f>IF(G48=0,"No se requiere",'[32]RESUMEN CIRCULAR_DECRETO'!N36)</f>
        <v>4304494</v>
      </c>
      <c r="J48" s="38">
        <f>IF(H48=0,"No se requiere",'[32]RESUMEN CIRCULAR_DECRETO'!Q36)</f>
        <v>4590411</v>
      </c>
      <c r="K48" s="38">
        <f>IF(I48=0,"No se requiere",'[32]RESUMEN CIRCULAR_DECRETO'!T36)</f>
        <v>4605228</v>
      </c>
      <c r="L48" s="39">
        <f t="shared" si="0"/>
        <v>3903192</v>
      </c>
      <c r="M48" s="39">
        <f t="shared" si="2"/>
        <v>3903192</v>
      </c>
      <c r="N48" s="39">
        <f t="shared" si="1"/>
        <v>4235021</v>
      </c>
      <c r="O48" s="39">
        <f t="shared" si="3"/>
        <v>27527637</v>
      </c>
      <c r="P48" s="39">
        <f t="shared" si="4"/>
        <v>4304494</v>
      </c>
      <c r="Q48" s="39">
        <f t="shared" si="5"/>
        <v>23674717</v>
      </c>
      <c r="R48" s="39">
        <f t="shared" si="6"/>
        <v>4590411</v>
      </c>
      <c r="S48" s="39">
        <f t="shared" si="7"/>
        <v>29837672</v>
      </c>
      <c r="T48" s="39">
        <f t="shared" si="8"/>
        <v>4605228</v>
      </c>
      <c r="U48" s="39">
        <f t="shared" si="9"/>
        <v>25328754</v>
      </c>
      <c r="V48" s="81">
        <f t="shared" si="10"/>
        <v>110271972</v>
      </c>
    </row>
    <row r="49" spans="2:22" s="2" customFormat="1" ht="30.75" customHeight="1">
      <c r="B49" s="62">
        <v>12</v>
      </c>
      <c r="C49" s="63" t="s">
        <v>110</v>
      </c>
      <c r="D49" s="66" t="s">
        <v>1190</v>
      </c>
      <c r="E49" s="63" t="s">
        <v>90</v>
      </c>
      <c r="F49" s="59">
        <v>1</v>
      </c>
      <c r="G49" s="38">
        <f>IF(F49=0,"No se requiere",'[32]RESUMEN CIRCULAR_DECRETO'!H37)</f>
        <v>4726055</v>
      </c>
      <c r="H49" s="38">
        <f>IF(F49=0,"No se requiere",'[32]RESUMEN CIRCULAR_DECRETO'!K37)</f>
        <v>5127827</v>
      </c>
      <c r="I49" s="38">
        <f>IF(G49=0,"No se requiere",'[32]RESUMEN CIRCULAR_DECRETO'!N37)</f>
        <v>5211951</v>
      </c>
      <c r="J49" s="38">
        <f>IF(H49=0,"No se requiere",'[32]RESUMEN CIRCULAR_DECRETO'!Q37)</f>
        <v>5558123</v>
      </c>
      <c r="K49" s="38">
        <f>IF(I49=0,"No se requiere",'[32]RESUMEN CIRCULAR_DECRETO'!T37)</f>
        <v>5576065</v>
      </c>
      <c r="L49" s="39">
        <f t="shared" si="0"/>
        <v>4726055</v>
      </c>
      <c r="M49" s="39">
        <f t="shared" si="2"/>
        <v>4726055</v>
      </c>
      <c r="N49" s="39">
        <f t="shared" si="1"/>
        <v>5127827</v>
      </c>
      <c r="O49" s="39">
        <f t="shared" si="3"/>
        <v>33330876</v>
      </c>
      <c r="P49" s="39">
        <f t="shared" si="4"/>
        <v>5211951</v>
      </c>
      <c r="Q49" s="39">
        <f t="shared" si="5"/>
        <v>28665731</v>
      </c>
      <c r="R49" s="39">
        <f t="shared" si="6"/>
        <v>5558123</v>
      </c>
      <c r="S49" s="39">
        <f t="shared" si="7"/>
        <v>36127800</v>
      </c>
      <c r="T49" s="39">
        <f t="shared" si="8"/>
        <v>5576065</v>
      </c>
      <c r="U49" s="39">
        <f t="shared" si="9"/>
        <v>30668358</v>
      </c>
      <c r="V49" s="81">
        <f t="shared" si="10"/>
        <v>133518820</v>
      </c>
    </row>
    <row r="50" spans="2:22" s="2" customFormat="1" ht="30.75" customHeight="1">
      <c r="B50" s="62">
        <v>12</v>
      </c>
      <c r="C50" s="63" t="s">
        <v>108</v>
      </c>
      <c r="D50" s="63" t="s">
        <v>111</v>
      </c>
      <c r="E50" s="63" t="s">
        <v>90</v>
      </c>
      <c r="F50" s="59">
        <v>1</v>
      </c>
      <c r="G50" s="38">
        <f>IF(F50=0,"No se requiere",'[32]RESUMEN CIRCULAR_DECRETO'!H38)</f>
        <v>5747527</v>
      </c>
      <c r="H50" s="38">
        <f>IF(F50=0,"No se requiere",'[32]RESUMEN CIRCULAR_DECRETO'!K38)</f>
        <v>6236123</v>
      </c>
      <c r="I50" s="38">
        <f>IF(G50=0,"No se requiere",'[32]RESUMEN CIRCULAR_DECRETO'!N38)</f>
        <v>6338437</v>
      </c>
      <c r="J50" s="38">
        <f>IF(H50=0,"No se requiere",'[32]RESUMEN CIRCULAR_DECRETO'!Q38)</f>
        <v>6759407</v>
      </c>
      <c r="K50" s="38">
        <f>IF(I50=0,"No se requiere",'[32]RESUMEN CIRCULAR_DECRETO'!T38)</f>
        <v>6781228</v>
      </c>
      <c r="L50" s="39">
        <f t="shared" si="0"/>
        <v>5747527</v>
      </c>
      <c r="M50" s="39">
        <f t="shared" si="2"/>
        <v>5747527</v>
      </c>
      <c r="N50" s="39">
        <f t="shared" si="1"/>
        <v>6236123</v>
      </c>
      <c r="O50" s="39">
        <f t="shared" si="3"/>
        <v>40534800</v>
      </c>
      <c r="P50" s="39">
        <f t="shared" si="4"/>
        <v>6338437</v>
      </c>
      <c r="Q50" s="39">
        <f t="shared" si="5"/>
        <v>34861404</v>
      </c>
      <c r="R50" s="39">
        <f t="shared" si="6"/>
        <v>6759407</v>
      </c>
      <c r="S50" s="39">
        <f t="shared" si="7"/>
        <v>43936146</v>
      </c>
      <c r="T50" s="39">
        <f t="shared" si="8"/>
        <v>6781228</v>
      </c>
      <c r="U50" s="39">
        <f t="shared" si="9"/>
        <v>37296754</v>
      </c>
      <c r="V50" s="81">
        <f t="shared" si="10"/>
        <v>162376631</v>
      </c>
    </row>
    <row r="51" spans="2:22" s="2" customFormat="1" ht="27" customHeight="1">
      <c r="B51" s="201" t="s">
        <v>1212</v>
      </c>
      <c r="C51" s="201"/>
      <c r="D51" s="201"/>
      <c r="E51" s="201"/>
      <c r="F51" s="201"/>
      <c r="G51" s="201"/>
      <c r="H51" s="201"/>
      <c r="I51" s="201"/>
      <c r="J51" s="201"/>
      <c r="K51" s="201"/>
      <c r="L51" s="201"/>
      <c r="M51" s="201"/>
      <c r="N51" s="201"/>
      <c r="O51" s="201"/>
      <c r="P51" s="201"/>
      <c r="Q51" s="201"/>
      <c r="R51" s="201"/>
      <c r="S51" s="201"/>
      <c r="T51" s="201"/>
      <c r="U51" s="201"/>
      <c r="V51" s="81">
        <f>SUM(V45:V50)</f>
        <v>6404489670</v>
      </c>
    </row>
    <row r="52" spans="2:22" s="2" customFormat="1" ht="12.5">
      <c r="C52" s="4"/>
      <c r="D52" s="4"/>
      <c r="E52" s="4"/>
      <c r="F52" s="4"/>
      <c r="G52" s="4"/>
      <c r="H52" s="4"/>
    </row>
    <row r="53" spans="2:22" s="2" customFormat="1" ht="12.5">
      <c r="C53" s="4"/>
      <c r="D53" s="4"/>
      <c r="E53" s="4"/>
      <c r="F53" s="4"/>
      <c r="G53" s="4"/>
      <c r="H53" s="4"/>
    </row>
    <row r="54" spans="2:22" s="2" customFormat="1" ht="27.75" customHeight="1">
      <c r="B54" s="200" t="s">
        <v>1193</v>
      </c>
      <c r="C54" s="200"/>
      <c r="D54" s="200"/>
      <c r="E54" s="200"/>
      <c r="F54" s="200"/>
      <c r="G54" s="200"/>
      <c r="H54" s="200"/>
      <c r="I54" s="200"/>
      <c r="J54" s="200"/>
      <c r="K54" s="200"/>
      <c r="L54" s="200"/>
      <c r="M54" s="200"/>
      <c r="N54" s="200"/>
      <c r="O54" s="200"/>
      <c r="P54" s="200"/>
      <c r="Q54" s="200"/>
      <c r="R54" s="200"/>
      <c r="S54" s="200"/>
      <c r="T54" s="200"/>
      <c r="U54" s="200"/>
      <c r="V54" s="200"/>
    </row>
    <row r="55" spans="2:22" s="2" customFormat="1" ht="12.5">
      <c r="C55" s="4"/>
      <c r="D55" s="4"/>
      <c r="E55" s="4"/>
      <c r="F55" s="4"/>
      <c r="G55" s="4"/>
      <c r="H55" s="4"/>
    </row>
    <row r="56" spans="2:22" s="2" customFormat="1" ht="61.5" customHeight="1">
      <c r="B56" s="169" t="s">
        <v>1194</v>
      </c>
      <c r="C56" s="169"/>
      <c r="D56" s="169"/>
      <c r="E56" s="169"/>
      <c r="F56" s="169" t="s">
        <v>1214</v>
      </c>
      <c r="G56" s="169"/>
      <c r="H56" s="169"/>
      <c r="I56" s="169"/>
      <c r="J56" s="169"/>
      <c r="K56" s="169"/>
      <c r="L56" s="169"/>
      <c r="M56" s="169"/>
      <c r="N56" s="169"/>
      <c r="O56" s="169"/>
      <c r="P56" s="169"/>
    </row>
    <row r="57" spans="2:22" s="2" customFormat="1" ht="60" customHeight="1">
      <c r="B57" s="74" t="s">
        <v>1176</v>
      </c>
      <c r="C57" s="29" t="s">
        <v>1177</v>
      </c>
      <c r="D57" s="173" t="s">
        <v>125</v>
      </c>
      <c r="E57" s="174"/>
      <c r="F57" s="60" t="s">
        <v>124</v>
      </c>
      <c r="G57" s="75" t="s">
        <v>126</v>
      </c>
      <c r="H57" s="75" t="s">
        <v>1215</v>
      </c>
      <c r="I57" s="75" t="s">
        <v>1216</v>
      </c>
      <c r="J57" s="85" t="s">
        <v>1217</v>
      </c>
      <c r="K57" s="85" t="s">
        <v>1218</v>
      </c>
      <c r="L57" s="85" t="s">
        <v>1219</v>
      </c>
      <c r="M57" s="85" t="s">
        <v>1220</v>
      </c>
      <c r="N57" s="85" t="s">
        <v>1221</v>
      </c>
      <c r="O57" s="85" t="s">
        <v>1222</v>
      </c>
      <c r="P57" s="60" t="s">
        <v>1223</v>
      </c>
    </row>
    <row r="58" spans="2:22" s="2" customFormat="1" ht="57.75" customHeight="1">
      <c r="B58" s="59">
        <v>1</v>
      </c>
      <c r="C58" s="67" t="s">
        <v>1149</v>
      </c>
      <c r="D58" s="196" t="s">
        <v>1150</v>
      </c>
      <c r="E58" s="196"/>
      <c r="F58" s="76">
        <v>8</v>
      </c>
      <c r="G58" s="54">
        <v>406000</v>
      </c>
      <c r="H58" s="54">
        <f>+G58*12%+G58</f>
        <v>454720</v>
      </c>
      <c r="I58" s="54">
        <f>+H58*12%+H58</f>
        <v>509286.40000000002</v>
      </c>
      <c r="J58" s="39">
        <f t="shared" ref="J58:J80" si="11">ROUND(G58*F58,0)</f>
        <v>3248000</v>
      </c>
      <c r="K58" s="39">
        <f>J58*$I$35</f>
        <v>3248000</v>
      </c>
      <c r="L58" s="39">
        <f>ROUND(H58*F58,0)</f>
        <v>3637760</v>
      </c>
      <c r="M58" s="39">
        <f>L58*(SUM($J$35:$K$35))</f>
        <v>43653120</v>
      </c>
      <c r="N58" s="39">
        <f>ROUND(I58*F58,0)</f>
        <v>4074291</v>
      </c>
      <c r="O58" s="39">
        <f>N58*(SUM($L$35:$M$35))</f>
        <v>48891492</v>
      </c>
      <c r="P58" s="81">
        <f>K58+M58+O58</f>
        <v>95792612</v>
      </c>
    </row>
    <row r="59" spans="2:22" s="2" customFormat="1" ht="78" customHeight="1">
      <c r="B59" s="59">
        <v>2</v>
      </c>
      <c r="C59" s="67" t="s">
        <v>1149</v>
      </c>
      <c r="D59" s="196" t="s">
        <v>1151</v>
      </c>
      <c r="E59" s="196" t="s">
        <v>1151</v>
      </c>
      <c r="F59" s="76">
        <v>8</v>
      </c>
      <c r="G59" s="54">
        <v>450000</v>
      </c>
      <c r="H59" s="54">
        <f t="shared" ref="H59:I80" si="12">+G59*12%+G59</f>
        <v>504000</v>
      </c>
      <c r="I59" s="54">
        <f t="shared" si="12"/>
        <v>564480</v>
      </c>
      <c r="J59" s="39">
        <f t="shared" si="11"/>
        <v>3600000</v>
      </c>
      <c r="K59" s="39">
        <f t="shared" ref="K59:K80" si="13">J59*$I$35</f>
        <v>3600000</v>
      </c>
      <c r="L59" s="39">
        <f t="shared" ref="L59:L80" si="14">ROUND(H59*F59,0)</f>
        <v>4032000</v>
      </c>
      <c r="M59" s="39">
        <f t="shared" ref="M59:M80" si="15">L59*(SUM($J$35:$K$35))</f>
        <v>48384000</v>
      </c>
      <c r="N59" s="39">
        <f t="shared" ref="N59:N80" si="16">ROUND(I59*F59,0)</f>
        <v>4515840</v>
      </c>
      <c r="O59" s="39">
        <f t="shared" ref="O59:O80" si="17">N59*(SUM($L$35:$M$35))</f>
        <v>54190080</v>
      </c>
      <c r="P59" s="81">
        <f t="shared" ref="P59:P80" si="18">K59+M59+O59</f>
        <v>106174080</v>
      </c>
    </row>
    <row r="60" spans="2:22" s="2" customFormat="1" ht="78" customHeight="1">
      <c r="B60" s="59">
        <v>3</v>
      </c>
      <c r="C60" s="67" t="s">
        <v>1149</v>
      </c>
      <c r="D60" s="196" t="s">
        <v>1152</v>
      </c>
      <c r="E60" s="196" t="s">
        <v>1152</v>
      </c>
      <c r="F60" s="76">
        <f>36+5</f>
        <v>41</v>
      </c>
      <c r="G60" s="54">
        <v>82500</v>
      </c>
      <c r="H60" s="54">
        <f t="shared" si="12"/>
        <v>92400</v>
      </c>
      <c r="I60" s="54">
        <f t="shared" si="12"/>
        <v>103488</v>
      </c>
      <c r="J60" s="39">
        <f t="shared" si="11"/>
        <v>3382500</v>
      </c>
      <c r="K60" s="39">
        <f t="shared" si="13"/>
        <v>3382500</v>
      </c>
      <c r="L60" s="39">
        <f t="shared" si="14"/>
        <v>3788400</v>
      </c>
      <c r="M60" s="39">
        <f t="shared" si="15"/>
        <v>45460800</v>
      </c>
      <c r="N60" s="39">
        <f t="shared" si="16"/>
        <v>4243008</v>
      </c>
      <c r="O60" s="39">
        <f t="shared" si="17"/>
        <v>50916096</v>
      </c>
      <c r="P60" s="81">
        <f t="shared" si="18"/>
        <v>99759396</v>
      </c>
    </row>
    <row r="61" spans="2:22" s="2" customFormat="1" ht="78" customHeight="1">
      <c r="B61" s="59">
        <v>4</v>
      </c>
      <c r="C61" s="67" t="s">
        <v>1149</v>
      </c>
      <c r="D61" s="196" t="s">
        <v>1153</v>
      </c>
      <c r="E61" s="196" t="s">
        <v>1153</v>
      </c>
      <c r="F61" s="76">
        <f>70+1</f>
        <v>71</v>
      </c>
      <c r="G61" s="54">
        <v>95600</v>
      </c>
      <c r="H61" s="54">
        <f t="shared" si="12"/>
        <v>107072</v>
      </c>
      <c r="I61" s="54">
        <f t="shared" si="12"/>
        <v>119920.64</v>
      </c>
      <c r="J61" s="39">
        <f t="shared" si="11"/>
        <v>6787600</v>
      </c>
      <c r="K61" s="39">
        <f t="shared" si="13"/>
        <v>6787600</v>
      </c>
      <c r="L61" s="39">
        <f t="shared" si="14"/>
        <v>7602112</v>
      </c>
      <c r="M61" s="39">
        <f t="shared" si="15"/>
        <v>91225344</v>
      </c>
      <c r="N61" s="39">
        <f t="shared" si="16"/>
        <v>8514365</v>
      </c>
      <c r="O61" s="39">
        <f t="shared" si="17"/>
        <v>102172380</v>
      </c>
      <c r="P61" s="81">
        <f t="shared" si="18"/>
        <v>200185324</v>
      </c>
    </row>
    <row r="62" spans="2:22" s="2" customFormat="1" ht="78" customHeight="1">
      <c r="B62" s="59">
        <v>5</v>
      </c>
      <c r="C62" s="67" t="s">
        <v>1149</v>
      </c>
      <c r="D62" s="196" t="s">
        <v>1154</v>
      </c>
      <c r="E62" s="196" t="s">
        <v>1154</v>
      </c>
      <c r="F62" s="76">
        <v>4</v>
      </c>
      <c r="G62" s="54">
        <v>400000</v>
      </c>
      <c r="H62" s="54">
        <f t="shared" si="12"/>
        <v>448000</v>
      </c>
      <c r="I62" s="54">
        <f t="shared" si="12"/>
        <v>501760</v>
      </c>
      <c r="J62" s="39">
        <f t="shared" si="11"/>
        <v>1600000</v>
      </c>
      <c r="K62" s="39">
        <f t="shared" si="13"/>
        <v>1600000</v>
      </c>
      <c r="L62" s="39">
        <f t="shared" si="14"/>
        <v>1792000</v>
      </c>
      <c r="M62" s="39">
        <f t="shared" si="15"/>
        <v>21504000</v>
      </c>
      <c r="N62" s="39">
        <f t="shared" si="16"/>
        <v>2007040</v>
      </c>
      <c r="O62" s="39">
        <f t="shared" si="17"/>
        <v>24084480</v>
      </c>
      <c r="P62" s="81">
        <f t="shared" si="18"/>
        <v>47188480</v>
      </c>
    </row>
    <row r="63" spans="2:22" s="2" customFormat="1" ht="71.25" customHeight="1">
      <c r="B63" s="59">
        <v>6</v>
      </c>
      <c r="C63" s="67" t="s">
        <v>1155</v>
      </c>
      <c r="D63" s="196" t="s">
        <v>1156</v>
      </c>
      <c r="E63" s="196"/>
      <c r="F63" s="76">
        <v>34</v>
      </c>
      <c r="G63" s="54">
        <v>72300</v>
      </c>
      <c r="H63" s="54">
        <f t="shared" si="12"/>
        <v>80976</v>
      </c>
      <c r="I63" s="54">
        <f t="shared" si="12"/>
        <v>90693.119999999995</v>
      </c>
      <c r="J63" s="39">
        <f t="shared" si="11"/>
        <v>2458200</v>
      </c>
      <c r="K63" s="39">
        <f t="shared" si="13"/>
        <v>2458200</v>
      </c>
      <c r="L63" s="39">
        <f t="shared" si="14"/>
        <v>2753184</v>
      </c>
      <c r="M63" s="39">
        <f t="shared" si="15"/>
        <v>33038208</v>
      </c>
      <c r="N63" s="39">
        <f t="shared" si="16"/>
        <v>3083566</v>
      </c>
      <c r="O63" s="39">
        <f t="shared" si="17"/>
        <v>37002792</v>
      </c>
      <c r="P63" s="81">
        <f t="shared" si="18"/>
        <v>72499200</v>
      </c>
    </row>
    <row r="64" spans="2:22" s="2" customFormat="1" ht="71.25" customHeight="1">
      <c r="B64" s="59">
        <v>7</v>
      </c>
      <c r="C64" s="67" t="s">
        <v>1155</v>
      </c>
      <c r="D64" s="196" t="s">
        <v>1157</v>
      </c>
      <c r="E64" s="196" t="s">
        <v>127</v>
      </c>
      <c r="F64" s="76">
        <v>8</v>
      </c>
      <c r="G64" s="54">
        <v>125000</v>
      </c>
      <c r="H64" s="54">
        <f t="shared" si="12"/>
        <v>140000</v>
      </c>
      <c r="I64" s="54">
        <f t="shared" si="12"/>
        <v>156800</v>
      </c>
      <c r="J64" s="39">
        <f t="shared" si="11"/>
        <v>1000000</v>
      </c>
      <c r="K64" s="39">
        <f t="shared" si="13"/>
        <v>1000000</v>
      </c>
      <c r="L64" s="39">
        <f t="shared" si="14"/>
        <v>1120000</v>
      </c>
      <c r="M64" s="39">
        <f t="shared" si="15"/>
        <v>13440000</v>
      </c>
      <c r="N64" s="39">
        <f t="shared" si="16"/>
        <v>1254400</v>
      </c>
      <c r="O64" s="39">
        <f t="shared" si="17"/>
        <v>15052800</v>
      </c>
      <c r="P64" s="81">
        <f t="shared" si="18"/>
        <v>29492800</v>
      </c>
    </row>
    <row r="65" spans="2:16" s="2" customFormat="1" ht="71.25" customHeight="1">
      <c r="B65" s="59">
        <v>8</v>
      </c>
      <c r="C65" s="67" t="s">
        <v>1155</v>
      </c>
      <c r="D65" s="196" t="s">
        <v>1158</v>
      </c>
      <c r="E65" s="196" t="s">
        <v>128</v>
      </c>
      <c r="F65" s="76">
        <v>7</v>
      </c>
      <c r="G65" s="54">
        <v>32000</v>
      </c>
      <c r="H65" s="54">
        <f t="shared" si="12"/>
        <v>35840</v>
      </c>
      <c r="I65" s="54">
        <f t="shared" si="12"/>
        <v>40140.800000000003</v>
      </c>
      <c r="J65" s="39">
        <f t="shared" si="11"/>
        <v>224000</v>
      </c>
      <c r="K65" s="39">
        <f t="shared" si="13"/>
        <v>224000</v>
      </c>
      <c r="L65" s="39">
        <f t="shared" si="14"/>
        <v>250880</v>
      </c>
      <c r="M65" s="39">
        <f t="shared" si="15"/>
        <v>3010560</v>
      </c>
      <c r="N65" s="39">
        <f t="shared" si="16"/>
        <v>280986</v>
      </c>
      <c r="O65" s="39">
        <f t="shared" si="17"/>
        <v>3371832</v>
      </c>
      <c r="P65" s="81">
        <f t="shared" si="18"/>
        <v>6606392</v>
      </c>
    </row>
    <row r="66" spans="2:16" s="2" customFormat="1" ht="71.25" customHeight="1">
      <c r="B66" s="59">
        <v>9</v>
      </c>
      <c r="C66" s="67" t="s">
        <v>1155</v>
      </c>
      <c r="D66" s="196" t="s">
        <v>1159</v>
      </c>
      <c r="E66" s="196" t="s">
        <v>1178</v>
      </c>
      <c r="F66" s="76">
        <v>9</v>
      </c>
      <c r="G66" s="54">
        <v>78000</v>
      </c>
      <c r="H66" s="54">
        <f t="shared" si="12"/>
        <v>87360</v>
      </c>
      <c r="I66" s="54">
        <f t="shared" si="12"/>
        <v>97843.199999999997</v>
      </c>
      <c r="J66" s="39">
        <f t="shared" si="11"/>
        <v>702000</v>
      </c>
      <c r="K66" s="39">
        <f t="shared" si="13"/>
        <v>702000</v>
      </c>
      <c r="L66" s="39">
        <f t="shared" si="14"/>
        <v>786240</v>
      </c>
      <c r="M66" s="39">
        <f t="shared" si="15"/>
        <v>9434880</v>
      </c>
      <c r="N66" s="39">
        <f t="shared" si="16"/>
        <v>880589</v>
      </c>
      <c r="O66" s="39">
        <f t="shared" si="17"/>
        <v>10567068</v>
      </c>
      <c r="P66" s="81">
        <f t="shared" si="18"/>
        <v>20703948</v>
      </c>
    </row>
    <row r="67" spans="2:16" s="2" customFormat="1" ht="71.25" customHeight="1">
      <c r="B67" s="59">
        <v>10</v>
      </c>
      <c r="C67" s="67" t="s">
        <v>1155</v>
      </c>
      <c r="D67" s="196" t="s">
        <v>1160</v>
      </c>
      <c r="E67" s="196" t="s">
        <v>1178</v>
      </c>
      <c r="F67" s="76">
        <v>8</v>
      </c>
      <c r="G67" s="54">
        <v>55000</v>
      </c>
      <c r="H67" s="54">
        <f t="shared" si="12"/>
        <v>61600</v>
      </c>
      <c r="I67" s="54">
        <f t="shared" si="12"/>
        <v>68992</v>
      </c>
      <c r="J67" s="39">
        <f t="shared" si="11"/>
        <v>440000</v>
      </c>
      <c r="K67" s="39">
        <f t="shared" si="13"/>
        <v>440000</v>
      </c>
      <c r="L67" s="39">
        <f t="shared" si="14"/>
        <v>492800</v>
      </c>
      <c r="M67" s="39">
        <f t="shared" si="15"/>
        <v>5913600</v>
      </c>
      <c r="N67" s="39">
        <f t="shared" si="16"/>
        <v>551936</v>
      </c>
      <c r="O67" s="39">
        <f t="shared" si="17"/>
        <v>6623232</v>
      </c>
      <c r="P67" s="81">
        <f t="shared" si="18"/>
        <v>12976832</v>
      </c>
    </row>
    <row r="68" spans="2:16" s="2" customFormat="1" ht="44.25" customHeight="1">
      <c r="B68" s="59">
        <v>11</v>
      </c>
      <c r="C68" s="67" t="s">
        <v>1155</v>
      </c>
      <c r="D68" s="196" t="s">
        <v>1161</v>
      </c>
      <c r="E68" s="196" t="s">
        <v>1178</v>
      </c>
      <c r="F68" s="76">
        <v>77</v>
      </c>
      <c r="G68" s="54">
        <v>28000</v>
      </c>
      <c r="H68" s="54">
        <f t="shared" si="12"/>
        <v>31360</v>
      </c>
      <c r="I68" s="54">
        <f t="shared" si="12"/>
        <v>35123.199999999997</v>
      </c>
      <c r="J68" s="39">
        <f t="shared" si="11"/>
        <v>2156000</v>
      </c>
      <c r="K68" s="39">
        <f t="shared" si="13"/>
        <v>2156000</v>
      </c>
      <c r="L68" s="39">
        <f t="shared" si="14"/>
        <v>2414720</v>
      </c>
      <c r="M68" s="39">
        <f t="shared" si="15"/>
        <v>28976640</v>
      </c>
      <c r="N68" s="39">
        <f t="shared" si="16"/>
        <v>2704486</v>
      </c>
      <c r="O68" s="39">
        <f t="shared" si="17"/>
        <v>32453832</v>
      </c>
      <c r="P68" s="81">
        <f t="shared" si="18"/>
        <v>63586472</v>
      </c>
    </row>
    <row r="69" spans="2:16" s="2" customFormat="1" ht="44.25" customHeight="1">
      <c r="B69" s="59">
        <v>12</v>
      </c>
      <c r="C69" s="67" t="s">
        <v>1155</v>
      </c>
      <c r="D69" s="196" t="s">
        <v>1162</v>
      </c>
      <c r="E69" s="196" t="s">
        <v>1179</v>
      </c>
      <c r="F69" s="76">
        <v>17</v>
      </c>
      <c r="G69" s="54">
        <v>42000</v>
      </c>
      <c r="H69" s="54">
        <f t="shared" si="12"/>
        <v>47040</v>
      </c>
      <c r="I69" s="54">
        <f t="shared" si="12"/>
        <v>52684.800000000003</v>
      </c>
      <c r="J69" s="39">
        <f t="shared" si="11"/>
        <v>714000</v>
      </c>
      <c r="K69" s="39">
        <f t="shared" si="13"/>
        <v>714000</v>
      </c>
      <c r="L69" s="39">
        <f t="shared" si="14"/>
        <v>799680</v>
      </c>
      <c r="M69" s="39">
        <f t="shared" si="15"/>
        <v>9596160</v>
      </c>
      <c r="N69" s="39">
        <f t="shared" si="16"/>
        <v>895642</v>
      </c>
      <c r="O69" s="39">
        <f t="shared" si="17"/>
        <v>10747704</v>
      </c>
      <c r="P69" s="81">
        <f t="shared" si="18"/>
        <v>21057864</v>
      </c>
    </row>
    <row r="70" spans="2:16" s="2" customFormat="1" ht="44.25" customHeight="1">
      <c r="B70" s="59">
        <v>13</v>
      </c>
      <c r="C70" s="67" t="s">
        <v>1155</v>
      </c>
      <c r="D70" s="196" t="s">
        <v>1163</v>
      </c>
      <c r="E70" s="196" t="s">
        <v>129</v>
      </c>
      <c r="F70" s="76">
        <v>12</v>
      </c>
      <c r="G70" s="54">
        <v>60300</v>
      </c>
      <c r="H70" s="54">
        <f t="shared" si="12"/>
        <v>67536</v>
      </c>
      <c r="I70" s="54">
        <f t="shared" si="12"/>
        <v>75640.320000000007</v>
      </c>
      <c r="J70" s="39">
        <f t="shared" si="11"/>
        <v>723600</v>
      </c>
      <c r="K70" s="39">
        <f t="shared" si="13"/>
        <v>723600</v>
      </c>
      <c r="L70" s="39">
        <f t="shared" si="14"/>
        <v>810432</v>
      </c>
      <c r="M70" s="39">
        <f t="shared" si="15"/>
        <v>9725184</v>
      </c>
      <c r="N70" s="39">
        <f t="shared" si="16"/>
        <v>907684</v>
      </c>
      <c r="O70" s="39">
        <f t="shared" si="17"/>
        <v>10892208</v>
      </c>
      <c r="P70" s="81">
        <f t="shared" si="18"/>
        <v>21340992</v>
      </c>
    </row>
    <row r="71" spans="2:16" s="2" customFormat="1" ht="44.25" customHeight="1">
      <c r="B71" s="59">
        <v>14</v>
      </c>
      <c r="C71" s="67" t="s">
        <v>1155</v>
      </c>
      <c r="D71" s="196" t="s">
        <v>1164</v>
      </c>
      <c r="E71" s="196" t="s">
        <v>130</v>
      </c>
      <c r="F71" s="76">
        <v>14</v>
      </c>
      <c r="G71" s="54">
        <v>18300</v>
      </c>
      <c r="H71" s="54">
        <f t="shared" si="12"/>
        <v>20496</v>
      </c>
      <c r="I71" s="54">
        <f t="shared" si="12"/>
        <v>22955.52</v>
      </c>
      <c r="J71" s="39">
        <f t="shared" si="11"/>
        <v>256200</v>
      </c>
      <c r="K71" s="39">
        <f t="shared" si="13"/>
        <v>256200</v>
      </c>
      <c r="L71" s="39">
        <f t="shared" si="14"/>
        <v>286944</v>
      </c>
      <c r="M71" s="39">
        <f t="shared" si="15"/>
        <v>3443328</v>
      </c>
      <c r="N71" s="39">
        <f t="shared" si="16"/>
        <v>321377</v>
      </c>
      <c r="O71" s="39">
        <f t="shared" si="17"/>
        <v>3856524</v>
      </c>
      <c r="P71" s="81">
        <f t="shared" si="18"/>
        <v>7556052</v>
      </c>
    </row>
    <row r="72" spans="2:16" s="2" customFormat="1" ht="44.25" customHeight="1">
      <c r="B72" s="59">
        <v>15</v>
      </c>
      <c r="C72" s="67" t="s">
        <v>1155</v>
      </c>
      <c r="D72" s="196" t="s">
        <v>1165</v>
      </c>
      <c r="E72" s="196" t="s">
        <v>131</v>
      </c>
      <c r="F72" s="76">
        <v>1</v>
      </c>
      <c r="G72" s="54">
        <v>33000</v>
      </c>
      <c r="H72" s="54">
        <f t="shared" si="12"/>
        <v>36960</v>
      </c>
      <c r="I72" s="54">
        <f t="shared" si="12"/>
        <v>41395.199999999997</v>
      </c>
      <c r="J72" s="39">
        <f t="shared" si="11"/>
        <v>33000</v>
      </c>
      <c r="K72" s="39">
        <f t="shared" si="13"/>
        <v>33000</v>
      </c>
      <c r="L72" s="39">
        <f t="shared" si="14"/>
        <v>36960</v>
      </c>
      <c r="M72" s="39">
        <f t="shared" si="15"/>
        <v>443520</v>
      </c>
      <c r="N72" s="39">
        <f t="shared" si="16"/>
        <v>41395</v>
      </c>
      <c r="O72" s="39">
        <f t="shared" si="17"/>
        <v>496740</v>
      </c>
      <c r="P72" s="81">
        <f t="shared" si="18"/>
        <v>973260</v>
      </c>
    </row>
    <row r="73" spans="2:16" s="2" customFormat="1" ht="61.5" customHeight="1">
      <c r="B73" s="59">
        <v>16</v>
      </c>
      <c r="C73" s="67" t="s">
        <v>1155</v>
      </c>
      <c r="D73" s="196" t="s">
        <v>1166</v>
      </c>
      <c r="E73" s="196" t="s">
        <v>132</v>
      </c>
      <c r="F73" s="76">
        <v>3</v>
      </c>
      <c r="G73" s="54">
        <v>423000</v>
      </c>
      <c r="H73" s="54">
        <f t="shared" si="12"/>
        <v>473760</v>
      </c>
      <c r="I73" s="54">
        <f t="shared" si="12"/>
        <v>530611.19999999995</v>
      </c>
      <c r="J73" s="39">
        <f t="shared" si="11"/>
        <v>1269000</v>
      </c>
      <c r="K73" s="39">
        <f t="shared" si="13"/>
        <v>1269000</v>
      </c>
      <c r="L73" s="39">
        <f t="shared" si="14"/>
        <v>1421280</v>
      </c>
      <c r="M73" s="39">
        <f t="shared" si="15"/>
        <v>17055360</v>
      </c>
      <c r="N73" s="39">
        <f t="shared" si="16"/>
        <v>1591834</v>
      </c>
      <c r="O73" s="39">
        <f t="shared" si="17"/>
        <v>19102008</v>
      </c>
      <c r="P73" s="81">
        <f t="shared" si="18"/>
        <v>37426368</v>
      </c>
    </row>
    <row r="74" spans="2:16" s="2" customFormat="1" ht="44.25" customHeight="1">
      <c r="B74" s="59">
        <v>17</v>
      </c>
      <c r="C74" s="67" t="s">
        <v>1167</v>
      </c>
      <c r="D74" s="196" t="s">
        <v>1168</v>
      </c>
      <c r="E74" s="196"/>
      <c r="F74" s="76">
        <v>5</v>
      </c>
      <c r="G74" s="54">
        <v>180000</v>
      </c>
      <c r="H74" s="54">
        <f t="shared" si="12"/>
        <v>201600</v>
      </c>
      <c r="I74" s="54">
        <f t="shared" si="12"/>
        <v>225792</v>
      </c>
      <c r="J74" s="39">
        <f t="shared" si="11"/>
        <v>900000</v>
      </c>
      <c r="K74" s="39">
        <f t="shared" si="13"/>
        <v>900000</v>
      </c>
      <c r="L74" s="39">
        <f t="shared" si="14"/>
        <v>1008000</v>
      </c>
      <c r="M74" s="39">
        <f t="shared" si="15"/>
        <v>12096000</v>
      </c>
      <c r="N74" s="39">
        <f t="shared" si="16"/>
        <v>1128960</v>
      </c>
      <c r="O74" s="39">
        <f t="shared" si="17"/>
        <v>13547520</v>
      </c>
      <c r="P74" s="81">
        <f t="shared" si="18"/>
        <v>26543520</v>
      </c>
    </row>
    <row r="75" spans="2:16" s="2" customFormat="1" ht="44.25" customHeight="1">
      <c r="B75" s="59">
        <v>18</v>
      </c>
      <c r="C75" s="67" t="s">
        <v>1167</v>
      </c>
      <c r="D75" s="196" t="s">
        <v>1169</v>
      </c>
      <c r="E75" s="196" t="s">
        <v>1169</v>
      </c>
      <c r="F75" s="76">
        <v>34</v>
      </c>
      <c r="G75" s="54">
        <v>36000</v>
      </c>
      <c r="H75" s="54">
        <f t="shared" si="12"/>
        <v>40320</v>
      </c>
      <c r="I75" s="54">
        <f t="shared" si="12"/>
        <v>45158.400000000001</v>
      </c>
      <c r="J75" s="39">
        <f t="shared" si="11"/>
        <v>1224000</v>
      </c>
      <c r="K75" s="39">
        <f t="shared" si="13"/>
        <v>1224000</v>
      </c>
      <c r="L75" s="39">
        <f t="shared" si="14"/>
        <v>1370880</v>
      </c>
      <c r="M75" s="39">
        <f t="shared" si="15"/>
        <v>16450560</v>
      </c>
      <c r="N75" s="39">
        <f t="shared" si="16"/>
        <v>1535386</v>
      </c>
      <c r="O75" s="39">
        <f t="shared" si="17"/>
        <v>18424632</v>
      </c>
      <c r="P75" s="81">
        <f t="shared" si="18"/>
        <v>36099192</v>
      </c>
    </row>
    <row r="76" spans="2:16" s="2" customFormat="1" ht="44.25" customHeight="1">
      <c r="B76" s="59">
        <v>19</v>
      </c>
      <c r="C76" s="67" t="s">
        <v>1170</v>
      </c>
      <c r="D76" s="196" t="s">
        <v>1171</v>
      </c>
      <c r="E76" s="196"/>
      <c r="F76" s="76">
        <v>22</v>
      </c>
      <c r="G76" s="54">
        <v>147000</v>
      </c>
      <c r="H76" s="54">
        <f t="shared" si="12"/>
        <v>164640</v>
      </c>
      <c r="I76" s="54">
        <f t="shared" si="12"/>
        <v>184396.79999999999</v>
      </c>
      <c r="J76" s="39">
        <f t="shared" si="11"/>
        <v>3234000</v>
      </c>
      <c r="K76" s="39">
        <f t="shared" si="13"/>
        <v>3234000</v>
      </c>
      <c r="L76" s="39">
        <f t="shared" si="14"/>
        <v>3622080</v>
      </c>
      <c r="M76" s="39">
        <f t="shared" si="15"/>
        <v>43464960</v>
      </c>
      <c r="N76" s="39">
        <f t="shared" si="16"/>
        <v>4056730</v>
      </c>
      <c r="O76" s="39">
        <f t="shared" si="17"/>
        <v>48680760</v>
      </c>
      <c r="P76" s="81">
        <f t="shared" si="18"/>
        <v>95379720</v>
      </c>
    </row>
    <row r="77" spans="2:16" s="2" customFormat="1" ht="44.25" customHeight="1">
      <c r="B77" s="59">
        <v>20</v>
      </c>
      <c r="C77" s="67" t="s">
        <v>1170</v>
      </c>
      <c r="D77" s="196" t="s">
        <v>1172</v>
      </c>
      <c r="E77" s="196" t="s">
        <v>1172</v>
      </c>
      <c r="F77" s="76">
        <v>8</v>
      </c>
      <c r="G77" s="54">
        <v>290000</v>
      </c>
      <c r="H77" s="54">
        <f t="shared" si="12"/>
        <v>324800</v>
      </c>
      <c r="I77" s="54">
        <f t="shared" si="12"/>
        <v>363776</v>
      </c>
      <c r="J77" s="39">
        <f t="shared" si="11"/>
        <v>2320000</v>
      </c>
      <c r="K77" s="39">
        <f t="shared" si="13"/>
        <v>2320000</v>
      </c>
      <c r="L77" s="39">
        <f t="shared" si="14"/>
        <v>2598400</v>
      </c>
      <c r="M77" s="39">
        <f t="shared" si="15"/>
        <v>31180800</v>
      </c>
      <c r="N77" s="39">
        <f t="shared" si="16"/>
        <v>2910208</v>
      </c>
      <c r="O77" s="39">
        <f t="shared" si="17"/>
        <v>34922496</v>
      </c>
      <c r="P77" s="81">
        <f t="shared" si="18"/>
        <v>68423296</v>
      </c>
    </row>
    <row r="78" spans="2:16" s="2" customFormat="1" ht="44.25" customHeight="1">
      <c r="B78" s="59">
        <v>21</v>
      </c>
      <c r="C78" s="67" t="s">
        <v>1170</v>
      </c>
      <c r="D78" s="196" t="s">
        <v>1173</v>
      </c>
      <c r="E78" s="196" t="s">
        <v>1173</v>
      </c>
      <c r="F78" s="76">
        <v>15</v>
      </c>
      <c r="G78" s="54">
        <v>32000</v>
      </c>
      <c r="H78" s="54">
        <f t="shared" si="12"/>
        <v>35840</v>
      </c>
      <c r="I78" s="54">
        <f t="shared" si="12"/>
        <v>40140.800000000003</v>
      </c>
      <c r="J78" s="39">
        <f t="shared" si="11"/>
        <v>480000</v>
      </c>
      <c r="K78" s="39">
        <f t="shared" si="13"/>
        <v>480000</v>
      </c>
      <c r="L78" s="39">
        <f t="shared" si="14"/>
        <v>537600</v>
      </c>
      <c r="M78" s="39">
        <f t="shared" si="15"/>
        <v>6451200</v>
      </c>
      <c r="N78" s="39">
        <f t="shared" si="16"/>
        <v>602112</v>
      </c>
      <c r="O78" s="39">
        <f t="shared" si="17"/>
        <v>7225344</v>
      </c>
      <c r="P78" s="81">
        <f t="shared" si="18"/>
        <v>14156544</v>
      </c>
    </row>
    <row r="79" spans="2:16" s="2" customFormat="1" ht="44.25" customHeight="1">
      <c r="B79" s="59">
        <v>22</v>
      </c>
      <c r="C79" s="67" t="s">
        <v>1170</v>
      </c>
      <c r="D79" s="196" t="s">
        <v>1174</v>
      </c>
      <c r="E79" s="196" t="s">
        <v>1174</v>
      </c>
      <c r="F79" s="76">
        <v>9</v>
      </c>
      <c r="G79" s="54">
        <v>65500</v>
      </c>
      <c r="H79" s="54">
        <f t="shared" si="12"/>
        <v>73360</v>
      </c>
      <c r="I79" s="54">
        <f t="shared" si="12"/>
        <v>82163.199999999997</v>
      </c>
      <c r="J79" s="39">
        <f t="shared" si="11"/>
        <v>589500</v>
      </c>
      <c r="K79" s="39">
        <f t="shared" si="13"/>
        <v>589500</v>
      </c>
      <c r="L79" s="39">
        <f t="shared" si="14"/>
        <v>660240</v>
      </c>
      <c r="M79" s="39">
        <f t="shared" si="15"/>
        <v>7922880</v>
      </c>
      <c r="N79" s="39">
        <f t="shared" si="16"/>
        <v>739469</v>
      </c>
      <c r="O79" s="39">
        <f t="shared" si="17"/>
        <v>8873628</v>
      </c>
      <c r="P79" s="81">
        <f t="shared" si="18"/>
        <v>17386008</v>
      </c>
    </row>
    <row r="80" spans="2:16" s="2" customFormat="1" ht="44.25" customHeight="1">
      <c r="B80" s="59">
        <v>23</v>
      </c>
      <c r="C80" s="67" t="s">
        <v>1170</v>
      </c>
      <c r="D80" s="196" t="s">
        <v>1175</v>
      </c>
      <c r="E80" s="196"/>
      <c r="F80" s="76">
        <v>1</v>
      </c>
      <c r="G80" s="54">
        <v>140000</v>
      </c>
      <c r="H80" s="54">
        <f t="shared" si="12"/>
        <v>156800</v>
      </c>
      <c r="I80" s="54">
        <f t="shared" si="12"/>
        <v>175616</v>
      </c>
      <c r="J80" s="39">
        <f t="shared" si="11"/>
        <v>140000</v>
      </c>
      <c r="K80" s="39">
        <f t="shared" si="13"/>
        <v>140000</v>
      </c>
      <c r="L80" s="39">
        <f t="shared" si="14"/>
        <v>156800</v>
      </c>
      <c r="M80" s="39">
        <f t="shared" si="15"/>
        <v>1881600</v>
      </c>
      <c r="N80" s="39">
        <f t="shared" si="16"/>
        <v>175616</v>
      </c>
      <c r="O80" s="39">
        <f t="shared" si="17"/>
        <v>2107392</v>
      </c>
      <c r="P80" s="81">
        <f t="shared" si="18"/>
        <v>4128992</v>
      </c>
    </row>
    <row r="81" spans="2:16" s="2" customFormat="1" ht="24.75" customHeight="1">
      <c r="B81" s="201" t="s">
        <v>1224</v>
      </c>
      <c r="C81" s="201"/>
      <c r="D81" s="201"/>
      <c r="E81" s="201"/>
      <c r="F81" s="201"/>
      <c r="G81" s="201"/>
      <c r="H81" s="201"/>
      <c r="I81" s="201"/>
      <c r="J81" s="201"/>
      <c r="K81" s="201"/>
      <c r="L81" s="201"/>
      <c r="M81" s="201"/>
      <c r="N81" s="201"/>
      <c r="O81" s="201"/>
      <c r="P81" s="81">
        <f>SUM(P58:P80)</f>
        <v>1105437344</v>
      </c>
    </row>
    <row r="82" spans="2:16" s="2" customFormat="1" ht="12.5">
      <c r="C82" s="4"/>
      <c r="D82" s="4"/>
      <c r="E82" s="4"/>
      <c r="F82" s="4"/>
      <c r="G82" s="99">
        <f>SUM(G58:G80)</f>
        <v>3291500</v>
      </c>
      <c r="H82" s="99">
        <f>SUM(H58:H80)</f>
        <v>3686480</v>
      </c>
      <c r="I82" s="99">
        <f>SUM(I58:I80)</f>
        <v>4128857.5999999992</v>
      </c>
    </row>
    <row r="83" spans="2:16" s="2" customFormat="1" ht="29.25" customHeight="1">
      <c r="B83" s="171" t="s">
        <v>1184</v>
      </c>
      <c r="C83" s="172"/>
      <c r="D83" s="172"/>
      <c r="E83" s="172"/>
      <c r="F83" s="172"/>
      <c r="G83" s="172"/>
      <c r="H83" s="172"/>
      <c r="I83" s="172"/>
      <c r="J83" s="197"/>
    </row>
    <row r="84" spans="2:16" s="2" customFormat="1" ht="29.25" customHeight="1">
      <c r="C84" s="4"/>
      <c r="D84" s="4"/>
      <c r="E84" s="4"/>
      <c r="F84" s="4"/>
      <c r="G84" s="4"/>
      <c r="H84" s="4"/>
    </row>
    <row r="85" spans="2:16" s="2" customFormat="1" ht="29.25" customHeight="1">
      <c r="B85" s="198" t="s">
        <v>1185</v>
      </c>
      <c r="C85" s="198"/>
      <c r="D85" s="198"/>
      <c r="E85" s="198"/>
      <c r="F85" s="198"/>
      <c r="G85"/>
      <c r="H85"/>
      <c r="I85"/>
      <c r="J85"/>
    </row>
    <row r="86" spans="2:16" s="2" customFormat="1" ht="29.25" customHeight="1">
      <c r="C86" s="4"/>
      <c r="D86" s="4"/>
      <c r="E86" s="4"/>
      <c r="F86" s="4"/>
      <c r="G86" s="4"/>
      <c r="H86" s="4"/>
    </row>
    <row r="87" spans="2:16" s="2" customFormat="1" ht="29.25" customHeight="1">
      <c r="B87" s="199" t="s">
        <v>133</v>
      </c>
      <c r="C87" s="199"/>
      <c r="D87" s="199"/>
      <c r="E87" s="77" t="s">
        <v>121</v>
      </c>
    </row>
    <row r="88" spans="2:16" s="2" customFormat="1" ht="29.25" customHeight="1">
      <c r="B88" s="180" t="s">
        <v>134</v>
      </c>
      <c r="C88" s="181"/>
      <c r="D88" s="182"/>
      <c r="E88" s="78">
        <f>SUM(V45:V50)</f>
        <v>6404489670</v>
      </c>
    </row>
    <row r="89" spans="2:16" s="2" customFormat="1" ht="29.25" customHeight="1">
      <c r="B89" s="180" t="s">
        <v>135</v>
      </c>
      <c r="C89" s="181"/>
      <c r="D89" s="182"/>
      <c r="E89" s="78">
        <f>SUM(P58:P80)</f>
        <v>1105437344</v>
      </c>
    </row>
    <row r="90" spans="2:16" s="2" customFormat="1" ht="29.25" customHeight="1">
      <c r="B90" s="180" t="s">
        <v>136</v>
      </c>
      <c r="C90" s="181"/>
      <c r="D90" s="182"/>
      <c r="E90" s="78">
        <f>E88+E89</f>
        <v>7509927014</v>
      </c>
    </row>
    <row r="91" spans="2:16" s="2" customFormat="1" ht="29.25" customHeight="1">
      <c r="B91" s="183" t="s">
        <v>1195</v>
      </c>
      <c r="C91" s="183"/>
      <c r="D91" s="55">
        <v>0.1</v>
      </c>
      <c r="E91" s="78">
        <f>ROUND((E90)*D91,0)</f>
        <v>750992701</v>
      </c>
      <c r="G91" s="70"/>
    </row>
    <row r="92" spans="2:16" s="2" customFormat="1" ht="29.25" customHeight="1">
      <c r="B92" s="183" t="s">
        <v>137</v>
      </c>
      <c r="C92" s="183"/>
      <c r="D92" s="56">
        <v>0.19</v>
      </c>
      <c r="E92" s="78">
        <f>ROUND(E91*D92,0)</f>
        <v>142688613</v>
      </c>
      <c r="G92" s="70"/>
    </row>
    <row r="93" spans="2:16" s="2" customFormat="1" ht="29.25" customHeight="1">
      <c r="B93" s="173" t="s">
        <v>1203</v>
      </c>
      <c r="C93" s="184"/>
      <c r="D93" s="185"/>
      <c r="E93" s="79">
        <f>E90+E92</f>
        <v>7652615627</v>
      </c>
      <c r="G93" s="70"/>
    </row>
    <row r="94" spans="2:16" s="2" customFormat="1" ht="12.5">
      <c r="C94" s="4"/>
      <c r="D94" s="4"/>
      <c r="E94" s="4"/>
      <c r="G94" s="4"/>
    </row>
    <row r="95" spans="2:16" s="2" customFormat="1" ht="12.5">
      <c r="C95" s="4"/>
      <c r="D95" s="4"/>
      <c r="E95" s="4"/>
      <c r="F95" s="4"/>
      <c r="G95" s="4"/>
      <c r="H95" s="4"/>
    </row>
    <row r="96" spans="2:16" ht="27.75" customHeight="1">
      <c r="B96" s="260" t="s">
        <v>83</v>
      </c>
      <c r="C96" s="260"/>
      <c r="D96" s="260"/>
      <c r="E96" s="260"/>
      <c r="F96" s="260"/>
      <c r="G96" s="260"/>
      <c r="H96" s="260"/>
      <c r="I96" s="260"/>
    </row>
    <row r="97" spans="2:9" ht="63.75" customHeight="1">
      <c r="B97" s="259" t="s">
        <v>1225</v>
      </c>
      <c r="C97" s="259"/>
      <c r="D97" s="259"/>
      <c r="E97" s="259"/>
      <c r="F97" s="259"/>
      <c r="G97" s="259"/>
      <c r="H97" s="259"/>
      <c r="I97" s="259"/>
    </row>
    <row r="98" spans="2:9" ht="52.5" customHeight="1">
      <c r="B98" s="259" t="s">
        <v>1186</v>
      </c>
      <c r="C98" s="259"/>
      <c r="D98" s="259"/>
      <c r="E98" s="259"/>
      <c r="F98" s="259"/>
      <c r="G98" s="259"/>
      <c r="H98" s="259"/>
      <c r="I98" s="259"/>
    </row>
    <row r="99" spans="2:9" ht="12.5"/>
  </sheetData>
  <mergeCells count="72">
    <mergeCell ref="C8:D8"/>
    <mergeCell ref="I8:J8"/>
    <mergeCell ref="K8:L8"/>
    <mergeCell ref="B2:K4"/>
    <mergeCell ref="L2:L4"/>
    <mergeCell ref="B6:L6"/>
    <mergeCell ref="B7:C7"/>
    <mergeCell ref="D7:L7"/>
    <mergeCell ref="B32:M32"/>
    <mergeCell ref="C9:E9"/>
    <mergeCell ref="G9:H9"/>
    <mergeCell ref="B10:L10"/>
    <mergeCell ref="B13:L13"/>
    <mergeCell ref="B15:L15"/>
    <mergeCell ref="B17:L17"/>
    <mergeCell ref="C20:E20"/>
    <mergeCell ref="M20:N22"/>
    <mergeCell ref="C21:E21"/>
    <mergeCell ref="B23:B30"/>
    <mergeCell ref="C23:F23"/>
    <mergeCell ref="D57:E57"/>
    <mergeCell ref="F35:G35"/>
    <mergeCell ref="F36:G36"/>
    <mergeCell ref="B38:V38"/>
    <mergeCell ref="B41:V41"/>
    <mergeCell ref="B43:E43"/>
    <mergeCell ref="F43:K43"/>
    <mergeCell ref="L43:M43"/>
    <mergeCell ref="N43:O43"/>
    <mergeCell ref="P43:Q43"/>
    <mergeCell ref="R43:S43"/>
    <mergeCell ref="T43:U43"/>
    <mergeCell ref="B51:U51"/>
    <mergeCell ref="B54:V54"/>
    <mergeCell ref="B56:E56"/>
    <mergeCell ref="F56:P56"/>
    <mergeCell ref="D69:E69"/>
    <mergeCell ref="D58:E58"/>
    <mergeCell ref="D59:E59"/>
    <mergeCell ref="D60:E60"/>
    <mergeCell ref="D61:E61"/>
    <mergeCell ref="D62:E62"/>
    <mergeCell ref="D63:E63"/>
    <mergeCell ref="D64:E64"/>
    <mergeCell ref="D65:E65"/>
    <mergeCell ref="D66:E66"/>
    <mergeCell ref="D67:E67"/>
    <mergeCell ref="D68:E68"/>
    <mergeCell ref="B81:O81"/>
    <mergeCell ref="D70:E70"/>
    <mergeCell ref="D71:E71"/>
    <mergeCell ref="D72:E72"/>
    <mergeCell ref="D73:E73"/>
    <mergeCell ref="D74:E74"/>
    <mergeCell ref="D75:E75"/>
    <mergeCell ref="D76:E76"/>
    <mergeCell ref="D77:E77"/>
    <mergeCell ref="D78:E78"/>
    <mergeCell ref="D79:E79"/>
    <mergeCell ref="D80:E80"/>
    <mergeCell ref="B98:I98"/>
    <mergeCell ref="B83:J83"/>
    <mergeCell ref="B85:F85"/>
    <mergeCell ref="B87:D87"/>
    <mergeCell ref="B88:D88"/>
    <mergeCell ref="B89:D89"/>
    <mergeCell ref="B90:D90"/>
    <mergeCell ref="B91:C91"/>
    <mergeCell ref="B92:C92"/>
    <mergeCell ref="B93:D93"/>
    <mergeCell ref="B96:I96"/>
    <mergeCell ref="B97:I97"/>
  </mergeCells>
  <dataValidations count="2">
    <dataValidation type="decimal" allowBlank="1" showInputMessage="1" showErrorMessage="1" error="Tener en cuenta que las cooperativas de vigilancia y seguridad privada, podrán descontar del valor de la tarifa hasta el diez por ciento (10%)," sqref="F21" xr:uid="{409C15EB-F7C1-4821-9282-F353B2B52D82}">
      <formula1>0</formula1>
      <formula2>0.1</formula2>
    </dataValidation>
    <dataValidation type="list" allowBlank="1" showInputMessage="1" showErrorMessage="1" sqref="F20" xr:uid="{5C930F83-6F7A-4138-B939-807637A984F9}">
      <formula1>"EMPRESA, COOPERATIVA"</formula1>
    </dataValidation>
  </dataValidations>
  <pageMargins left="0.70866141732283472" right="0.70866141732283472" top="0.74803149606299213" bottom="0.74803149606299213" header="0.31496062992125984" footer="0.31496062992125984"/>
  <pageSetup scale="43" orientation="portrait" r:id="rId1"/>
  <headerFooter>
    <oddFooter xml:space="preserve">&amp;C&amp;P/&amp;N
</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09B120-900D-465C-9F82-DD68131FAAFE}">
  <sheetPr>
    <tabColor rgb="FFFFFFCC"/>
  </sheetPr>
  <dimension ref="A1:Y99"/>
  <sheetViews>
    <sheetView showGridLines="0" zoomScale="85" zoomScaleNormal="85" zoomScaleSheetLayoutView="90" workbookViewId="0">
      <selection activeCell="G21" sqref="G21:G22"/>
    </sheetView>
  </sheetViews>
  <sheetFormatPr baseColWidth="10" defaultColWidth="0" defaultRowHeight="12.65" customHeight="1" zeroHeight="1"/>
  <cols>
    <col min="1" max="1" width="2" style="4" customWidth="1"/>
    <col min="2" max="2" width="13.81640625" style="4" customWidth="1"/>
    <col min="3" max="3" width="30" style="4" customWidth="1"/>
    <col min="4" max="4" width="25.81640625" style="4" customWidth="1"/>
    <col min="5" max="5" width="32.1796875" style="5" customWidth="1"/>
    <col min="6" max="6" width="15.7265625" style="5" customWidth="1"/>
    <col min="7" max="7" width="24.1796875" style="4" customWidth="1"/>
    <col min="8" max="8" width="23.54296875" style="4" customWidth="1"/>
    <col min="9" max="9" width="22.26953125" style="4" customWidth="1"/>
    <col min="10" max="10" width="21.54296875" style="4" customWidth="1"/>
    <col min="11" max="11" width="23.1796875" style="4" customWidth="1"/>
    <col min="12" max="12" width="20.81640625" style="4" customWidth="1"/>
    <col min="13" max="13" width="23.7265625" style="4" customWidth="1"/>
    <col min="14" max="14" width="21" style="4" customWidth="1"/>
    <col min="15" max="15" width="22.81640625" style="4" customWidth="1"/>
    <col min="16" max="16" width="23.7265625" style="4" customWidth="1"/>
    <col min="17" max="21" width="18.1796875" style="4" customWidth="1"/>
    <col min="22" max="23" width="18.54296875" style="4" customWidth="1"/>
    <col min="24" max="25" width="18.54296875" style="4" hidden="1" customWidth="1"/>
    <col min="26" max="16384" width="11.453125" style="4" hidden="1"/>
  </cols>
  <sheetData>
    <row r="1" spans="2:12" s="2" customFormat="1" ht="12.75" customHeight="1">
      <c r="E1" s="3"/>
      <c r="F1" s="3"/>
    </row>
    <row r="2" spans="2:12" s="2" customFormat="1" ht="21.75" customHeight="1">
      <c r="B2" s="268" t="s">
        <v>81</v>
      </c>
      <c r="C2" s="269"/>
      <c r="D2" s="269"/>
      <c r="E2" s="269"/>
      <c r="F2" s="269"/>
      <c r="G2" s="269"/>
      <c r="H2" s="269"/>
      <c r="I2" s="269"/>
      <c r="J2" s="269"/>
      <c r="K2" s="270"/>
      <c r="L2" s="257" t="s">
        <v>0</v>
      </c>
    </row>
    <row r="3" spans="2:12" s="2" customFormat="1" ht="21.75" customHeight="1">
      <c r="B3" s="271"/>
      <c r="C3" s="272"/>
      <c r="D3" s="272"/>
      <c r="E3" s="272"/>
      <c r="F3" s="272"/>
      <c r="G3" s="272"/>
      <c r="H3" s="272"/>
      <c r="I3" s="272"/>
      <c r="J3" s="272"/>
      <c r="K3" s="273"/>
      <c r="L3" s="257"/>
    </row>
    <row r="4" spans="2:12" s="2" customFormat="1" ht="21.75" customHeight="1">
      <c r="B4" s="274"/>
      <c r="C4" s="275"/>
      <c r="D4" s="275"/>
      <c r="E4" s="275"/>
      <c r="F4" s="275"/>
      <c r="G4" s="275"/>
      <c r="H4" s="275"/>
      <c r="I4" s="275"/>
      <c r="J4" s="275"/>
      <c r="K4" s="276"/>
      <c r="L4" s="257"/>
    </row>
    <row r="5" spans="2:12" s="2" customFormat="1" ht="5.25" customHeight="1">
      <c r="E5" s="3"/>
      <c r="F5" s="3"/>
    </row>
    <row r="6" spans="2:12" s="2" customFormat="1" ht="15.75" customHeight="1">
      <c r="B6" s="169" t="s">
        <v>81</v>
      </c>
      <c r="C6" s="169"/>
      <c r="D6" s="169"/>
      <c r="E6" s="169"/>
      <c r="F6" s="169"/>
      <c r="G6" s="169"/>
      <c r="H6" s="169"/>
      <c r="I6" s="169"/>
      <c r="J6" s="169"/>
      <c r="K6" s="169"/>
      <c r="L6" s="169"/>
    </row>
    <row r="7" spans="2:12" s="2" customFormat="1" ht="32.25" customHeight="1">
      <c r="B7" s="201" t="s">
        <v>82</v>
      </c>
      <c r="C7" s="201"/>
      <c r="D7" s="265" t="s">
        <v>1147</v>
      </c>
      <c r="E7" s="266"/>
      <c r="F7" s="266"/>
      <c r="G7" s="266"/>
      <c r="H7" s="266"/>
      <c r="I7" s="266"/>
      <c r="J7" s="266"/>
      <c r="K7" s="266"/>
      <c r="L7" s="267"/>
    </row>
    <row r="8" spans="2:12" s="2" customFormat="1" ht="36" customHeight="1">
      <c r="B8" s="87" t="s">
        <v>1229</v>
      </c>
      <c r="C8" s="277"/>
      <c r="D8" s="278"/>
      <c r="E8" s="88" t="s">
        <v>1231</v>
      </c>
      <c r="F8" s="52"/>
      <c r="G8" s="88" t="s">
        <v>1233</v>
      </c>
      <c r="H8" s="52"/>
      <c r="I8" s="279" t="s">
        <v>1235</v>
      </c>
      <c r="J8" s="279"/>
      <c r="K8" s="280"/>
      <c r="L8" s="281"/>
    </row>
    <row r="9" spans="2:12" s="2" customFormat="1" ht="33" customHeight="1">
      <c r="B9" s="89" t="s">
        <v>1237</v>
      </c>
      <c r="C9" s="280"/>
      <c r="D9" s="282"/>
      <c r="E9" s="281"/>
      <c r="F9" s="88" t="s">
        <v>1239</v>
      </c>
      <c r="G9" s="277"/>
      <c r="H9" s="278"/>
      <c r="I9" s="90" t="s">
        <v>1241</v>
      </c>
      <c r="J9" s="52"/>
      <c r="K9" s="91" t="s">
        <v>1243</v>
      </c>
      <c r="L9" s="52"/>
    </row>
    <row r="10" spans="2:12" s="2" customFormat="1" ht="5.15" customHeight="1">
      <c r="B10" s="285"/>
      <c r="C10" s="286"/>
      <c r="D10" s="286"/>
      <c r="E10" s="286"/>
      <c r="F10" s="286"/>
      <c r="G10" s="286"/>
      <c r="H10" s="286"/>
      <c r="I10" s="286"/>
      <c r="J10" s="286"/>
      <c r="K10" s="286"/>
      <c r="L10" s="287"/>
    </row>
    <row r="11" spans="2:12" s="2" customFormat="1" ht="8.25" customHeight="1">
      <c r="B11" s="68"/>
      <c r="C11" s="68"/>
      <c r="D11" s="68"/>
      <c r="E11" s="68"/>
      <c r="F11" s="68"/>
      <c r="G11" s="68"/>
      <c r="H11" s="68"/>
      <c r="I11" s="68"/>
      <c r="J11" s="68"/>
      <c r="K11" s="68"/>
      <c r="L11" s="68"/>
    </row>
    <row r="12" spans="2:12" s="2" customFormat="1" ht="8.25" customHeight="1">
      <c r="B12" s="68"/>
      <c r="C12" s="68"/>
      <c r="D12" s="68"/>
      <c r="E12" s="68"/>
      <c r="F12" s="68"/>
      <c r="G12" s="68"/>
      <c r="H12" s="68"/>
      <c r="I12" s="68"/>
      <c r="J12" s="68"/>
      <c r="K12" s="68"/>
      <c r="L12" s="68"/>
    </row>
    <row r="13" spans="2:12" s="2" customFormat="1" ht="104.25" customHeight="1">
      <c r="B13" s="283" t="s">
        <v>1197</v>
      </c>
      <c r="C13" s="283"/>
      <c r="D13" s="283"/>
      <c r="E13" s="283"/>
      <c r="F13" s="283"/>
      <c r="G13" s="283"/>
      <c r="H13" s="283"/>
      <c r="I13" s="283"/>
      <c r="J13" s="283"/>
      <c r="K13" s="283"/>
      <c r="L13" s="283"/>
    </row>
    <row r="14" spans="2:12" s="2" customFormat="1" ht="8.25" customHeight="1">
      <c r="B14" s="68"/>
      <c r="C14" s="68"/>
      <c r="D14" s="68"/>
      <c r="E14" s="68"/>
      <c r="F14" s="68"/>
      <c r="G14" s="68"/>
      <c r="H14" s="68"/>
      <c r="I14" s="68"/>
      <c r="J14" s="68"/>
      <c r="K14" s="68"/>
      <c r="L14" s="68"/>
    </row>
    <row r="15" spans="2:12" s="2" customFormat="1" ht="180" customHeight="1">
      <c r="B15" s="284" t="s">
        <v>1226</v>
      </c>
      <c r="C15" s="284"/>
      <c r="D15" s="284"/>
      <c r="E15" s="284"/>
      <c r="F15" s="284"/>
      <c r="G15" s="284"/>
      <c r="H15" s="284"/>
      <c r="I15" s="284"/>
      <c r="J15" s="284"/>
      <c r="K15" s="284"/>
      <c r="L15" s="284"/>
    </row>
    <row r="16" spans="2:12" s="2" customFormat="1" ht="8.25" customHeight="1">
      <c r="B16" s="68"/>
      <c r="C16" s="68"/>
      <c r="D16" s="68"/>
      <c r="E16" s="68"/>
      <c r="F16" s="68"/>
      <c r="G16" s="68"/>
      <c r="H16" s="68"/>
      <c r="I16" s="68"/>
      <c r="J16" s="68"/>
      <c r="K16" s="68"/>
      <c r="L16" s="68"/>
    </row>
    <row r="17" spans="2:14" s="2" customFormat="1" ht="23.25" customHeight="1">
      <c r="B17" s="171" t="s">
        <v>115</v>
      </c>
      <c r="C17" s="172"/>
      <c r="D17" s="172"/>
      <c r="E17" s="172"/>
      <c r="F17" s="172"/>
      <c r="G17" s="172"/>
      <c r="H17" s="172"/>
      <c r="I17" s="172"/>
      <c r="J17" s="172"/>
      <c r="K17" s="172"/>
      <c r="L17" s="197"/>
    </row>
    <row r="18" spans="2:14" s="2" customFormat="1" ht="8.25" customHeight="1">
      <c r="B18" s="68"/>
      <c r="C18" s="68"/>
      <c r="D18" s="68"/>
      <c r="E18" s="68"/>
      <c r="F18" s="68"/>
      <c r="G18" s="68"/>
      <c r="H18" s="68"/>
      <c r="I18" s="68"/>
      <c r="J18" s="68"/>
      <c r="K18" s="68"/>
      <c r="L18" s="68"/>
    </row>
    <row r="19" spans="2:14" s="2" customFormat="1" ht="8.25" customHeight="1">
      <c r="B19" s="68"/>
      <c r="C19" s="68"/>
      <c r="D19" s="68"/>
      <c r="E19" s="68"/>
      <c r="F19" s="68"/>
      <c r="G19" s="68"/>
      <c r="H19" s="68"/>
      <c r="I19" s="68"/>
      <c r="J19" s="68"/>
      <c r="K19" s="68"/>
      <c r="L19" s="68"/>
    </row>
    <row r="20" spans="2:14" s="2" customFormat="1" ht="29.25" customHeight="1">
      <c r="B20" s="67">
        <v>1</v>
      </c>
      <c r="C20" s="264" t="s">
        <v>116</v>
      </c>
      <c r="D20" s="264"/>
      <c r="E20" s="264"/>
      <c r="F20" s="51"/>
      <c r="G20" s="68"/>
      <c r="M20" s="263"/>
      <c r="N20" s="263"/>
    </row>
    <row r="21" spans="2:14" s="2" customFormat="1" ht="29.25" customHeight="1">
      <c r="B21" s="67">
        <v>2</v>
      </c>
      <c r="C21" s="264" t="s">
        <v>117</v>
      </c>
      <c r="D21" s="264"/>
      <c r="E21" s="264"/>
      <c r="F21" s="52"/>
      <c r="G21" s="68"/>
      <c r="M21" s="263"/>
      <c r="N21" s="263"/>
    </row>
    <row r="22" spans="2:14" s="2" customFormat="1" ht="29.25" customHeight="1">
      <c r="G22" s="68"/>
      <c r="M22" s="263"/>
      <c r="N22" s="263"/>
    </row>
    <row r="23" spans="2:14" s="2" customFormat="1" ht="43.5" customHeight="1">
      <c r="B23" s="201" t="s">
        <v>118</v>
      </c>
      <c r="C23" s="169" t="s">
        <v>1146</v>
      </c>
      <c r="D23" s="169"/>
      <c r="E23" s="169"/>
      <c r="F23" s="169"/>
      <c r="G23" s="29" t="s">
        <v>119</v>
      </c>
      <c r="H23" s="29" t="s">
        <v>119</v>
      </c>
      <c r="I23" s="29" t="s">
        <v>119</v>
      </c>
      <c r="L23" s="69"/>
      <c r="M23" s="69"/>
    </row>
    <row r="24" spans="2:14" s="2" customFormat="1" ht="29.25" customHeight="1">
      <c r="B24" s="201"/>
      <c r="C24" s="29" t="s">
        <v>104</v>
      </c>
      <c r="D24" s="29" t="s">
        <v>105</v>
      </c>
      <c r="E24" s="29" t="s">
        <v>106</v>
      </c>
      <c r="F24" s="37" t="s">
        <v>107</v>
      </c>
      <c r="G24" s="29">
        <v>2024</v>
      </c>
      <c r="H24" s="29">
        <v>2025</v>
      </c>
      <c r="I24" s="29">
        <v>2026</v>
      </c>
      <c r="L24" s="69"/>
      <c r="M24" s="69"/>
    </row>
    <row r="25" spans="2:14" s="2" customFormat="1" ht="33.75" customHeight="1">
      <c r="B25" s="201"/>
      <c r="C25" s="62">
        <v>24</v>
      </c>
      <c r="D25" s="63" t="s">
        <v>108</v>
      </c>
      <c r="E25" s="63" t="s">
        <v>109</v>
      </c>
      <c r="F25" s="63" t="s">
        <v>90</v>
      </c>
      <c r="G25" s="53">
        <v>786</v>
      </c>
      <c r="H25" s="53">
        <v>853</v>
      </c>
      <c r="I25" s="53">
        <v>909</v>
      </c>
      <c r="M25" s="69"/>
    </row>
    <row r="26" spans="2:14" s="2" customFormat="1" ht="33.75" customHeight="1">
      <c r="B26" s="201"/>
      <c r="C26" s="62">
        <v>24</v>
      </c>
      <c r="D26" s="63" t="s">
        <v>108</v>
      </c>
      <c r="E26" s="63" t="s">
        <v>109</v>
      </c>
      <c r="F26" s="63" t="s">
        <v>92</v>
      </c>
      <c r="G26" s="53">
        <v>786</v>
      </c>
      <c r="H26" s="53">
        <v>853</v>
      </c>
      <c r="I26" s="53">
        <v>909</v>
      </c>
      <c r="M26" s="69"/>
    </row>
    <row r="27" spans="2:14" s="2" customFormat="1" ht="33.75" customHeight="1">
      <c r="B27" s="201"/>
      <c r="C27" s="62">
        <v>24</v>
      </c>
      <c r="D27" s="63" t="s">
        <v>1143</v>
      </c>
      <c r="E27" s="63" t="s">
        <v>109</v>
      </c>
      <c r="F27" s="63" t="s">
        <v>92</v>
      </c>
      <c r="G27" s="53">
        <v>524</v>
      </c>
      <c r="H27" s="53">
        <v>568</v>
      </c>
      <c r="I27" s="53">
        <v>606</v>
      </c>
      <c r="M27" s="69"/>
    </row>
    <row r="28" spans="2:14" s="2" customFormat="1" ht="33.75" customHeight="1">
      <c r="B28" s="201"/>
      <c r="C28" s="62">
        <v>12</v>
      </c>
      <c r="D28" s="63" t="s">
        <v>110</v>
      </c>
      <c r="E28" s="63" t="s">
        <v>111</v>
      </c>
      <c r="F28" s="63" t="s">
        <v>1144</v>
      </c>
      <c r="G28" s="53">
        <v>262</v>
      </c>
      <c r="H28" s="53">
        <v>284</v>
      </c>
      <c r="I28" s="53">
        <v>302</v>
      </c>
      <c r="M28" s="69"/>
    </row>
    <row r="29" spans="2:14" s="2" customFormat="1" ht="33.75" customHeight="1">
      <c r="B29" s="201"/>
      <c r="C29" s="62">
        <v>12</v>
      </c>
      <c r="D29" s="63" t="s">
        <v>110</v>
      </c>
      <c r="E29" s="66" t="s">
        <v>1190</v>
      </c>
      <c r="F29" s="63" t="s">
        <v>90</v>
      </c>
      <c r="G29" s="53">
        <v>262</v>
      </c>
      <c r="H29" s="53">
        <v>284</v>
      </c>
      <c r="I29" s="53">
        <v>302</v>
      </c>
      <c r="M29" s="69"/>
    </row>
    <row r="30" spans="2:14" s="2" customFormat="1" ht="33.75" customHeight="1">
      <c r="B30" s="201"/>
      <c r="C30" s="62">
        <v>12</v>
      </c>
      <c r="D30" s="63" t="s">
        <v>108</v>
      </c>
      <c r="E30" s="63" t="s">
        <v>111</v>
      </c>
      <c r="F30" s="63" t="s">
        <v>90</v>
      </c>
      <c r="G30" s="53">
        <v>524</v>
      </c>
      <c r="H30" s="53">
        <v>568</v>
      </c>
      <c r="I30" s="53">
        <v>606</v>
      </c>
      <c r="M30" s="69"/>
    </row>
    <row r="31" spans="2:14" s="2" customFormat="1" ht="29.25" customHeight="1">
      <c r="G31" s="98">
        <f>SUM(G25:G30)</f>
        <v>3144</v>
      </c>
      <c r="H31" s="98">
        <f>SUM(H25:H30)</f>
        <v>3410</v>
      </c>
      <c r="I31" s="98">
        <f>SUM(I25:I30)</f>
        <v>3634</v>
      </c>
      <c r="M31" s="69"/>
      <c r="N31" s="69"/>
    </row>
    <row r="32" spans="2:14" s="2" customFormat="1" ht="29.25" customHeight="1">
      <c r="B32" s="200" t="s">
        <v>120</v>
      </c>
      <c r="C32" s="200"/>
      <c r="D32" s="200"/>
      <c r="E32" s="200"/>
      <c r="F32" s="200"/>
      <c r="G32" s="200"/>
      <c r="H32" s="200"/>
      <c r="I32" s="200"/>
      <c r="J32" s="200"/>
      <c r="K32" s="200"/>
      <c r="L32" s="200"/>
      <c r="M32" s="200"/>
      <c r="N32" s="69"/>
    </row>
    <row r="33" spans="1:22" s="2" customFormat="1" ht="6.75" customHeight="1">
      <c r="A33" s="70"/>
      <c r="B33" s="70"/>
      <c r="C33" s="70"/>
      <c r="D33" s="70"/>
      <c r="E33" s="70"/>
      <c r="F33" s="70"/>
      <c r="G33" s="70"/>
      <c r="H33" s="70"/>
      <c r="I33" s="70"/>
      <c r="J33" s="70"/>
      <c r="K33" s="70"/>
      <c r="L33" s="70"/>
      <c r="M33" s="70"/>
      <c r="N33" s="69"/>
    </row>
    <row r="34" spans="1:22" s="2" customFormat="1" ht="46.5" customHeight="1">
      <c r="A34" s="70"/>
      <c r="B34" s="70"/>
      <c r="C34" s="70"/>
      <c r="D34" s="70"/>
      <c r="E34" s="70"/>
      <c r="F34" s="68"/>
      <c r="G34" s="68"/>
      <c r="H34" s="67" t="s">
        <v>1198</v>
      </c>
      <c r="I34" s="59" t="s">
        <v>1210</v>
      </c>
      <c r="J34" s="59" t="s">
        <v>1205</v>
      </c>
      <c r="K34" s="59" t="s">
        <v>1206</v>
      </c>
      <c r="L34" s="59" t="s">
        <v>1207</v>
      </c>
      <c r="M34" s="59" t="s">
        <v>1208</v>
      </c>
    </row>
    <row r="35" spans="1:22" s="2" customFormat="1" ht="29.25" customHeight="1">
      <c r="F35" s="202" t="s">
        <v>122</v>
      </c>
      <c r="G35" s="203"/>
      <c r="H35" s="71">
        <f>SUM(I35:M35)</f>
        <v>25</v>
      </c>
      <c r="I35" s="72">
        <v>1</v>
      </c>
      <c r="J35" s="80">
        <v>6.5</v>
      </c>
      <c r="K35" s="80">
        <v>5.5</v>
      </c>
      <c r="L35" s="80">
        <v>6.5</v>
      </c>
      <c r="M35" s="80">
        <v>5.5</v>
      </c>
    </row>
    <row r="36" spans="1:22" s="2" customFormat="1" ht="29.25" customHeight="1">
      <c r="B36" s="70"/>
      <c r="C36" s="70"/>
      <c r="D36" s="70"/>
      <c r="E36" s="70"/>
      <c r="F36" s="202" t="s">
        <v>1191</v>
      </c>
      <c r="G36" s="203"/>
      <c r="H36" s="38" t="s">
        <v>1211</v>
      </c>
      <c r="I36" s="38">
        <f>'[33]RESUMEN CIRCULAR_DECRETO'!N26</f>
        <v>1300000</v>
      </c>
      <c r="J36" s="38">
        <f>'[33]RESUMEN CIRCULAR_DECRETO'!N27</f>
        <v>1410500</v>
      </c>
      <c r="K36" s="38">
        <f>'[33]RESUMEN CIRCULAR_DECRETO'!N27</f>
        <v>1410500</v>
      </c>
      <c r="L36" s="38">
        <f>'[33]RESUMEN CIRCULAR_DECRETO'!N28</f>
        <v>1504157.2</v>
      </c>
      <c r="M36" s="38">
        <f>'[33]RESUMEN CIRCULAR_DECRETO'!N28</f>
        <v>1504157.2</v>
      </c>
    </row>
    <row r="37" spans="1:22" s="2" customFormat="1" ht="29.25" customHeight="1">
      <c r="B37" s="70"/>
      <c r="C37" s="70"/>
      <c r="D37" s="70"/>
      <c r="E37" s="70"/>
      <c r="F37" s="83"/>
      <c r="G37" s="83"/>
      <c r="H37" s="84"/>
      <c r="I37" s="84"/>
      <c r="J37" s="84"/>
      <c r="K37" s="84"/>
      <c r="L37" s="82"/>
      <c r="M37" s="82"/>
    </row>
    <row r="38" spans="1:22" s="2" customFormat="1" ht="24" customHeight="1">
      <c r="B38" s="200" t="s">
        <v>1192</v>
      </c>
      <c r="C38" s="200"/>
      <c r="D38" s="200"/>
      <c r="E38" s="200"/>
      <c r="F38" s="200"/>
      <c r="G38" s="200"/>
      <c r="H38" s="200"/>
      <c r="I38" s="200"/>
      <c r="J38" s="200"/>
      <c r="K38" s="200"/>
      <c r="L38" s="200"/>
      <c r="M38" s="200"/>
      <c r="N38" s="200"/>
      <c r="O38" s="200"/>
      <c r="P38" s="200"/>
      <c r="Q38" s="200"/>
      <c r="R38" s="200"/>
      <c r="S38" s="200"/>
      <c r="T38" s="200"/>
      <c r="U38" s="200"/>
      <c r="V38" s="200"/>
    </row>
    <row r="39" spans="1:22" s="2" customFormat="1" ht="11.25" customHeight="1">
      <c r="M39" s="69"/>
      <c r="N39" s="69"/>
    </row>
    <row r="40" spans="1:22" s="2" customFormat="1" ht="9.75" customHeight="1">
      <c r="C40" s="4"/>
      <c r="D40" s="4"/>
      <c r="E40" s="4"/>
      <c r="F40" s="4"/>
    </row>
    <row r="41" spans="1:22" s="2" customFormat="1" ht="26.25" customHeight="1">
      <c r="B41" s="200" t="s">
        <v>1148</v>
      </c>
      <c r="C41" s="200"/>
      <c r="D41" s="200"/>
      <c r="E41" s="200"/>
      <c r="F41" s="200"/>
      <c r="G41" s="200"/>
      <c r="H41" s="200"/>
      <c r="I41" s="200"/>
      <c r="J41" s="200"/>
      <c r="K41" s="200"/>
      <c r="L41" s="200"/>
      <c r="M41" s="200"/>
      <c r="N41" s="200"/>
      <c r="O41" s="200"/>
      <c r="P41" s="200"/>
      <c r="Q41" s="200"/>
      <c r="R41" s="200"/>
      <c r="S41" s="200"/>
      <c r="T41" s="200"/>
      <c r="U41" s="200"/>
      <c r="V41" s="200"/>
    </row>
    <row r="42" spans="1:22" s="2" customFormat="1" ht="12.5">
      <c r="C42" s="4"/>
      <c r="D42" s="4"/>
      <c r="E42" s="4"/>
      <c r="F42" s="4"/>
      <c r="G42" s="4"/>
      <c r="H42" s="4"/>
    </row>
    <row r="43" spans="1:22" s="2" customFormat="1" ht="70.5" customHeight="1">
      <c r="B43" s="169" t="s">
        <v>123</v>
      </c>
      <c r="C43" s="169"/>
      <c r="D43" s="169"/>
      <c r="E43" s="169"/>
      <c r="F43" s="169" t="s">
        <v>1196</v>
      </c>
      <c r="G43" s="169"/>
      <c r="H43" s="169"/>
      <c r="I43" s="169"/>
      <c r="J43" s="169"/>
      <c r="K43" s="169"/>
      <c r="L43" s="261" t="s">
        <v>1204</v>
      </c>
      <c r="M43" s="262"/>
      <c r="N43" s="261" t="s">
        <v>1205</v>
      </c>
      <c r="O43" s="262"/>
      <c r="P43" s="261" t="s">
        <v>1206</v>
      </c>
      <c r="Q43" s="262"/>
      <c r="R43" s="261" t="s">
        <v>1207</v>
      </c>
      <c r="S43" s="262"/>
      <c r="T43" s="261" t="s">
        <v>1208</v>
      </c>
      <c r="U43" s="262"/>
      <c r="V43" s="29" t="s">
        <v>1198</v>
      </c>
    </row>
    <row r="44" spans="1:22" s="2" customFormat="1" ht="71.25" customHeight="1">
      <c r="B44" s="29" t="s">
        <v>104</v>
      </c>
      <c r="C44" s="29" t="s">
        <v>105</v>
      </c>
      <c r="D44" s="29" t="s">
        <v>106</v>
      </c>
      <c r="E44" s="29" t="s">
        <v>107</v>
      </c>
      <c r="F44" s="29" t="s">
        <v>124</v>
      </c>
      <c r="G44" s="29" t="s">
        <v>1209</v>
      </c>
      <c r="H44" s="29" t="s">
        <v>1199</v>
      </c>
      <c r="I44" s="29" t="s">
        <v>1200</v>
      </c>
      <c r="J44" s="29" t="s">
        <v>1201</v>
      </c>
      <c r="K44" s="29" t="s">
        <v>1202</v>
      </c>
      <c r="L44" s="73" t="s">
        <v>1180</v>
      </c>
      <c r="M44" s="58" t="s">
        <v>1181</v>
      </c>
      <c r="N44" s="73" t="s">
        <v>1182</v>
      </c>
      <c r="O44" s="58" t="s">
        <v>1183</v>
      </c>
      <c r="P44" s="73" t="s">
        <v>1182</v>
      </c>
      <c r="Q44" s="58" t="s">
        <v>1183</v>
      </c>
      <c r="R44" s="73" t="s">
        <v>1182</v>
      </c>
      <c r="S44" s="58" t="s">
        <v>1183</v>
      </c>
      <c r="T44" s="73" t="s">
        <v>1182</v>
      </c>
      <c r="U44" s="58" t="s">
        <v>1183</v>
      </c>
      <c r="V44" s="29" t="s">
        <v>1213</v>
      </c>
    </row>
    <row r="45" spans="1:22" s="2" customFormat="1" ht="30.75" customHeight="1">
      <c r="B45" s="62">
        <v>24</v>
      </c>
      <c r="C45" s="63" t="s">
        <v>108</v>
      </c>
      <c r="D45" s="63" t="s">
        <v>109</v>
      </c>
      <c r="E45" s="63" t="s">
        <v>90</v>
      </c>
      <c r="F45" s="59">
        <v>5</v>
      </c>
      <c r="G45" s="38">
        <f>IF(F45=0,"No se requiere",'[33]RESUMEN CIRCULAR_DECRETO'!H33)</f>
        <v>12833409</v>
      </c>
      <c r="H45" s="38">
        <f>IF(F45=0,"No se requiere",'[33]RESUMEN CIRCULAR_DECRETO'!K33)</f>
        <v>13924249</v>
      </c>
      <c r="I45" s="38">
        <f>IF(G45=0,"No se requiere",'[33]RESUMEN CIRCULAR_DECRETO'!N33)</f>
        <v>14152750</v>
      </c>
      <c r="J45" s="38">
        <f>IF(H45=0,"No se requiere",'[33]RESUMEN CIRCULAR_DECRETO'!Q33)</f>
        <v>15092491</v>
      </c>
      <c r="K45" s="38">
        <f>IF(I45=0,"No se requiere",'[33]RESUMEN CIRCULAR_DECRETO'!T33)</f>
        <v>15141226</v>
      </c>
      <c r="L45" s="39">
        <f t="shared" ref="L45:L50" si="0">G45*F45</f>
        <v>64167045</v>
      </c>
      <c r="M45" s="39">
        <f>ROUND(L45*$I$35,0)</f>
        <v>64167045</v>
      </c>
      <c r="N45" s="39">
        <f t="shared" ref="N45:N50" si="1">H45*F45</f>
        <v>69621245</v>
      </c>
      <c r="O45" s="39">
        <f>ROUND(N45*$J$35,0)</f>
        <v>452538093</v>
      </c>
      <c r="P45" s="39">
        <f>I45*F45</f>
        <v>70763750</v>
      </c>
      <c r="Q45" s="39">
        <f>ROUND(P45*$K$35,0)</f>
        <v>389200625</v>
      </c>
      <c r="R45" s="39">
        <f>J45*F45</f>
        <v>75462455</v>
      </c>
      <c r="S45" s="39">
        <f>ROUND(R45*$L$35,0)</f>
        <v>490505958</v>
      </c>
      <c r="T45" s="39">
        <f>K45*F45</f>
        <v>75706130</v>
      </c>
      <c r="U45" s="39">
        <f>ROUND(T45*$M$35,0)</f>
        <v>416383715</v>
      </c>
      <c r="V45" s="81">
        <f>O45+M45+Q45+S45+U45</f>
        <v>1812795436</v>
      </c>
    </row>
    <row r="46" spans="1:22" s="2" customFormat="1" ht="30.75" customHeight="1">
      <c r="B46" s="62">
        <v>24</v>
      </c>
      <c r="C46" s="63" t="s">
        <v>108</v>
      </c>
      <c r="D46" s="63" t="s">
        <v>109</v>
      </c>
      <c r="E46" s="63" t="s">
        <v>92</v>
      </c>
      <c r="F46" s="59">
        <v>11</v>
      </c>
      <c r="G46" s="38">
        <f>IF(F46=0,"No se requiere",'[33]RESUMEN CIRCULAR_DECRETO'!H34)</f>
        <v>13071065</v>
      </c>
      <c r="H46" s="38">
        <f>IF(F46=0,"No se requiere",'[33]RESUMEN CIRCULAR_DECRETO'!K34)</f>
        <v>14182105</v>
      </c>
      <c r="I46" s="38">
        <f>IF(G46=0,"No se requiere",'[33]RESUMEN CIRCULAR_DECRETO'!N34)</f>
        <v>14414838</v>
      </c>
      <c r="J46" s="38">
        <f>IF(H46=0,"No se requiere",'[33]RESUMEN CIRCULAR_DECRETO'!Q34)</f>
        <v>15371982</v>
      </c>
      <c r="K46" s="38">
        <f>IF(I46=0,"No se requiere",'[33]RESUMEN CIRCULAR_DECRETO'!T34)</f>
        <v>15421619</v>
      </c>
      <c r="L46" s="39">
        <f t="shared" si="0"/>
        <v>143781715</v>
      </c>
      <c r="M46" s="39">
        <f t="shared" ref="M46:M50" si="2">ROUND(L46*$I$35,0)</f>
        <v>143781715</v>
      </c>
      <c r="N46" s="39">
        <f t="shared" si="1"/>
        <v>156003155</v>
      </c>
      <c r="O46" s="39">
        <f t="shared" ref="O46:O50" si="3">ROUND(N46*$J$35,0)</f>
        <v>1014020508</v>
      </c>
      <c r="P46" s="39">
        <f t="shared" ref="P46:P50" si="4">I46*F46</f>
        <v>158563218</v>
      </c>
      <c r="Q46" s="39">
        <f t="shared" ref="Q46:Q50" si="5">ROUND(P46*$K$35,0)</f>
        <v>872097699</v>
      </c>
      <c r="R46" s="39">
        <f t="shared" ref="R46:R50" si="6">J46*F46</f>
        <v>169091802</v>
      </c>
      <c r="S46" s="39">
        <f t="shared" ref="S46:S50" si="7">ROUND(R46*$L$35,0)</f>
        <v>1099096713</v>
      </c>
      <c r="T46" s="39">
        <f t="shared" ref="T46:T50" si="8">K46*F46</f>
        <v>169637809</v>
      </c>
      <c r="U46" s="39">
        <f t="shared" ref="U46:U50" si="9">ROUND(T46*$M$35,0)</f>
        <v>933007950</v>
      </c>
      <c r="V46" s="81">
        <f t="shared" ref="V46:V50" si="10">O46+M46+Q46+S46+U46</f>
        <v>4062004585</v>
      </c>
    </row>
    <row r="47" spans="1:22" s="2" customFormat="1" ht="30.75" customHeight="1">
      <c r="B47" s="62">
        <v>24</v>
      </c>
      <c r="C47" s="63" t="s">
        <v>1143</v>
      </c>
      <c r="D47" s="63" t="s">
        <v>109</v>
      </c>
      <c r="E47" s="63" t="s">
        <v>92</v>
      </c>
      <c r="F47" s="59">
        <v>1</v>
      </c>
      <c r="G47" s="38">
        <f>IF(F47=0,"No se requiere",'[33]RESUMEN CIRCULAR_DECRETO'!H35)</f>
        <v>4357310</v>
      </c>
      <c r="H47" s="38">
        <f>IF(F47=0,"No se requiere",'[33]RESUMEN CIRCULAR_DECRETO'!K35)</f>
        <v>4727680</v>
      </c>
      <c r="I47" s="38">
        <f>IF(G47=0,"No se requiere",'[33]RESUMEN CIRCULAR_DECRETO'!N35)</f>
        <v>4805258</v>
      </c>
      <c r="J47" s="38">
        <f>IF(H47=0,"No se requiere",'[33]RESUMEN CIRCULAR_DECRETO'!Q35)</f>
        <v>5124327</v>
      </c>
      <c r="K47" s="38">
        <f>IF(I47=0,"No se requiere",'[33]RESUMEN CIRCULAR_DECRETO'!T35)</f>
        <v>5140873</v>
      </c>
      <c r="L47" s="39">
        <f t="shared" si="0"/>
        <v>4357310</v>
      </c>
      <c r="M47" s="39">
        <f t="shared" si="2"/>
        <v>4357310</v>
      </c>
      <c r="N47" s="39">
        <f t="shared" si="1"/>
        <v>4727680</v>
      </c>
      <c r="O47" s="39">
        <f t="shared" si="3"/>
        <v>30729920</v>
      </c>
      <c r="P47" s="39">
        <f t="shared" si="4"/>
        <v>4805258</v>
      </c>
      <c r="Q47" s="39">
        <f t="shared" si="5"/>
        <v>26428919</v>
      </c>
      <c r="R47" s="39">
        <f t="shared" si="6"/>
        <v>5124327</v>
      </c>
      <c r="S47" s="39">
        <f t="shared" si="7"/>
        <v>33308126</v>
      </c>
      <c r="T47" s="39">
        <f t="shared" si="8"/>
        <v>5140873</v>
      </c>
      <c r="U47" s="39">
        <f t="shared" si="9"/>
        <v>28274802</v>
      </c>
      <c r="V47" s="81">
        <f t="shared" si="10"/>
        <v>123099077</v>
      </c>
    </row>
    <row r="48" spans="1:22" s="2" customFormat="1" ht="30.75" customHeight="1">
      <c r="B48" s="62">
        <v>12</v>
      </c>
      <c r="C48" s="63" t="s">
        <v>110</v>
      </c>
      <c r="D48" s="63" t="s">
        <v>111</v>
      </c>
      <c r="E48" s="63" t="s">
        <v>1144</v>
      </c>
      <c r="F48" s="59">
        <v>1</v>
      </c>
      <c r="G48" s="38">
        <f>IF(F48=0,"No se requiere",'[33]RESUMEN CIRCULAR_DECRETO'!H36)</f>
        <v>3901830</v>
      </c>
      <c r="H48" s="38">
        <f>IF(F48=0,"No se requiere",'[33]RESUMEN CIRCULAR_DECRETO'!K36)</f>
        <v>4233485</v>
      </c>
      <c r="I48" s="38">
        <f>IF(G48=0,"No se requiere",'[33]RESUMEN CIRCULAR_DECRETO'!N36)</f>
        <v>4302958</v>
      </c>
      <c r="J48" s="38">
        <f>IF(H48=0,"No se requiere",'[33]RESUMEN CIRCULAR_DECRETO'!Q36)</f>
        <v>4588673</v>
      </c>
      <c r="K48" s="38">
        <f>IF(I48=0,"No se requiere",'[33]RESUMEN CIRCULAR_DECRETO'!T36)</f>
        <v>4603490</v>
      </c>
      <c r="L48" s="39">
        <f t="shared" si="0"/>
        <v>3901830</v>
      </c>
      <c r="M48" s="39">
        <f t="shared" si="2"/>
        <v>3901830</v>
      </c>
      <c r="N48" s="39">
        <f t="shared" si="1"/>
        <v>4233485</v>
      </c>
      <c r="O48" s="39">
        <f t="shared" si="3"/>
        <v>27517653</v>
      </c>
      <c r="P48" s="39">
        <f t="shared" si="4"/>
        <v>4302958</v>
      </c>
      <c r="Q48" s="39">
        <f t="shared" si="5"/>
        <v>23666269</v>
      </c>
      <c r="R48" s="39">
        <f t="shared" si="6"/>
        <v>4588673</v>
      </c>
      <c r="S48" s="39">
        <f t="shared" si="7"/>
        <v>29826375</v>
      </c>
      <c r="T48" s="39">
        <f t="shared" si="8"/>
        <v>4603490</v>
      </c>
      <c r="U48" s="39">
        <f t="shared" si="9"/>
        <v>25319195</v>
      </c>
      <c r="V48" s="81">
        <f t="shared" si="10"/>
        <v>110231322</v>
      </c>
    </row>
    <row r="49" spans="2:22" s="2" customFormat="1" ht="30.75" customHeight="1">
      <c r="B49" s="62">
        <v>12</v>
      </c>
      <c r="C49" s="63" t="s">
        <v>110</v>
      </c>
      <c r="D49" s="66" t="s">
        <v>1190</v>
      </c>
      <c r="E49" s="63" t="s">
        <v>90</v>
      </c>
      <c r="F49" s="59">
        <v>1</v>
      </c>
      <c r="G49" s="38">
        <f>IF(F49=0,"No se requiere",'[33]RESUMEN CIRCULAR_DECRETO'!H37)</f>
        <v>4724718</v>
      </c>
      <c r="H49" s="38">
        <f>IF(F49=0,"No se requiere",'[33]RESUMEN CIRCULAR_DECRETO'!K37)</f>
        <v>5126319</v>
      </c>
      <c r="I49" s="38">
        <f>IF(G49=0,"No se requiere",'[33]RESUMEN CIRCULAR_DECRETO'!N37)</f>
        <v>5210444</v>
      </c>
      <c r="J49" s="38">
        <f>IF(H49=0,"No se requiere",'[33]RESUMEN CIRCULAR_DECRETO'!Q37)</f>
        <v>5556416</v>
      </c>
      <c r="K49" s="38">
        <f>IF(I49=0,"No se requiere",'[33]RESUMEN CIRCULAR_DECRETO'!T37)</f>
        <v>5574358</v>
      </c>
      <c r="L49" s="39">
        <f t="shared" si="0"/>
        <v>4724718</v>
      </c>
      <c r="M49" s="39">
        <f t="shared" si="2"/>
        <v>4724718</v>
      </c>
      <c r="N49" s="39">
        <f t="shared" si="1"/>
        <v>5126319</v>
      </c>
      <c r="O49" s="39">
        <f t="shared" si="3"/>
        <v>33321074</v>
      </c>
      <c r="P49" s="39">
        <f t="shared" si="4"/>
        <v>5210444</v>
      </c>
      <c r="Q49" s="39">
        <f t="shared" si="5"/>
        <v>28657442</v>
      </c>
      <c r="R49" s="39">
        <f t="shared" si="6"/>
        <v>5556416</v>
      </c>
      <c r="S49" s="39">
        <f t="shared" si="7"/>
        <v>36116704</v>
      </c>
      <c r="T49" s="39">
        <f t="shared" si="8"/>
        <v>5574358</v>
      </c>
      <c r="U49" s="39">
        <f t="shared" si="9"/>
        <v>30658969</v>
      </c>
      <c r="V49" s="81">
        <f t="shared" si="10"/>
        <v>133478907</v>
      </c>
    </row>
    <row r="50" spans="2:22" s="2" customFormat="1" ht="30.75" customHeight="1">
      <c r="B50" s="62">
        <v>12</v>
      </c>
      <c r="C50" s="63" t="s">
        <v>108</v>
      </c>
      <c r="D50" s="63" t="s">
        <v>111</v>
      </c>
      <c r="E50" s="63" t="s">
        <v>90</v>
      </c>
      <c r="F50" s="59">
        <v>1</v>
      </c>
      <c r="G50" s="38">
        <f>IF(F50=0,"No se requiere",'[33]RESUMEN CIRCULAR_DECRETO'!H38)</f>
        <v>5746473</v>
      </c>
      <c r="H50" s="38">
        <f>IF(F50=0,"No se requiere",'[33]RESUMEN CIRCULAR_DECRETO'!K38)</f>
        <v>6234922</v>
      </c>
      <c r="I50" s="38">
        <f>IF(G50=0,"No se requiere",'[33]RESUMEN CIRCULAR_DECRETO'!N38)</f>
        <v>6337236</v>
      </c>
      <c r="J50" s="38">
        <f>IF(H50=0,"No se requiere",'[33]RESUMEN CIRCULAR_DECRETO'!Q38)</f>
        <v>6758029</v>
      </c>
      <c r="K50" s="38">
        <f>IF(I50=0,"No se requiere",'[33]RESUMEN CIRCULAR_DECRETO'!T38)</f>
        <v>6779850</v>
      </c>
      <c r="L50" s="39">
        <f t="shared" si="0"/>
        <v>5746473</v>
      </c>
      <c r="M50" s="39">
        <f t="shared" si="2"/>
        <v>5746473</v>
      </c>
      <c r="N50" s="39">
        <f t="shared" si="1"/>
        <v>6234922</v>
      </c>
      <c r="O50" s="39">
        <f t="shared" si="3"/>
        <v>40526993</v>
      </c>
      <c r="P50" s="39">
        <f t="shared" si="4"/>
        <v>6337236</v>
      </c>
      <c r="Q50" s="39">
        <f t="shared" si="5"/>
        <v>34854798</v>
      </c>
      <c r="R50" s="39">
        <f t="shared" si="6"/>
        <v>6758029</v>
      </c>
      <c r="S50" s="39">
        <f t="shared" si="7"/>
        <v>43927189</v>
      </c>
      <c r="T50" s="39">
        <f t="shared" si="8"/>
        <v>6779850</v>
      </c>
      <c r="U50" s="39">
        <f t="shared" si="9"/>
        <v>37289175</v>
      </c>
      <c r="V50" s="81">
        <f t="shared" si="10"/>
        <v>162344628</v>
      </c>
    </row>
    <row r="51" spans="2:22" s="2" customFormat="1" ht="27" customHeight="1">
      <c r="B51" s="201" t="s">
        <v>1212</v>
      </c>
      <c r="C51" s="201"/>
      <c r="D51" s="201"/>
      <c r="E51" s="201"/>
      <c r="F51" s="201"/>
      <c r="G51" s="201"/>
      <c r="H51" s="201"/>
      <c r="I51" s="201"/>
      <c r="J51" s="201"/>
      <c r="K51" s="201"/>
      <c r="L51" s="201"/>
      <c r="M51" s="201"/>
      <c r="N51" s="201"/>
      <c r="O51" s="201"/>
      <c r="P51" s="201"/>
      <c r="Q51" s="201"/>
      <c r="R51" s="201"/>
      <c r="S51" s="201"/>
      <c r="T51" s="201"/>
      <c r="U51" s="201"/>
      <c r="V51" s="81">
        <f>SUM(V45:V50)</f>
        <v>6403953955</v>
      </c>
    </row>
    <row r="52" spans="2:22" s="2" customFormat="1" ht="12.5">
      <c r="C52" s="4"/>
      <c r="D52" s="4"/>
      <c r="E52" s="4"/>
      <c r="F52" s="4"/>
      <c r="G52" s="4"/>
      <c r="H52" s="4"/>
    </row>
    <row r="53" spans="2:22" s="2" customFormat="1" ht="12.5">
      <c r="C53" s="4"/>
      <c r="D53" s="4"/>
      <c r="E53" s="4"/>
      <c r="F53" s="4"/>
      <c r="G53" s="4"/>
      <c r="H53" s="4"/>
    </row>
    <row r="54" spans="2:22" s="2" customFormat="1" ht="27.75" customHeight="1">
      <c r="B54" s="200" t="s">
        <v>1193</v>
      </c>
      <c r="C54" s="200"/>
      <c r="D54" s="200"/>
      <c r="E54" s="200"/>
      <c r="F54" s="200"/>
      <c r="G54" s="200"/>
      <c r="H54" s="200"/>
      <c r="I54" s="200"/>
      <c r="J54" s="200"/>
      <c r="K54" s="200"/>
      <c r="L54" s="200"/>
      <c r="M54" s="200"/>
      <c r="N54" s="200"/>
      <c r="O54" s="200"/>
      <c r="P54" s="200"/>
      <c r="Q54" s="200"/>
      <c r="R54" s="200"/>
      <c r="S54" s="200"/>
      <c r="T54" s="200"/>
      <c r="U54" s="200"/>
      <c r="V54" s="200"/>
    </row>
    <row r="55" spans="2:22" s="2" customFormat="1" ht="12.5">
      <c r="C55" s="4"/>
      <c r="D55" s="4"/>
      <c r="E55" s="4"/>
      <c r="F55" s="4"/>
      <c r="G55" s="4"/>
      <c r="H55" s="4"/>
    </row>
    <row r="56" spans="2:22" s="2" customFormat="1" ht="61.5" customHeight="1">
      <c r="B56" s="169" t="s">
        <v>1194</v>
      </c>
      <c r="C56" s="169"/>
      <c r="D56" s="169"/>
      <c r="E56" s="169"/>
      <c r="F56" s="169" t="s">
        <v>1214</v>
      </c>
      <c r="G56" s="169"/>
      <c r="H56" s="169"/>
      <c r="I56" s="169"/>
      <c r="J56" s="169"/>
      <c r="K56" s="169"/>
      <c r="L56" s="169"/>
      <c r="M56" s="169"/>
      <c r="N56" s="169"/>
      <c r="O56" s="169"/>
      <c r="P56" s="169"/>
    </row>
    <row r="57" spans="2:22" s="2" customFormat="1" ht="60" customHeight="1">
      <c r="B57" s="74" t="s">
        <v>1176</v>
      </c>
      <c r="C57" s="29" t="s">
        <v>1177</v>
      </c>
      <c r="D57" s="173" t="s">
        <v>125</v>
      </c>
      <c r="E57" s="174"/>
      <c r="F57" s="60" t="s">
        <v>124</v>
      </c>
      <c r="G57" s="75" t="s">
        <v>126</v>
      </c>
      <c r="H57" s="75" t="s">
        <v>1215</v>
      </c>
      <c r="I57" s="75" t="s">
        <v>1216</v>
      </c>
      <c r="J57" s="85" t="s">
        <v>1217</v>
      </c>
      <c r="K57" s="85" t="s">
        <v>1218</v>
      </c>
      <c r="L57" s="85" t="s">
        <v>1219</v>
      </c>
      <c r="M57" s="85" t="s">
        <v>1220</v>
      </c>
      <c r="N57" s="85" t="s">
        <v>1221</v>
      </c>
      <c r="O57" s="85" t="s">
        <v>1222</v>
      </c>
      <c r="P57" s="60" t="s">
        <v>1223</v>
      </c>
    </row>
    <row r="58" spans="2:22" s="2" customFormat="1" ht="57.75" customHeight="1">
      <c r="B58" s="59">
        <v>1</v>
      </c>
      <c r="C58" s="67" t="s">
        <v>1149</v>
      </c>
      <c r="D58" s="196" t="s">
        <v>1150</v>
      </c>
      <c r="E58" s="196"/>
      <c r="F58" s="76">
        <v>8</v>
      </c>
      <c r="G58" s="54"/>
      <c r="H58" s="54"/>
      <c r="I58" s="54"/>
      <c r="J58" s="39">
        <f t="shared" ref="J58:J80" si="11">ROUND(G58*F58,0)</f>
        <v>0</v>
      </c>
      <c r="K58" s="39">
        <f>J58*$I$35</f>
        <v>0</v>
      </c>
      <c r="L58" s="39">
        <f>ROUND(H58*F58,0)</f>
        <v>0</v>
      </c>
      <c r="M58" s="39">
        <f>L58*(SUM($J$35:$K$35))</f>
        <v>0</v>
      </c>
      <c r="N58" s="39">
        <f>ROUND(I58*F58,0)</f>
        <v>0</v>
      </c>
      <c r="O58" s="39">
        <f>N58*(SUM($L$35:$M$35))</f>
        <v>0</v>
      </c>
      <c r="P58" s="81">
        <f>K58+M58+O58</f>
        <v>0</v>
      </c>
    </row>
    <row r="59" spans="2:22" s="2" customFormat="1" ht="78" customHeight="1">
      <c r="B59" s="59">
        <v>2</v>
      </c>
      <c r="C59" s="67" t="s">
        <v>1149</v>
      </c>
      <c r="D59" s="196" t="s">
        <v>1151</v>
      </c>
      <c r="E59" s="196" t="s">
        <v>1151</v>
      </c>
      <c r="F59" s="76">
        <v>8</v>
      </c>
      <c r="G59" s="54"/>
      <c r="H59" s="54"/>
      <c r="I59" s="54"/>
      <c r="J59" s="39">
        <f t="shared" si="11"/>
        <v>0</v>
      </c>
      <c r="K59" s="39">
        <f t="shared" ref="K59:K80" si="12">J59*$I$35</f>
        <v>0</v>
      </c>
      <c r="L59" s="39">
        <f t="shared" ref="L59:L80" si="13">ROUND(H59*F59,0)</f>
        <v>0</v>
      </c>
      <c r="M59" s="39">
        <f t="shared" ref="M59:M80" si="14">L59*(SUM($J$35:$K$35))</f>
        <v>0</v>
      </c>
      <c r="N59" s="39">
        <f t="shared" ref="N59:N80" si="15">ROUND(I59*F59,0)</f>
        <v>0</v>
      </c>
      <c r="O59" s="39">
        <f t="shared" ref="O59:O80" si="16">N59*(SUM($L$35:$M$35))</f>
        <v>0</v>
      </c>
      <c r="P59" s="81">
        <f t="shared" ref="P59:P80" si="17">K59+M59+O59</f>
        <v>0</v>
      </c>
    </row>
    <row r="60" spans="2:22" s="2" customFormat="1" ht="78" customHeight="1">
      <c r="B60" s="59">
        <v>3</v>
      </c>
      <c r="C60" s="67" t="s">
        <v>1149</v>
      </c>
      <c r="D60" s="196" t="s">
        <v>1152</v>
      </c>
      <c r="E60" s="196" t="s">
        <v>1152</v>
      </c>
      <c r="F60" s="76">
        <f>36+5</f>
        <v>41</v>
      </c>
      <c r="G60" s="54"/>
      <c r="H60" s="54"/>
      <c r="I60" s="54"/>
      <c r="J60" s="39">
        <f t="shared" si="11"/>
        <v>0</v>
      </c>
      <c r="K60" s="39">
        <f t="shared" si="12"/>
        <v>0</v>
      </c>
      <c r="L60" s="39">
        <f t="shared" si="13"/>
        <v>0</v>
      </c>
      <c r="M60" s="39">
        <f t="shared" si="14"/>
        <v>0</v>
      </c>
      <c r="N60" s="39">
        <f t="shared" si="15"/>
        <v>0</v>
      </c>
      <c r="O60" s="39">
        <f t="shared" si="16"/>
        <v>0</v>
      </c>
      <c r="P60" s="81">
        <f t="shared" si="17"/>
        <v>0</v>
      </c>
    </row>
    <row r="61" spans="2:22" s="2" customFormat="1" ht="78" customHeight="1">
      <c r="B61" s="59">
        <v>4</v>
      </c>
      <c r="C61" s="67" t="s">
        <v>1149</v>
      </c>
      <c r="D61" s="196" t="s">
        <v>1153</v>
      </c>
      <c r="E61" s="196" t="s">
        <v>1153</v>
      </c>
      <c r="F61" s="76">
        <f>70+1</f>
        <v>71</v>
      </c>
      <c r="G61" s="54"/>
      <c r="H61" s="54"/>
      <c r="I61" s="54"/>
      <c r="J61" s="39">
        <f t="shared" si="11"/>
        <v>0</v>
      </c>
      <c r="K61" s="39">
        <f t="shared" si="12"/>
        <v>0</v>
      </c>
      <c r="L61" s="39">
        <f t="shared" si="13"/>
        <v>0</v>
      </c>
      <c r="M61" s="39">
        <f t="shared" si="14"/>
        <v>0</v>
      </c>
      <c r="N61" s="39">
        <f t="shared" si="15"/>
        <v>0</v>
      </c>
      <c r="O61" s="39">
        <f t="shared" si="16"/>
        <v>0</v>
      </c>
      <c r="P61" s="81">
        <f t="shared" si="17"/>
        <v>0</v>
      </c>
    </row>
    <row r="62" spans="2:22" s="2" customFormat="1" ht="78" customHeight="1">
      <c r="B62" s="59">
        <v>5</v>
      </c>
      <c r="C62" s="67" t="s">
        <v>1149</v>
      </c>
      <c r="D62" s="196" t="s">
        <v>1154</v>
      </c>
      <c r="E62" s="196" t="s">
        <v>1154</v>
      </c>
      <c r="F62" s="76">
        <v>4</v>
      </c>
      <c r="G62" s="54"/>
      <c r="H62" s="54"/>
      <c r="I62" s="54"/>
      <c r="J62" s="39">
        <f t="shared" si="11"/>
        <v>0</v>
      </c>
      <c r="K62" s="39">
        <f t="shared" si="12"/>
        <v>0</v>
      </c>
      <c r="L62" s="39">
        <f t="shared" si="13"/>
        <v>0</v>
      </c>
      <c r="M62" s="39">
        <f t="shared" si="14"/>
        <v>0</v>
      </c>
      <c r="N62" s="39">
        <f t="shared" si="15"/>
        <v>0</v>
      </c>
      <c r="O62" s="39">
        <f t="shared" si="16"/>
        <v>0</v>
      </c>
      <c r="P62" s="81">
        <f t="shared" si="17"/>
        <v>0</v>
      </c>
    </row>
    <row r="63" spans="2:22" s="2" customFormat="1" ht="71.25" customHeight="1">
      <c r="B63" s="59">
        <v>6</v>
      </c>
      <c r="C63" s="67" t="s">
        <v>1155</v>
      </c>
      <c r="D63" s="196" t="s">
        <v>1156</v>
      </c>
      <c r="E63" s="196"/>
      <c r="F63" s="76">
        <v>34</v>
      </c>
      <c r="G63" s="54"/>
      <c r="H63" s="54"/>
      <c r="I63" s="54"/>
      <c r="J63" s="39">
        <f t="shared" si="11"/>
        <v>0</v>
      </c>
      <c r="K63" s="39">
        <f t="shared" si="12"/>
        <v>0</v>
      </c>
      <c r="L63" s="39">
        <f t="shared" si="13"/>
        <v>0</v>
      </c>
      <c r="M63" s="39">
        <f t="shared" si="14"/>
        <v>0</v>
      </c>
      <c r="N63" s="39">
        <f t="shared" si="15"/>
        <v>0</v>
      </c>
      <c r="O63" s="39">
        <f t="shared" si="16"/>
        <v>0</v>
      </c>
      <c r="P63" s="81">
        <f t="shared" si="17"/>
        <v>0</v>
      </c>
    </row>
    <row r="64" spans="2:22" s="2" customFormat="1" ht="71.25" customHeight="1">
      <c r="B64" s="59">
        <v>7</v>
      </c>
      <c r="C64" s="67" t="s">
        <v>1155</v>
      </c>
      <c r="D64" s="196" t="s">
        <v>1157</v>
      </c>
      <c r="E64" s="196" t="s">
        <v>127</v>
      </c>
      <c r="F64" s="76">
        <v>8</v>
      </c>
      <c r="G64" s="54"/>
      <c r="H64" s="54"/>
      <c r="I64" s="54"/>
      <c r="J64" s="39">
        <f t="shared" si="11"/>
        <v>0</v>
      </c>
      <c r="K64" s="39">
        <f t="shared" si="12"/>
        <v>0</v>
      </c>
      <c r="L64" s="39">
        <f t="shared" si="13"/>
        <v>0</v>
      </c>
      <c r="M64" s="39">
        <f t="shared" si="14"/>
        <v>0</v>
      </c>
      <c r="N64" s="39">
        <f t="shared" si="15"/>
        <v>0</v>
      </c>
      <c r="O64" s="39">
        <f t="shared" si="16"/>
        <v>0</v>
      </c>
      <c r="P64" s="81">
        <f t="shared" si="17"/>
        <v>0</v>
      </c>
    </row>
    <row r="65" spans="2:16" s="2" customFormat="1" ht="71.25" customHeight="1">
      <c r="B65" s="59">
        <v>8</v>
      </c>
      <c r="C65" s="67" t="s">
        <v>1155</v>
      </c>
      <c r="D65" s="196" t="s">
        <v>1158</v>
      </c>
      <c r="E65" s="196" t="s">
        <v>128</v>
      </c>
      <c r="F65" s="76">
        <v>7</v>
      </c>
      <c r="G65" s="54"/>
      <c r="H65" s="54"/>
      <c r="I65" s="54"/>
      <c r="J65" s="39">
        <f t="shared" si="11"/>
        <v>0</v>
      </c>
      <c r="K65" s="39">
        <f t="shared" si="12"/>
        <v>0</v>
      </c>
      <c r="L65" s="39">
        <f t="shared" si="13"/>
        <v>0</v>
      </c>
      <c r="M65" s="39">
        <f t="shared" si="14"/>
        <v>0</v>
      </c>
      <c r="N65" s="39">
        <f t="shared" si="15"/>
        <v>0</v>
      </c>
      <c r="O65" s="39">
        <f t="shared" si="16"/>
        <v>0</v>
      </c>
      <c r="P65" s="81">
        <f t="shared" si="17"/>
        <v>0</v>
      </c>
    </row>
    <row r="66" spans="2:16" s="2" customFormat="1" ht="71.25" customHeight="1">
      <c r="B66" s="59">
        <v>9</v>
      </c>
      <c r="C66" s="67" t="s">
        <v>1155</v>
      </c>
      <c r="D66" s="196" t="s">
        <v>1159</v>
      </c>
      <c r="E66" s="196" t="s">
        <v>1178</v>
      </c>
      <c r="F66" s="76">
        <v>9</v>
      </c>
      <c r="G66" s="54"/>
      <c r="H66" s="54"/>
      <c r="I66" s="54"/>
      <c r="J66" s="39">
        <f t="shared" si="11"/>
        <v>0</v>
      </c>
      <c r="K66" s="39">
        <f t="shared" si="12"/>
        <v>0</v>
      </c>
      <c r="L66" s="39">
        <f t="shared" si="13"/>
        <v>0</v>
      </c>
      <c r="M66" s="39">
        <f t="shared" si="14"/>
        <v>0</v>
      </c>
      <c r="N66" s="39">
        <f t="shared" si="15"/>
        <v>0</v>
      </c>
      <c r="O66" s="39">
        <f t="shared" si="16"/>
        <v>0</v>
      </c>
      <c r="P66" s="81">
        <f t="shared" si="17"/>
        <v>0</v>
      </c>
    </row>
    <row r="67" spans="2:16" s="2" customFormat="1" ht="71.25" customHeight="1">
      <c r="B67" s="59">
        <v>10</v>
      </c>
      <c r="C67" s="67" t="s">
        <v>1155</v>
      </c>
      <c r="D67" s="196" t="s">
        <v>1160</v>
      </c>
      <c r="E67" s="196" t="s">
        <v>1178</v>
      </c>
      <c r="F67" s="76">
        <v>8</v>
      </c>
      <c r="G67" s="54"/>
      <c r="H67" s="54"/>
      <c r="I67" s="54"/>
      <c r="J67" s="39">
        <f t="shared" si="11"/>
        <v>0</v>
      </c>
      <c r="K67" s="39">
        <f t="shared" si="12"/>
        <v>0</v>
      </c>
      <c r="L67" s="39">
        <f t="shared" si="13"/>
        <v>0</v>
      </c>
      <c r="M67" s="39">
        <f t="shared" si="14"/>
        <v>0</v>
      </c>
      <c r="N67" s="39">
        <f t="shared" si="15"/>
        <v>0</v>
      </c>
      <c r="O67" s="39">
        <f t="shared" si="16"/>
        <v>0</v>
      </c>
      <c r="P67" s="81">
        <f t="shared" si="17"/>
        <v>0</v>
      </c>
    </row>
    <row r="68" spans="2:16" s="2" customFormat="1" ht="44.25" customHeight="1">
      <c r="B68" s="59">
        <v>11</v>
      </c>
      <c r="C68" s="67" t="s">
        <v>1155</v>
      </c>
      <c r="D68" s="196" t="s">
        <v>1161</v>
      </c>
      <c r="E68" s="196" t="s">
        <v>1178</v>
      </c>
      <c r="F68" s="76">
        <v>77</v>
      </c>
      <c r="G68" s="54"/>
      <c r="H68" s="54"/>
      <c r="I68" s="54"/>
      <c r="J68" s="39">
        <f t="shared" si="11"/>
        <v>0</v>
      </c>
      <c r="K68" s="39">
        <f t="shared" si="12"/>
        <v>0</v>
      </c>
      <c r="L68" s="39">
        <f t="shared" si="13"/>
        <v>0</v>
      </c>
      <c r="M68" s="39">
        <f t="shared" si="14"/>
        <v>0</v>
      </c>
      <c r="N68" s="39">
        <f t="shared" si="15"/>
        <v>0</v>
      </c>
      <c r="O68" s="39">
        <f t="shared" si="16"/>
        <v>0</v>
      </c>
      <c r="P68" s="81">
        <f t="shared" si="17"/>
        <v>0</v>
      </c>
    </row>
    <row r="69" spans="2:16" s="2" customFormat="1" ht="44.25" customHeight="1">
      <c r="B69" s="59">
        <v>12</v>
      </c>
      <c r="C69" s="67" t="s">
        <v>1155</v>
      </c>
      <c r="D69" s="196" t="s">
        <v>1162</v>
      </c>
      <c r="E69" s="196" t="s">
        <v>1179</v>
      </c>
      <c r="F69" s="76">
        <v>17</v>
      </c>
      <c r="G69" s="54"/>
      <c r="H69" s="54"/>
      <c r="I69" s="54"/>
      <c r="J69" s="39">
        <f t="shared" si="11"/>
        <v>0</v>
      </c>
      <c r="K69" s="39">
        <f t="shared" si="12"/>
        <v>0</v>
      </c>
      <c r="L69" s="39">
        <f t="shared" si="13"/>
        <v>0</v>
      </c>
      <c r="M69" s="39">
        <f t="shared" si="14"/>
        <v>0</v>
      </c>
      <c r="N69" s="39">
        <f t="shared" si="15"/>
        <v>0</v>
      </c>
      <c r="O69" s="39">
        <f t="shared" si="16"/>
        <v>0</v>
      </c>
      <c r="P69" s="81">
        <f t="shared" si="17"/>
        <v>0</v>
      </c>
    </row>
    <row r="70" spans="2:16" s="2" customFormat="1" ht="44.25" customHeight="1">
      <c r="B70" s="59">
        <v>13</v>
      </c>
      <c r="C70" s="67" t="s">
        <v>1155</v>
      </c>
      <c r="D70" s="196" t="s">
        <v>1163</v>
      </c>
      <c r="E70" s="196" t="s">
        <v>129</v>
      </c>
      <c r="F70" s="76">
        <v>12</v>
      </c>
      <c r="G70" s="54"/>
      <c r="H70" s="54"/>
      <c r="I70" s="54"/>
      <c r="J70" s="39">
        <f t="shared" si="11"/>
        <v>0</v>
      </c>
      <c r="K70" s="39">
        <f t="shared" si="12"/>
        <v>0</v>
      </c>
      <c r="L70" s="39">
        <f t="shared" si="13"/>
        <v>0</v>
      </c>
      <c r="M70" s="39">
        <f t="shared" si="14"/>
        <v>0</v>
      </c>
      <c r="N70" s="39">
        <f t="shared" si="15"/>
        <v>0</v>
      </c>
      <c r="O70" s="39">
        <f t="shared" si="16"/>
        <v>0</v>
      </c>
      <c r="P70" s="81">
        <f t="shared" si="17"/>
        <v>0</v>
      </c>
    </row>
    <row r="71" spans="2:16" s="2" customFormat="1" ht="44.25" customHeight="1">
      <c r="B71" s="59">
        <v>14</v>
      </c>
      <c r="C71" s="67" t="s">
        <v>1155</v>
      </c>
      <c r="D71" s="196" t="s">
        <v>1164</v>
      </c>
      <c r="E71" s="196" t="s">
        <v>130</v>
      </c>
      <c r="F71" s="76">
        <v>14</v>
      </c>
      <c r="G71" s="54"/>
      <c r="H71" s="54"/>
      <c r="I71" s="54"/>
      <c r="J71" s="39">
        <f t="shared" si="11"/>
        <v>0</v>
      </c>
      <c r="K71" s="39">
        <f t="shared" si="12"/>
        <v>0</v>
      </c>
      <c r="L71" s="39">
        <f t="shared" si="13"/>
        <v>0</v>
      </c>
      <c r="M71" s="39">
        <f t="shared" si="14"/>
        <v>0</v>
      </c>
      <c r="N71" s="39">
        <f t="shared" si="15"/>
        <v>0</v>
      </c>
      <c r="O71" s="39">
        <f t="shared" si="16"/>
        <v>0</v>
      </c>
      <c r="P71" s="81">
        <f t="shared" si="17"/>
        <v>0</v>
      </c>
    </row>
    <row r="72" spans="2:16" s="2" customFormat="1" ht="44.25" customHeight="1">
      <c r="B72" s="59">
        <v>15</v>
      </c>
      <c r="C72" s="67" t="s">
        <v>1155</v>
      </c>
      <c r="D72" s="196" t="s">
        <v>1165</v>
      </c>
      <c r="E72" s="196" t="s">
        <v>131</v>
      </c>
      <c r="F72" s="76">
        <v>1</v>
      </c>
      <c r="G72" s="54"/>
      <c r="H72" s="54"/>
      <c r="I72" s="54"/>
      <c r="J72" s="39">
        <f t="shared" si="11"/>
        <v>0</v>
      </c>
      <c r="K72" s="39">
        <f t="shared" si="12"/>
        <v>0</v>
      </c>
      <c r="L72" s="39">
        <f t="shared" si="13"/>
        <v>0</v>
      </c>
      <c r="M72" s="39">
        <f t="shared" si="14"/>
        <v>0</v>
      </c>
      <c r="N72" s="39">
        <f t="shared" si="15"/>
        <v>0</v>
      </c>
      <c r="O72" s="39">
        <f t="shared" si="16"/>
        <v>0</v>
      </c>
      <c r="P72" s="81">
        <f t="shared" si="17"/>
        <v>0</v>
      </c>
    </row>
    <row r="73" spans="2:16" s="2" customFormat="1" ht="61.5" customHeight="1">
      <c r="B73" s="59">
        <v>16</v>
      </c>
      <c r="C73" s="67" t="s">
        <v>1155</v>
      </c>
      <c r="D73" s="196" t="s">
        <v>1166</v>
      </c>
      <c r="E73" s="196" t="s">
        <v>132</v>
      </c>
      <c r="F73" s="76">
        <v>3</v>
      </c>
      <c r="G73" s="54"/>
      <c r="H73" s="54"/>
      <c r="I73" s="54"/>
      <c r="J73" s="39">
        <f t="shared" si="11"/>
        <v>0</v>
      </c>
      <c r="K73" s="39">
        <f t="shared" si="12"/>
        <v>0</v>
      </c>
      <c r="L73" s="39">
        <f t="shared" si="13"/>
        <v>0</v>
      </c>
      <c r="M73" s="39">
        <f t="shared" si="14"/>
        <v>0</v>
      </c>
      <c r="N73" s="39">
        <f t="shared" si="15"/>
        <v>0</v>
      </c>
      <c r="O73" s="39">
        <f t="shared" si="16"/>
        <v>0</v>
      </c>
      <c r="P73" s="81">
        <f t="shared" si="17"/>
        <v>0</v>
      </c>
    </row>
    <row r="74" spans="2:16" s="2" customFormat="1" ht="44.25" customHeight="1">
      <c r="B74" s="59">
        <v>17</v>
      </c>
      <c r="C74" s="67" t="s">
        <v>1167</v>
      </c>
      <c r="D74" s="196" t="s">
        <v>1168</v>
      </c>
      <c r="E74" s="196"/>
      <c r="F74" s="76">
        <v>5</v>
      </c>
      <c r="G74" s="54"/>
      <c r="H74" s="54"/>
      <c r="I74" s="54"/>
      <c r="J74" s="39">
        <f t="shared" si="11"/>
        <v>0</v>
      </c>
      <c r="K74" s="39">
        <f t="shared" si="12"/>
        <v>0</v>
      </c>
      <c r="L74" s="39">
        <f t="shared" si="13"/>
        <v>0</v>
      </c>
      <c r="M74" s="39">
        <f t="shared" si="14"/>
        <v>0</v>
      </c>
      <c r="N74" s="39">
        <f t="shared" si="15"/>
        <v>0</v>
      </c>
      <c r="O74" s="39">
        <f t="shared" si="16"/>
        <v>0</v>
      </c>
      <c r="P74" s="81">
        <f t="shared" si="17"/>
        <v>0</v>
      </c>
    </row>
    <row r="75" spans="2:16" s="2" customFormat="1" ht="44.25" customHeight="1">
      <c r="B75" s="59">
        <v>18</v>
      </c>
      <c r="C75" s="67" t="s">
        <v>1167</v>
      </c>
      <c r="D75" s="196" t="s">
        <v>1169</v>
      </c>
      <c r="E75" s="196" t="s">
        <v>1169</v>
      </c>
      <c r="F75" s="76">
        <v>34</v>
      </c>
      <c r="G75" s="54"/>
      <c r="H75" s="54"/>
      <c r="I75" s="54"/>
      <c r="J75" s="39">
        <f t="shared" si="11"/>
        <v>0</v>
      </c>
      <c r="K75" s="39">
        <f t="shared" si="12"/>
        <v>0</v>
      </c>
      <c r="L75" s="39">
        <f t="shared" si="13"/>
        <v>0</v>
      </c>
      <c r="M75" s="39">
        <f t="shared" si="14"/>
        <v>0</v>
      </c>
      <c r="N75" s="39">
        <f t="shared" si="15"/>
        <v>0</v>
      </c>
      <c r="O75" s="39">
        <f t="shared" si="16"/>
        <v>0</v>
      </c>
      <c r="P75" s="81">
        <f t="shared" si="17"/>
        <v>0</v>
      </c>
    </row>
    <row r="76" spans="2:16" s="2" customFormat="1" ht="44.25" customHeight="1">
      <c r="B76" s="59">
        <v>19</v>
      </c>
      <c r="C76" s="67" t="s">
        <v>1170</v>
      </c>
      <c r="D76" s="196" t="s">
        <v>1171</v>
      </c>
      <c r="E76" s="196"/>
      <c r="F76" s="76">
        <v>22</v>
      </c>
      <c r="G76" s="54"/>
      <c r="H76" s="54"/>
      <c r="I76" s="54"/>
      <c r="J76" s="39">
        <f t="shared" si="11"/>
        <v>0</v>
      </c>
      <c r="K76" s="39">
        <f t="shared" si="12"/>
        <v>0</v>
      </c>
      <c r="L76" s="39">
        <f t="shared" si="13"/>
        <v>0</v>
      </c>
      <c r="M76" s="39">
        <f t="shared" si="14"/>
        <v>0</v>
      </c>
      <c r="N76" s="39">
        <f t="shared" si="15"/>
        <v>0</v>
      </c>
      <c r="O76" s="39">
        <f t="shared" si="16"/>
        <v>0</v>
      </c>
      <c r="P76" s="81">
        <f t="shared" si="17"/>
        <v>0</v>
      </c>
    </row>
    <row r="77" spans="2:16" s="2" customFormat="1" ht="44.25" customHeight="1">
      <c r="B77" s="59">
        <v>20</v>
      </c>
      <c r="C77" s="67" t="s">
        <v>1170</v>
      </c>
      <c r="D77" s="196" t="s">
        <v>1172</v>
      </c>
      <c r="E77" s="196" t="s">
        <v>1172</v>
      </c>
      <c r="F77" s="76">
        <v>8</v>
      </c>
      <c r="G77" s="54"/>
      <c r="H77" s="54"/>
      <c r="I77" s="54"/>
      <c r="J77" s="39">
        <f t="shared" si="11"/>
        <v>0</v>
      </c>
      <c r="K77" s="39">
        <f t="shared" si="12"/>
        <v>0</v>
      </c>
      <c r="L77" s="39">
        <f t="shared" si="13"/>
        <v>0</v>
      </c>
      <c r="M77" s="39">
        <f t="shared" si="14"/>
        <v>0</v>
      </c>
      <c r="N77" s="39">
        <f t="shared" si="15"/>
        <v>0</v>
      </c>
      <c r="O77" s="39">
        <f t="shared" si="16"/>
        <v>0</v>
      </c>
      <c r="P77" s="81">
        <f t="shared" si="17"/>
        <v>0</v>
      </c>
    </row>
    <row r="78" spans="2:16" s="2" customFormat="1" ht="44.25" customHeight="1">
      <c r="B78" s="59">
        <v>21</v>
      </c>
      <c r="C78" s="67" t="s">
        <v>1170</v>
      </c>
      <c r="D78" s="196" t="s">
        <v>1173</v>
      </c>
      <c r="E78" s="196" t="s">
        <v>1173</v>
      </c>
      <c r="F78" s="76">
        <v>15</v>
      </c>
      <c r="G78" s="54"/>
      <c r="H78" s="54"/>
      <c r="I78" s="54"/>
      <c r="J78" s="39">
        <f t="shared" si="11"/>
        <v>0</v>
      </c>
      <c r="K78" s="39">
        <f t="shared" si="12"/>
        <v>0</v>
      </c>
      <c r="L78" s="39">
        <f t="shared" si="13"/>
        <v>0</v>
      </c>
      <c r="M78" s="39">
        <f t="shared" si="14"/>
        <v>0</v>
      </c>
      <c r="N78" s="39">
        <f t="shared" si="15"/>
        <v>0</v>
      </c>
      <c r="O78" s="39">
        <f t="shared" si="16"/>
        <v>0</v>
      </c>
      <c r="P78" s="81">
        <f t="shared" si="17"/>
        <v>0</v>
      </c>
    </row>
    <row r="79" spans="2:16" s="2" customFormat="1" ht="44.25" customHeight="1">
      <c r="B79" s="59">
        <v>22</v>
      </c>
      <c r="C79" s="67" t="s">
        <v>1170</v>
      </c>
      <c r="D79" s="196" t="s">
        <v>1174</v>
      </c>
      <c r="E79" s="196" t="s">
        <v>1174</v>
      </c>
      <c r="F79" s="76">
        <v>9</v>
      </c>
      <c r="G79" s="54"/>
      <c r="H79" s="54"/>
      <c r="I79" s="54"/>
      <c r="J79" s="39">
        <f t="shared" si="11"/>
        <v>0</v>
      </c>
      <c r="K79" s="39">
        <f t="shared" si="12"/>
        <v>0</v>
      </c>
      <c r="L79" s="39">
        <f t="shared" si="13"/>
        <v>0</v>
      </c>
      <c r="M79" s="39">
        <f t="shared" si="14"/>
        <v>0</v>
      </c>
      <c r="N79" s="39">
        <f t="shared" si="15"/>
        <v>0</v>
      </c>
      <c r="O79" s="39">
        <f t="shared" si="16"/>
        <v>0</v>
      </c>
      <c r="P79" s="81">
        <f t="shared" si="17"/>
        <v>0</v>
      </c>
    </row>
    <row r="80" spans="2:16" s="2" customFormat="1" ht="44.25" customHeight="1">
      <c r="B80" s="59">
        <v>23</v>
      </c>
      <c r="C80" s="67" t="s">
        <v>1170</v>
      </c>
      <c r="D80" s="196" t="s">
        <v>1175</v>
      </c>
      <c r="E80" s="196"/>
      <c r="F80" s="76">
        <v>1</v>
      </c>
      <c r="G80" s="54"/>
      <c r="H80" s="54"/>
      <c r="I80" s="54"/>
      <c r="J80" s="39">
        <f t="shared" si="11"/>
        <v>0</v>
      </c>
      <c r="K80" s="39">
        <f t="shared" si="12"/>
        <v>0</v>
      </c>
      <c r="L80" s="39">
        <f t="shared" si="13"/>
        <v>0</v>
      </c>
      <c r="M80" s="39">
        <f t="shared" si="14"/>
        <v>0</v>
      </c>
      <c r="N80" s="39">
        <f t="shared" si="15"/>
        <v>0</v>
      </c>
      <c r="O80" s="39">
        <f t="shared" si="16"/>
        <v>0</v>
      </c>
      <c r="P80" s="81">
        <f t="shared" si="17"/>
        <v>0</v>
      </c>
    </row>
    <row r="81" spans="2:16" s="2" customFormat="1" ht="24.75" customHeight="1">
      <c r="B81" s="201" t="s">
        <v>1224</v>
      </c>
      <c r="C81" s="201"/>
      <c r="D81" s="201"/>
      <c r="E81" s="201"/>
      <c r="F81" s="201"/>
      <c r="G81" s="201"/>
      <c r="H81" s="201"/>
      <c r="I81" s="201"/>
      <c r="J81" s="201"/>
      <c r="K81" s="201"/>
      <c r="L81" s="201"/>
      <c r="M81" s="201"/>
      <c r="N81" s="201"/>
      <c r="O81" s="201"/>
      <c r="P81" s="81">
        <f>SUM(P58:P80)</f>
        <v>0</v>
      </c>
    </row>
    <row r="82" spans="2:16" s="2" customFormat="1" ht="12.5">
      <c r="C82" s="4"/>
      <c r="D82" s="4"/>
      <c r="E82" s="4"/>
      <c r="F82" s="4"/>
      <c r="G82" s="4"/>
      <c r="H82" s="4"/>
    </row>
    <row r="83" spans="2:16" s="2" customFormat="1" ht="29.25" customHeight="1">
      <c r="B83" s="171" t="s">
        <v>1184</v>
      </c>
      <c r="C83" s="172"/>
      <c r="D83" s="172"/>
      <c r="E83" s="172"/>
      <c r="F83" s="172"/>
      <c r="G83" s="172"/>
      <c r="H83" s="172"/>
      <c r="I83" s="172"/>
      <c r="J83" s="197"/>
    </row>
    <row r="84" spans="2:16" s="2" customFormat="1" ht="29.25" customHeight="1">
      <c r="C84" s="4"/>
      <c r="D84" s="4"/>
      <c r="E84" s="4"/>
      <c r="F84" s="4"/>
      <c r="G84" s="4"/>
      <c r="H84" s="4"/>
    </row>
    <row r="85" spans="2:16" s="2" customFormat="1" ht="29.25" customHeight="1">
      <c r="B85" s="198" t="s">
        <v>1185</v>
      </c>
      <c r="C85" s="198"/>
      <c r="D85" s="198"/>
      <c r="E85" s="198"/>
      <c r="F85" s="198"/>
      <c r="G85"/>
      <c r="H85"/>
      <c r="I85"/>
      <c r="J85"/>
    </row>
    <row r="86" spans="2:16" s="2" customFormat="1" ht="29.25" customHeight="1">
      <c r="C86" s="4"/>
      <c r="D86" s="4"/>
      <c r="E86" s="4"/>
      <c r="F86" s="4"/>
      <c r="G86" s="4"/>
      <c r="H86" s="4"/>
    </row>
    <row r="87" spans="2:16" s="2" customFormat="1" ht="29.25" customHeight="1">
      <c r="B87" s="199" t="s">
        <v>133</v>
      </c>
      <c r="C87" s="199"/>
      <c r="D87" s="199"/>
      <c r="E87" s="77" t="s">
        <v>121</v>
      </c>
    </row>
    <row r="88" spans="2:16" s="2" customFormat="1" ht="29.25" customHeight="1">
      <c r="B88" s="180" t="s">
        <v>134</v>
      </c>
      <c r="C88" s="181"/>
      <c r="D88" s="182"/>
      <c r="E88" s="78">
        <f>SUM(V45:V50)</f>
        <v>6403953955</v>
      </c>
    </row>
    <row r="89" spans="2:16" s="2" customFormat="1" ht="29.25" customHeight="1">
      <c r="B89" s="180" t="s">
        <v>135</v>
      </c>
      <c r="C89" s="181"/>
      <c r="D89" s="182"/>
      <c r="E89" s="78">
        <f>SUM(P58:P80)</f>
        <v>0</v>
      </c>
    </row>
    <row r="90" spans="2:16" s="2" customFormat="1" ht="29.25" customHeight="1">
      <c r="B90" s="180" t="s">
        <v>136</v>
      </c>
      <c r="C90" s="181"/>
      <c r="D90" s="182"/>
      <c r="E90" s="78">
        <f>E88+E89</f>
        <v>6403953955</v>
      </c>
    </row>
    <row r="91" spans="2:16" s="2" customFormat="1" ht="29.25" customHeight="1">
      <c r="B91" s="183" t="s">
        <v>1195</v>
      </c>
      <c r="C91" s="183"/>
      <c r="D91" s="55">
        <v>0.1</v>
      </c>
      <c r="E91" s="78">
        <f>ROUND((E90)*D91,0)</f>
        <v>640395396</v>
      </c>
      <c r="G91" s="70"/>
    </row>
    <row r="92" spans="2:16" s="2" customFormat="1" ht="29.25" customHeight="1">
      <c r="B92" s="183" t="s">
        <v>137</v>
      </c>
      <c r="C92" s="183"/>
      <c r="D92" s="56">
        <v>0.19</v>
      </c>
      <c r="E92" s="78">
        <f>ROUND(E91*D92,0)</f>
        <v>121675125</v>
      </c>
      <c r="G92" s="70"/>
    </row>
    <row r="93" spans="2:16" s="2" customFormat="1" ht="29.25" customHeight="1">
      <c r="B93" s="173" t="s">
        <v>1203</v>
      </c>
      <c r="C93" s="184"/>
      <c r="D93" s="185"/>
      <c r="E93" s="79">
        <f>E90+E92</f>
        <v>6525629080</v>
      </c>
      <c r="G93" s="70"/>
    </row>
    <row r="94" spans="2:16" s="2" customFormat="1" ht="12.5">
      <c r="C94" s="4"/>
      <c r="D94" s="4"/>
      <c r="E94" s="4"/>
      <c r="G94" s="4"/>
    </row>
    <row r="95" spans="2:16" s="2" customFormat="1" ht="12.5">
      <c r="C95" s="4"/>
      <c r="D95" s="4"/>
      <c r="E95" s="4"/>
      <c r="F95" s="4"/>
      <c r="G95" s="4"/>
      <c r="H95" s="4"/>
    </row>
    <row r="96" spans="2:16" ht="27.75" customHeight="1">
      <c r="B96" s="260" t="s">
        <v>83</v>
      </c>
      <c r="C96" s="260"/>
      <c r="D96" s="260"/>
      <c r="E96" s="260"/>
      <c r="F96" s="260"/>
      <c r="G96" s="260"/>
      <c r="H96" s="260"/>
      <c r="I96" s="260"/>
    </row>
    <row r="97" spans="2:9" ht="63.75" customHeight="1">
      <c r="B97" s="259" t="s">
        <v>1225</v>
      </c>
      <c r="C97" s="259"/>
      <c r="D97" s="259"/>
      <c r="E97" s="259"/>
      <c r="F97" s="259"/>
      <c r="G97" s="259"/>
      <c r="H97" s="259"/>
      <c r="I97" s="259"/>
    </row>
    <row r="98" spans="2:9" ht="52.5" customHeight="1">
      <c r="B98" s="259" t="s">
        <v>1186</v>
      </c>
      <c r="C98" s="259"/>
      <c r="D98" s="259"/>
      <c r="E98" s="259"/>
      <c r="F98" s="259"/>
      <c r="G98" s="259"/>
      <c r="H98" s="259"/>
      <c r="I98" s="259"/>
    </row>
    <row r="99" spans="2:9" ht="12.5"/>
  </sheetData>
  <mergeCells count="72">
    <mergeCell ref="C8:D8"/>
    <mergeCell ref="I8:J8"/>
    <mergeCell ref="K8:L8"/>
    <mergeCell ref="B2:K4"/>
    <mergeCell ref="L2:L4"/>
    <mergeCell ref="B6:L6"/>
    <mergeCell ref="B7:C7"/>
    <mergeCell ref="D7:L7"/>
    <mergeCell ref="B32:M32"/>
    <mergeCell ref="C9:E9"/>
    <mergeCell ref="G9:H9"/>
    <mergeCell ref="B10:L10"/>
    <mergeCell ref="B13:L13"/>
    <mergeCell ref="B15:L15"/>
    <mergeCell ref="B17:L17"/>
    <mergeCell ref="C20:E20"/>
    <mergeCell ref="M20:N22"/>
    <mergeCell ref="C21:E21"/>
    <mergeCell ref="B23:B30"/>
    <mergeCell ref="C23:F23"/>
    <mergeCell ref="D57:E57"/>
    <mergeCell ref="F35:G35"/>
    <mergeCell ref="F36:G36"/>
    <mergeCell ref="B38:V38"/>
    <mergeCell ref="B41:V41"/>
    <mergeCell ref="B43:E43"/>
    <mergeCell ref="F43:K43"/>
    <mergeCell ref="L43:M43"/>
    <mergeCell ref="N43:O43"/>
    <mergeCell ref="P43:Q43"/>
    <mergeCell ref="R43:S43"/>
    <mergeCell ref="T43:U43"/>
    <mergeCell ref="B51:U51"/>
    <mergeCell ref="B54:V54"/>
    <mergeCell ref="B56:E56"/>
    <mergeCell ref="F56:P56"/>
    <mergeCell ref="D69:E69"/>
    <mergeCell ref="D58:E58"/>
    <mergeCell ref="D59:E59"/>
    <mergeCell ref="D60:E60"/>
    <mergeCell ref="D61:E61"/>
    <mergeCell ref="D62:E62"/>
    <mergeCell ref="D63:E63"/>
    <mergeCell ref="D64:E64"/>
    <mergeCell ref="D65:E65"/>
    <mergeCell ref="D66:E66"/>
    <mergeCell ref="D67:E67"/>
    <mergeCell ref="D68:E68"/>
    <mergeCell ref="B81:O81"/>
    <mergeCell ref="D70:E70"/>
    <mergeCell ref="D71:E71"/>
    <mergeCell ref="D72:E72"/>
    <mergeCell ref="D73:E73"/>
    <mergeCell ref="D74:E74"/>
    <mergeCell ref="D75:E75"/>
    <mergeCell ref="D76:E76"/>
    <mergeCell ref="D77:E77"/>
    <mergeCell ref="D78:E78"/>
    <mergeCell ref="D79:E79"/>
    <mergeCell ref="D80:E80"/>
    <mergeCell ref="B98:I98"/>
    <mergeCell ref="B83:J83"/>
    <mergeCell ref="B85:F85"/>
    <mergeCell ref="B87:D87"/>
    <mergeCell ref="B88:D88"/>
    <mergeCell ref="B89:D89"/>
    <mergeCell ref="B90:D90"/>
    <mergeCell ref="B91:C91"/>
    <mergeCell ref="B92:C92"/>
    <mergeCell ref="B93:D93"/>
    <mergeCell ref="B96:I96"/>
    <mergeCell ref="B97:I97"/>
  </mergeCells>
  <dataValidations disablePrompts="1" count="2">
    <dataValidation type="decimal" allowBlank="1" showInputMessage="1" showErrorMessage="1" error="Tener en cuenta que las cooperativas de vigilancia y seguridad privada, podrán descontar del valor de la tarifa hasta el diez por ciento (10%)," sqref="F21" xr:uid="{7ECE12DF-8CFF-441C-9D40-7E7E2716985B}">
      <formula1>0</formula1>
      <formula2>0.1</formula2>
    </dataValidation>
    <dataValidation type="list" allowBlank="1" showInputMessage="1" showErrorMessage="1" sqref="F20" xr:uid="{B59D2201-3B44-4587-A16B-686CA2DF8B54}">
      <formula1>"EMPRESA, COOPERATIVA"</formula1>
    </dataValidation>
  </dataValidations>
  <pageMargins left="0.70866141732283472" right="0.70866141732283472" top="0.74803149606299213" bottom="0.74803149606299213" header="0.31496062992125984" footer="0.31496062992125984"/>
  <pageSetup scale="43" orientation="portrait" r:id="rId1"/>
  <headerFooter>
    <oddFooter xml:space="preserve">&amp;C&amp;P/&amp;N
</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9005B8-C4AC-4EF9-A2D1-26774B5FE8E1}">
  <sheetPr>
    <tabColor rgb="FFFFFFCC"/>
  </sheetPr>
  <dimension ref="A1:Y99"/>
  <sheetViews>
    <sheetView showGridLines="0" zoomScale="80" zoomScaleNormal="80" zoomScaleSheetLayoutView="90" workbookViewId="0">
      <selection activeCell="G21" sqref="G21:G22"/>
    </sheetView>
  </sheetViews>
  <sheetFormatPr baseColWidth="10" defaultColWidth="0" defaultRowHeight="12.65" customHeight="1" zeroHeight="1"/>
  <cols>
    <col min="1" max="1" width="2" style="4" customWidth="1"/>
    <col min="2" max="2" width="13.81640625" style="4" customWidth="1"/>
    <col min="3" max="3" width="30" style="4" customWidth="1"/>
    <col min="4" max="4" width="25.81640625" style="4" customWidth="1"/>
    <col min="5" max="5" width="32.1796875" style="5" customWidth="1"/>
    <col min="6" max="6" width="15.7265625" style="5" customWidth="1"/>
    <col min="7" max="7" width="24.1796875" style="4" customWidth="1"/>
    <col min="8" max="8" width="23.54296875" style="4" customWidth="1"/>
    <col min="9" max="9" width="22.26953125" style="4" customWidth="1"/>
    <col min="10" max="10" width="21.54296875" style="4" customWidth="1"/>
    <col min="11" max="11" width="23.1796875" style="4" customWidth="1"/>
    <col min="12" max="12" width="20.81640625" style="4" customWidth="1"/>
    <col min="13" max="13" width="23.7265625" style="4" customWidth="1"/>
    <col min="14" max="14" width="21" style="4" customWidth="1"/>
    <col min="15" max="15" width="22.81640625" style="4" customWidth="1"/>
    <col min="16" max="16" width="23.7265625" style="4" customWidth="1"/>
    <col min="17" max="21" width="18.1796875" style="4" customWidth="1"/>
    <col min="22" max="23" width="18.54296875" style="4" customWidth="1"/>
    <col min="24" max="25" width="18.54296875" style="4" hidden="1" customWidth="1"/>
    <col min="26" max="16384" width="11.453125" style="4" hidden="1"/>
  </cols>
  <sheetData>
    <row r="1" spans="2:12" s="2" customFormat="1" ht="12.75" customHeight="1">
      <c r="E1" s="3"/>
      <c r="F1" s="3"/>
    </row>
    <row r="2" spans="2:12" s="2" customFormat="1" ht="21.75" customHeight="1">
      <c r="B2" s="268" t="s">
        <v>81</v>
      </c>
      <c r="C2" s="269"/>
      <c r="D2" s="269"/>
      <c r="E2" s="269"/>
      <c r="F2" s="269"/>
      <c r="G2" s="269"/>
      <c r="H2" s="269"/>
      <c r="I2" s="269"/>
      <c r="J2" s="269"/>
      <c r="K2" s="270"/>
      <c r="L2" s="257" t="s">
        <v>0</v>
      </c>
    </row>
    <row r="3" spans="2:12" s="2" customFormat="1" ht="21.75" customHeight="1">
      <c r="B3" s="271"/>
      <c r="C3" s="272"/>
      <c r="D3" s="272"/>
      <c r="E3" s="272"/>
      <c r="F3" s="272"/>
      <c r="G3" s="272"/>
      <c r="H3" s="272"/>
      <c r="I3" s="272"/>
      <c r="J3" s="272"/>
      <c r="K3" s="273"/>
      <c r="L3" s="257"/>
    </row>
    <row r="4" spans="2:12" s="2" customFormat="1" ht="21.75" customHeight="1">
      <c r="B4" s="274"/>
      <c r="C4" s="275"/>
      <c r="D4" s="275"/>
      <c r="E4" s="275"/>
      <c r="F4" s="275"/>
      <c r="G4" s="275"/>
      <c r="H4" s="275"/>
      <c r="I4" s="275"/>
      <c r="J4" s="275"/>
      <c r="K4" s="276"/>
      <c r="L4" s="257"/>
    </row>
    <row r="5" spans="2:12" s="2" customFormat="1" ht="5.25" customHeight="1">
      <c r="E5" s="3"/>
      <c r="F5" s="3"/>
    </row>
    <row r="6" spans="2:12" s="2" customFormat="1" ht="15.75" customHeight="1">
      <c r="B6" s="169" t="s">
        <v>81</v>
      </c>
      <c r="C6" s="169"/>
      <c r="D6" s="169"/>
      <c r="E6" s="169"/>
      <c r="F6" s="169"/>
      <c r="G6" s="169"/>
      <c r="H6" s="169"/>
      <c r="I6" s="169"/>
      <c r="J6" s="169"/>
      <c r="K6" s="169"/>
      <c r="L6" s="169"/>
    </row>
    <row r="7" spans="2:12" s="2" customFormat="1" ht="32.25" customHeight="1">
      <c r="B7" s="201" t="s">
        <v>82</v>
      </c>
      <c r="C7" s="201"/>
      <c r="D7" s="265" t="s">
        <v>1147</v>
      </c>
      <c r="E7" s="266"/>
      <c r="F7" s="266"/>
      <c r="G7" s="266"/>
      <c r="H7" s="266"/>
      <c r="I7" s="266"/>
      <c r="J7" s="266"/>
      <c r="K7" s="266"/>
      <c r="L7" s="267"/>
    </row>
    <row r="8" spans="2:12" s="2" customFormat="1" ht="36" customHeight="1">
      <c r="B8" s="87" t="s">
        <v>1229</v>
      </c>
      <c r="C8" s="277"/>
      <c r="D8" s="278"/>
      <c r="E8" s="88" t="s">
        <v>1231</v>
      </c>
      <c r="F8" s="52"/>
      <c r="G8" s="88" t="s">
        <v>1233</v>
      </c>
      <c r="H8" s="52"/>
      <c r="I8" s="279" t="s">
        <v>1235</v>
      </c>
      <c r="J8" s="279"/>
      <c r="K8" s="280"/>
      <c r="L8" s="281"/>
    </row>
    <row r="9" spans="2:12" s="2" customFormat="1" ht="33" customHeight="1">
      <c r="B9" s="89" t="s">
        <v>1237</v>
      </c>
      <c r="C9" s="280"/>
      <c r="D9" s="282"/>
      <c r="E9" s="281"/>
      <c r="F9" s="88" t="s">
        <v>1239</v>
      </c>
      <c r="G9" s="277"/>
      <c r="H9" s="278"/>
      <c r="I9" s="90" t="s">
        <v>1241</v>
      </c>
      <c r="J9" s="52"/>
      <c r="K9" s="91" t="s">
        <v>1243</v>
      </c>
      <c r="L9" s="52"/>
    </row>
    <row r="10" spans="2:12" s="2" customFormat="1" ht="5.15" customHeight="1">
      <c r="B10" s="285"/>
      <c r="C10" s="286"/>
      <c r="D10" s="286"/>
      <c r="E10" s="286"/>
      <c r="F10" s="286"/>
      <c r="G10" s="286"/>
      <c r="H10" s="286"/>
      <c r="I10" s="286"/>
      <c r="J10" s="286"/>
      <c r="K10" s="286"/>
      <c r="L10" s="287"/>
    </row>
    <row r="11" spans="2:12" s="2" customFormat="1" ht="8.25" customHeight="1">
      <c r="B11" s="68"/>
      <c r="C11" s="68"/>
      <c r="D11" s="68"/>
      <c r="E11" s="68"/>
      <c r="F11" s="68"/>
      <c r="G11" s="68"/>
      <c r="H11" s="68"/>
      <c r="I11" s="68"/>
      <c r="J11" s="68"/>
      <c r="K11" s="68"/>
      <c r="L11" s="68"/>
    </row>
    <row r="12" spans="2:12" s="2" customFormat="1" ht="8.25" customHeight="1">
      <c r="B12" s="68"/>
      <c r="C12" s="68"/>
      <c r="D12" s="68"/>
      <c r="E12" s="68"/>
      <c r="F12" s="68"/>
      <c r="G12" s="68"/>
      <c r="H12" s="68"/>
      <c r="I12" s="68"/>
      <c r="J12" s="68"/>
      <c r="K12" s="68"/>
      <c r="L12" s="68"/>
    </row>
    <row r="13" spans="2:12" s="2" customFormat="1" ht="104.25" customHeight="1">
      <c r="B13" s="283" t="s">
        <v>1197</v>
      </c>
      <c r="C13" s="283"/>
      <c r="D13" s="283"/>
      <c r="E13" s="283"/>
      <c r="F13" s="283"/>
      <c r="G13" s="283"/>
      <c r="H13" s="283"/>
      <c r="I13" s="283"/>
      <c r="J13" s="283"/>
      <c r="K13" s="283"/>
      <c r="L13" s="283"/>
    </row>
    <row r="14" spans="2:12" s="2" customFormat="1" ht="8.25" customHeight="1">
      <c r="B14" s="68"/>
      <c r="C14" s="68"/>
      <c r="D14" s="68"/>
      <c r="E14" s="68"/>
      <c r="F14" s="68"/>
      <c r="G14" s="68"/>
      <c r="H14" s="68"/>
      <c r="I14" s="68"/>
      <c r="J14" s="68"/>
      <c r="K14" s="68"/>
      <c r="L14" s="68"/>
    </row>
    <row r="15" spans="2:12" s="2" customFormat="1" ht="180" customHeight="1">
      <c r="B15" s="284" t="s">
        <v>1226</v>
      </c>
      <c r="C15" s="284"/>
      <c r="D15" s="284"/>
      <c r="E15" s="284"/>
      <c r="F15" s="284"/>
      <c r="G15" s="284"/>
      <c r="H15" s="284"/>
      <c r="I15" s="284"/>
      <c r="J15" s="284"/>
      <c r="K15" s="284"/>
      <c r="L15" s="284"/>
    </row>
    <row r="16" spans="2:12" s="2" customFormat="1" ht="8.25" customHeight="1">
      <c r="B16" s="68"/>
      <c r="C16" s="68"/>
      <c r="D16" s="68"/>
      <c r="E16" s="68"/>
      <c r="F16" s="68"/>
      <c r="G16" s="68"/>
      <c r="H16" s="68"/>
      <c r="I16" s="68"/>
      <c r="J16" s="68"/>
      <c r="K16" s="68"/>
      <c r="L16" s="68"/>
    </row>
    <row r="17" spans="2:14" s="2" customFormat="1" ht="23.25" customHeight="1">
      <c r="B17" s="171" t="s">
        <v>115</v>
      </c>
      <c r="C17" s="172"/>
      <c r="D17" s="172"/>
      <c r="E17" s="172"/>
      <c r="F17" s="172"/>
      <c r="G17" s="172"/>
      <c r="H17" s="172"/>
      <c r="I17" s="172"/>
      <c r="J17" s="172"/>
      <c r="K17" s="172"/>
      <c r="L17" s="197"/>
    </row>
    <row r="18" spans="2:14" s="2" customFormat="1" ht="8.25" customHeight="1">
      <c r="B18" s="68"/>
      <c r="C18" s="68"/>
      <c r="D18" s="68"/>
      <c r="E18" s="68"/>
      <c r="F18" s="68"/>
      <c r="G18" s="68"/>
      <c r="H18" s="68"/>
      <c r="I18" s="68"/>
      <c r="J18" s="68"/>
      <c r="K18" s="68"/>
      <c r="L18" s="68"/>
    </row>
    <row r="19" spans="2:14" s="2" customFormat="1" ht="8.25" customHeight="1">
      <c r="B19" s="68"/>
      <c r="C19" s="68"/>
      <c r="D19" s="68"/>
      <c r="E19" s="68"/>
      <c r="F19" s="68"/>
      <c r="G19" s="68"/>
      <c r="H19" s="68"/>
      <c r="I19" s="68"/>
      <c r="J19" s="68"/>
      <c r="K19" s="68"/>
      <c r="L19" s="68"/>
    </row>
    <row r="20" spans="2:14" s="2" customFormat="1" ht="29.25" customHeight="1">
      <c r="B20" s="67">
        <v>1</v>
      </c>
      <c r="C20" s="264" t="s">
        <v>116</v>
      </c>
      <c r="D20" s="264"/>
      <c r="E20" s="264"/>
      <c r="F20" s="51"/>
      <c r="G20" s="68"/>
      <c r="M20" s="263"/>
      <c r="N20" s="263"/>
    </row>
    <row r="21" spans="2:14" s="2" customFormat="1" ht="29.25" customHeight="1">
      <c r="B21" s="67">
        <v>2</v>
      </c>
      <c r="C21" s="264" t="s">
        <v>117</v>
      </c>
      <c r="D21" s="264"/>
      <c r="E21" s="264"/>
      <c r="F21" s="52"/>
      <c r="G21" s="68"/>
      <c r="M21" s="263"/>
      <c r="N21" s="263"/>
    </row>
    <row r="22" spans="2:14" s="2" customFormat="1" ht="29.25" customHeight="1">
      <c r="G22" s="68"/>
      <c r="M22" s="263"/>
      <c r="N22" s="263"/>
    </row>
    <row r="23" spans="2:14" s="2" customFormat="1" ht="43.5" customHeight="1">
      <c r="B23" s="201" t="s">
        <v>118</v>
      </c>
      <c r="C23" s="169" t="s">
        <v>1146</v>
      </c>
      <c r="D23" s="169"/>
      <c r="E23" s="169"/>
      <c r="F23" s="169"/>
      <c r="G23" s="29" t="s">
        <v>119</v>
      </c>
      <c r="H23" s="29" t="s">
        <v>119</v>
      </c>
      <c r="I23" s="29" t="s">
        <v>119</v>
      </c>
      <c r="L23" s="69"/>
      <c r="M23" s="69"/>
    </row>
    <row r="24" spans="2:14" s="2" customFormat="1" ht="29.25" customHeight="1">
      <c r="B24" s="201"/>
      <c r="C24" s="29" t="s">
        <v>104</v>
      </c>
      <c r="D24" s="29" t="s">
        <v>105</v>
      </c>
      <c r="E24" s="29" t="s">
        <v>106</v>
      </c>
      <c r="F24" s="37" t="s">
        <v>107</v>
      </c>
      <c r="G24" s="29">
        <v>2024</v>
      </c>
      <c r="H24" s="29">
        <v>2025</v>
      </c>
      <c r="I24" s="29">
        <v>2026</v>
      </c>
      <c r="L24" s="69"/>
      <c r="M24" s="69"/>
    </row>
    <row r="25" spans="2:14" s="2" customFormat="1" ht="33.75" customHeight="1">
      <c r="B25" s="201"/>
      <c r="C25" s="62">
        <v>24</v>
      </c>
      <c r="D25" s="63" t="s">
        <v>108</v>
      </c>
      <c r="E25" s="63" t="s">
        <v>109</v>
      </c>
      <c r="F25" s="63" t="s">
        <v>90</v>
      </c>
      <c r="G25" s="53"/>
      <c r="H25" s="53"/>
      <c r="I25" s="53"/>
      <c r="M25" s="69"/>
    </row>
    <row r="26" spans="2:14" s="2" customFormat="1" ht="33.75" customHeight="1">
      <c r="B26" s="201"/>
      <c r="C26" s="62">
        <v>24</v>
      </c>
      <c r="D26" s="63" t="s">
        <v>108</v>
      </c>
      <c r="E26" s="63" t="s">
        <v>109</v>
      </c>
      <c r="F26" s="63" t="s">
        <v>92</v>
      </c>
      <c r="G26" s="53"/>
      <c r="H26" s="53"/>
      <c r="I26" s="53"/>
      <c r="M26" s="69"/>
    </row>
    <row r="27" spans="2:14" s="2" customFormat="1" ht="33.75" customHeight="1">
      <c r="B27" s="201"/>
      <c r="C27" s="62">
        <v>24</v>
      </c>
      <c r="D27" s="63" t="s">
        <v>1143</v>
      </c>
      <c r="E27" s="63" t="s">
        <v>109</v>
      </c>
      <c r="F27" s="63" t="s">
        <v>92</v>
      </c>
      <c r="G27" s="53"/>
      <c r="H27" s="53"/>
      <c r="I27" s="53"/>
      <c r="M27" s="69"/>
    </row>
    <row r="28" spans="2:14" s="2" customFormat="1" ht="33.75" customHeight="1">
      <c r="B28" s="201"/>
      <c r="C28" s="62">
        <v>12</v>
      </c>
      <c r="D28" s="63" t="s">
        <v>110</v>
      </c>
      <c r="E28" s="63" t="s">
        <v>111</v>
      </c>
      <c r="F28" s="63" t="s">
        <v>1144</v>
      </c>
      <c r="G28" s="53"/>
      <c r="H28" s="53"/>
      <c r="I28" s="53"/>
      <c r="M28" s="69"/>
    </row>
    <row r="29" spans="2:14" s="2" customFormat="1" ht="33.75" customHeight="1">
      <c r="B29" s="201"/>
      <c r="C29" s="62">
        <v>12</v>
      </c>
      <c r="D29" s="63" t="s">
        <v>110</v>
      </c>
      <c r="E29" s="66" t="s">
        <v>1190</v>
      </c>
      <c r="F29" s="63" t="s">
        <v>90</v>
      </c>
      <c r="G29" s="53"/>
      <c r="H29" s="53"/>
      <c r="I29" s="53"/>
      <c r="M29" s="69"/>
    </row>
    <row r="30" spans="2:14" s="2" customFormat="1" ht="33.75" customHeight="1">
      <c r="B30" s="201"/>
      <c r="C30" s="62">
        <v>12</v>
      </c>
      <c r="D30" s="63" t="s">
        <v>108</v>
      </c>
      <c r="E30" s="63" t="s">
        <v>111</v>
      </c>
      <c r="F30" s="63" t="s">
        <v>90</v>
      </c>
      <c r="G30" s="53"/>
      <c r="H30" s="53"/>
      <c r="I30" s="53"/>
      <c r="M30" s="69"/>
    </row>
    <row r="31" spans="2:14" s="2" customFormat="1" ht="29.25" customHeight="1">
      <c r="G31" s="68"/>
      <c r="M31" s="69"/>
      <c r="N31" s="69"/>
    </row>
    <row r="32" spans="2:14" s="2" customFormat="1" ht="29.25" customHeight="1">
      <c r="B32" s="200" t="s">
        <v>120</v>
      </c>
      <c r="C32" s="200"/>
      <c r="D32" s="200"/>
      <c r="E32" s="200"/>
      <c r="F32" s="200"/>
      <c r="G32" s="200"/>
      <c r="H32" s="200"/>
      <c r="I32" s="200"/>
      <c r="J32" s="200"/>
      <c r="K32" s="200"/>
      <c r="L32" s="200"/>
      <c r="M32" s="200"/>
      <c r="N32" s="69"/>
    </row>
    <row r="33" spans="1:22" s="2" customFormat="1" ht="6.75" customHeight="1">
      <c r="A33" s="70"/>
      <c r="B33" s="70"/>
      <c r="C33" s="70"/>
      <c r="D33" s="70"/>
      <c r="E33" s="70"/>
      <c r="F33" s="70"/>
      <c r="G33" s="70"/>
      <c r="H33" s="70"/>
      <c r="I33" s="70"/>
      <c r="J33" s="70"/>
      <c r="K33" s="70"/>
      <c r="L33" s="70"/>
      <c r="M33" s="70"/>
      <c r="N33" s="69"/>
    </row>
    <row r="34" spans="1:22" s="2" customFormat="1" ht="46.5" customHeight="1">
      <c r="A34" s="70"/>
      <c r="B34" s="70"/>
      <c r="C34" s="70"/>
      <c r="D34" s="70"/>
      <c r="E34" s="70"/>
      <c r="F34" s="68"/>
      <c r="G34" s="68"/>
      <c r="H34" s="67" t="s">
        <v>1198</v>
      </c>
      <c r="I34" s="59" t="s">
        <v>1210</v>
      </c>
      <c r="J34" s="59" t="s">
        <v>1205</v>
      </c>
      <c r="K34" s="59" t="s">
        <v>1206</v>
      </c>
      <c r="L34" s="59" t="s">
        <v>1207</v>
      </c>
      <c r="M34" s="59" t="s">
        <v>1208</v>
      </c>
    </row>
    <row r="35" spans="1:22" s="2" customFormat="1" ht="29.25" customHeight="1">
      <c r="F35" s="202" t="s">
        <v>122</v>
      </c>
      <c r="G35" s="203"/>
      <c r="H35" s="71">
        <f>SUM(I35:M35)</f>
        <v>25</v>
      </c>
      <c r="I35" s="72">
        <v>1</v>
      </c>
      <c r="J35" s="80">
        <v>6.5</v>
      </c>
      <c r="K35" s="80">
        <v>5.5</v>
      </c>
      <c r="L35" s="80">
        <v>6.5</v>
      </c>
      <c r="M35" s="80">
        <v>5.5</v>
      </c>
    </row>
    <row r="36" spans="1:22" s="2" customFormat="1" ht="29.25" customHeight="1">
      <c r="B36" s="70"/>
      <c r="C36" s="70"/>
      <c r="D36" s="70"/>
      <c r="E36" s="70"/>
      <c r="F36" s="202" t="s">
        <v>1191</v>
      </c>
      <c r="G36" s="203"/>
      <c r="H36" s="38" t="s">
        <v>1211</v>
      </c>
      <c r="I36" s="38">
        <f>'[34]RESUMEN CIRCULAR_DECRETO'!N26</f>
        <v>1300000</v>
      </c>
      <c r="J36" s="38">
        <f>'[34]RESUMEN CIRCULAR_DECRETO'!N27</f>
        <v>1410500</v>
      </c>
      <c r="K36" s="38">
        <f>'[34]RESUMEN CIRCULAR_DECRETO'!N27</f>
        <v>1410500</v>
      </c>
      <c r="L36" s="38">
        <f>'[34]RESUMEN CIRCULAR_DECRETO'!N28</f>
        <v>1504157.2</v>
      </c>
      <c r="M36" s="38">
        <f>'[34]RESUMEN CIRCULAR_DECRETO'!N28</f>
        <v>1504157.2</v>
      </c>
    </row>
    <row r="37" spans="1:22" s="2" customFormat="1" ht="29.25" customHeight="1">
      <c r="B37" s="70"/>
      <c r="C37" s="70"/>
      <c r="D37" s="70"/>
      <c r="E37" s="70"/>
      <c r="F37" s="83"/>
      <c r="G37" s="83"/>
      <c r="H37" s="84"/>
      <c r="I37" s="84"/>
      <c r="J37" s="84"/>
      <c r="K37" s="84"/>
      <c r="L37" s="82"/>
      <c r="M37" s="82"/>
    </row>
    <row r="38" spans="1:22" s="2" customFormat="1" ht="24" customHeight="1">
      <c r="B38" s="200" t="s">
        <v>1192</v>
      </c>
      <c r="C38" s="200"/>
      <c r="D38" s="200"/>
      <c r="E38" s="200"/>
      <c r="F38" s="200"/>
      <c r="G38" s="200"/>
      <c r="H38" s="200"/>
      <c r="I38" s="200"/>
      <c r="J38" s="200"/>
      <c r="K38" s="200"/>
      <c r="L38" s="200"/>
      <c r="M38" s="200"/>
      <c r="N38" s="200"/>
      <c r="O38" s="200"/>
      <c r="P38" s="200"/>
      <c r="Q38" s="200"/>
      <c r="R38" s="200"/>
      <c r="S38" s="200"/>
      <c r="T38" s="200"/>
      <c r="U38" s="200"/>
      <c r="V38" s="200"/>
    </row>
    <row r="39" spans="1:22" s="2" customFormat="1" ht="11.25" customHeight="1">
      <c r="M39" s="69"/>
      <c r="N39" s="69"/>
    </row>
    <row r="40" spans="1:22" s="2" customFormat="1" ht="9.75" customHeight="1">
      <c r="C40" s="4"/>
      <c r="D40" s="4"/>
      <c r="E40" s="4"/>
      <c r="F40" s="4"/>
    </row>
    <row r="41" spans="1:22" s="2" customFormat="1" ht="26.25" customHeight="1">
      <c r="B41" s="200" t="s">
        <v>1148</v>
      </c>
      <c r="C41" s="200"/>
      <c r="D41" s="200"/>
      <c r="E41" s="200"/>
      <c r="F41" s="200"/>
      <c r="G41" s="200"/>
      <c r="H41" s="200"/>
      <c r="I41" s="200"/>
      <c r="J41" s="200"/>
      <c r="K41" s="200"/>
      <c r="L41" s="200"/>
      <c r="M41" s="200"/>
      <c r="N41" s="200"/>
      <c r="O41" s="200"/>
      <c r="P41" s="200"/>
      <c r="Q41" s="200"/>
      <c r="R41" s="200"/>
      <c r="S41" s="200"/>
      <c r="T41" s="200"/>
      <c r="U41" s="200"/>
      <c r="V41" s="200"/>
    </row>
    <row r="42" spans="1:22" s="2" customFormat="1" ht="12.5">
      <c r="C42" s="4"/>
      <c r="D42" s="4"/>
      <c r="E42" s="4"/>
      <c r="F42" s="4"/>
      <c r="G42" s="4"/>
      <c r="H42" s="4"/>
    </row>
    <row r="43" spans="1:22" s="2" customFormat="1" ht="70.5" customHeight="1">
      <c r="B43" s="169" t="s">
        <v>123</v>
      </c>
      <c r="C43" s="169"/>
      <c r="D43" s="169"/>
      <c r="E43" s="169"/>
      <c r="F43" s="169" t="s">
        <v>1196</v>
      </c>
      <c r="G43" s="169"/>
      <c r="H43" s="169"/>
      <c r="I43" s="169"/>
      <c r="J43" s="169"/>
      <c r="K43" s="169"/>
      <c r="L43" s="261" t="s">
        <v>1204</v>
      </c>
      <c r="M43" s="262"/>
      <c r="N43" s="261" t="s">
        <v>1205</v>
      </c>
      <c r="O43" s="262"/>
      <c r="P43" s="261" t="s">
        <v>1206</v>
      </c>
      <c r="Q43" s="262"/>
      <c r="R43" s="261" t="s">
        <v>1207</v>
      </c>
      <c r="S43" s="262"/>
      <c r="T43" s="261" t="s">
        <v>1208</v>
      </c>
      <c r="U43" s="262"/>
      <c r="V43" s="29" t="s">
        <v>1198</v>
      </c>
    </row>
    <row r="44" spans="1:22" s="2" customFormat="1" ht="71.25" customHeight="1">
      <c r="B44" s="29" t="s">
        <v>104</v>
      </c>
      <c r="C44" s="29" t="s">
        <v>105</v>
      </c>
      <c r="D44" s="29" t="s">
        <v>106</v>
      </c>
      <c r="E44" s="29" t="s">
        <v>107</v>
      </c>
      <c r="F44" s="29" t="s">
        <v>124</v>
      </c>
      <c r="G44" s="29" t="s">
        <v>1209</v>
      </c>
      <c r="H44" s="29" t="s">
        <v>1199</v>
      </c>
      <c r="I44" s="29" t="s">
        <v>1200</v>
      </c>
      <c r="J44" s="29" t="s">
        <v>1201</v>
      </c>
      <c r="K44" s="29" t="s">
        <v>1202</v>
      </c>
      <c r="L44" s="73" t="s">
        <v>1180</v>
      </c>
      <c r="M44" s="58" t="s">
        <v>1181</v>
      </c>
      <c r="N44" s="73" t="s">
        <v>1182</v>
      </c>
      <c r="O44" s="58" t="s">
        <v>1183</v>
      </c>
      <c r="P44" s="73" t="s">
        <v>1182</v>
      </c>
      <c r="Q44" s="58" t="s">
        <v>1183</v>
      </c>
      <c r="R44" s="73" t="s">
        <v>1182</v>
      </c>
      <c r="S44" s="58" t="s">
        <v>1183</v>
      </c>
      <c r="T44" s="73" t="s">
        <v>1182</v>
      </c>
      <c r="U44" s="58" t="s">
        <v>1183</v>
      </c>
      <c r="V44" s="29" t="s">
        <v>1213</v>
      </c>
    </row>
    <row r="45" spans="1:22" s="2" customFormat="1" ht="30.75" customHeight="1">
      <c r="B45" s="62">
        <v>24</v>
      </c>
      <c r="C45" s="63" t="s">
        <v>108</v>
      </c>
      <c r="D45" s="63" t="s">
        <v>109</v>
      </c>
      <c r="E45" s="63" t="s">
        <v>90</v>
      </c>
      <c r="F45" s="59">
        <v>5</v>
      </c>
      <c r="G45" s="38">
        <f>IF(F45=0,"No se requiere",'[34]RESUMEN CIRCULAR_DECRETO'!H33)</f>
        <v>12832560</v>
      </c>
      <c r="H45" s="38">
        <f>IF(F45=0,"No se requiere",'[34]RESUMEN CIRCULAR_DECRETO'!K33)</f>
        <v>13923328</v>
      </c>
      <c r="I45" s="38">
        <f>IF(G45=0,"No se requiere",'[34]RESUMEN CIRCULAR_DECRETO'!N33)</f>
        <v>14151829</v>
      </c>
      <c r="J45" s="38">
        <f>IF(H45=0,"No se requiere",'[34]RESUMEN CIRCULAR_DECRETO'!Q33)</f>
        <v>15091510</v>
      </c>
      <c r="K45" s="38">
        <f>IF(I45=0,"No se requiere",'[34]RESUMEN CIRCULAR_DECRETO'!T33)</f>
        <v>15140245</v>
      </c>
      <c r="L45" s="39">
        <f t="shared" ref="L45:L50" si="0">G45*F45</f>
        <v>64162800</v>
      </c>
      <c r="M45" s="39">
        <f>ROUND(L45*$I$35,0)</f>
        <v>64162800</v>
      </c>
      <c r="N45" s="39">
        <f t="shared" ref="N45:N50" si="1">H45*F45</f>
        <v>69616640</v>
      </c>
      <c r="O45" s="39">
        <f>ROUND(N45*$J$35,0)</f>
        <v>452508160</v>
      </c>
      <c r="P45" s="39">
        <f>I45*F45</f>
        <v>70759145</v>
      </c>
      <c r="Q45" s="39">
        <f>ROUND(P45*$K$35,0)</f>
        <v>389175298</v>
      </c>
      <c r="R45" s="39">
        <f>J45*F45</f>
        <v>75457550</v>
      </c>
      <c r="S45" s="39">
        <f>ROUND(R45*$L$35,0)</f>
        <v>490474075</v>
      </c>
      <c r="T45" s="39">
        <f>K45*F45</f>
        <v>75701225</v>
      </c>
      <c r="U45" s="39">
        <f>ROUND(T45*$M$35,0)</f>
        <v>416356738</v>
      </c>
      <c r="V45" s="81">
        <f>O45+M45+Q45+S45+U45</f>
        <v>1812677071</v>
      </c>
    </row>
    <row r="46" spans="1:22" s="2" customFormat="1" ht="30.75" customHeight="1">
      <c r="B46" s="62">
        <v>24</v>
      </c>
      <c r="C46" s="63" t="s">
        <v>108</v>
      </c>
      <c r="D46" s="63" t="s">
        <v>109</v>
      </c>
      <c r="E46" s="63" t="s">
        <v>92</v>
      </c>
      <c r="F46" s="59">
        <v>11</v>
      </c>
      <c r="G46" s="38">
        <f>IF(F46=0,"No se requiere",'[34]RESUMEN CIRCULAR_DECRETO'!H34)</f>
        <v>13070200</v>
      </c>
      <c r="H46" s="38">
        <f>IF(F46=0,"No se requiere",'[34]RESUMEN CIRCULAR_DECRETO'!K34)</f>
        <v>14181167</v>
      </c>
      <c r="I46" s="38">
        <f>IF(G46=0,"No se requiere",'[34]RESUMEN CIRCULAR_DECRETO'!N34)</f>
        <v>14413900</v>
      </c>
      <c r="J46" s="38">
        <f>IF(H46=0,"No se requiere",'[34]RESUMEN CIRCULAR_DECRETO'!Q34)</f>
        <v>15370982</v>
      </c>
      <c r="K46" s="38">
        <f>IF(I46=0,"No se requiere",'[34]RESUMEN CIRCULAR_DECRETO'!T34)</f>
        <v>15420620</v>
      </c>
      <c r="L46" s="39">
        <f t="shared" si="0"/>
        <v>143772200</v>
      </c>
      <c r="M46" s="39">
        <f t="shared" ref="M46:M50" si="2">ROUND(L46*$I$35,0)</f>
        <v>143772200</v>
      </c>
      <c r="N46" s="39">
        <f t="shared" si="1"/>
        <v>155992837</v>
      </c>
      <c r="O46" s="39">
        <f t="shared" ref="O46:O50" si="3">ROUND(N46*$J$35,0)</f>
        <v>1013953441</v>
      </c>
      <c r="P46" s="39">
        <f t="shared" ref="P46:P50" si="4">I46*F46</f>
        <v>158552900</v>
      </c>
      <c r="Q46" s="39">
        <f t="shared" ref="Q46:Q50" si="5">ROUND(P46*$K$35,0)</f>
        <v>872040950</v>
      </c>
      <c r="R46" s="39">
        <f t="shared" ref="R46:R50" si="6">J46*F46</f>
        <v>169080802</v>
      </c>
      <c r="S46" s="39">
        <f t="shared" ref="S46:S50" si="7">ROUND(R46*$L$35,0)</f>
        <v>1099025213</v>
      </c>
      <c r="T46" s="39">
        <f t="shared" ref="T46:T50" si="8">K46*F46</f>
        <v>169626820</v>
      </c>
      <c r="U46" s="39">
        <f t="shared" ref="U46:U50" si="9">ROUND(T46*$M$35,0)</f>
        <v>932947510</v>
      </c>
      <c r="V46" s="81">
        <f t="shared" ref="V46:V50" si="10">O46+M46+Q46+S46+U46</f>
        <v>4061739314</v>
      </c>
    </row>
    <row r="47" spans="1:22" s="2" customFormat="1" ht="30.75" customHeight="1">
      <c r="B47" s="62">
        <v>24</v>
      </c>
      <c r="C47" s="63" t="s">
        <v>1143</v>
      </c>
      <c r="D47" s="63" t="s">
        <v>109</v>
      </c>
      <c r="E47" s="63" t="s">
        <v>92</v>
      </c>
      <c r="F47" s="59">
        <v>1</v>
      </c>
      <c r="G47" s="38">
        <f>IF(F47=0,"No se requiere",'[34]RESUMEN CIRCULAR_DECRETO'!H35)</f>
        <v>4356734</v>
      </c>
      <c r="H47" s="38">
        <f>IF(F47=0,"No se requiere",'[34]RESUMEN CIRCULAR_DECRETO'!K35)</f>
        <v>4727055</v>
      </c>
      <c r="I47" s="38">
        <f>IF(G47=0,"No se requiere",'[34]RESUMEN CIRCULAR_DECRETO'!N35)</f>
        <v>4804633</v>
      </c>
      <c r="J47" s="38">
        <f>IF(H47=0,"No se requiere",'[34]RESUMEN CIRCULAR_DECRETO'!Q35)</f>
        <v>5123660</v>
      </c>
      <c r="K47" s="38">
        <f>IF(I47=0,"No se requiere",'[34]RESUMEN CIRCULAR_DECRETO'!T35)</f>
        <v>5140207</v>
      </c>
      <c r="L47" s="39">
        <f t="shared" si="0"/>
        <v>4356734</v>
      </c>
      <c r="M47" s="39">
        <f t="shared" si="2"/>
        <v>4356734</v>
      </c>
      <c r="N47" s="39">
        <f t="shared" si="1"/>
        <v>4727055</v>
      </c>
      <c r="O47" s="39">
        <f t="shared" si="3"/>
        <v>30725858</v>
      </c>
      <c r="P47" s="39">
        <f t="shared" si="4"/>
        <v>4804633</v>
      </c>
      <c r="Q47" s="39">
        <f t="shared" si="5"/>
        <v>26425482</v>
      </c>
      <c r="R47" s="39">
        <f t="shared" si="6"/>
        <v>5123660</v>
      </c>
      <c r="S47" s="39">
        <f t="shared" si="7"/>
        <v>33303790</v>
      </c>
      <c r="T47" s="39">
        <f t="shared" si="8"/>
        <v>5140207</v>
      </c>
      <c r="U47" s="39">
        <f t="shared" si="9"/>
        <v>28271139</v>
      </c>
      <c r="V47" s="81">
        <f t="shared" si="10"/>
        <v>123083003</v>
      </c>
    </row>
    <row r="48" spans="1:22" s="2" customFormat="1" ht="30.75" customHeight="1">
      <c r="B48" s="62">
        <v>12</v>
      </c>
      <c r="C48" s="63" t="s">
        <v>110</v>
      </c>
      <c r="D48" s="63" t="s">
        <v>111</v>
      </c>
      <c r="E48" s="63" t="s">
        <v>1144</v>
      </c>
      <c r="F48" s="59">
        <v>1</v>
      </c>
      <c r="G48" s="38">
        <f>IF(F48=0,"No se requiere",'[34]RESUMEN CIRCULAR_DECRETO'!H36)</f>
        <v>3901542</v>
      </c>
      <c r="H48" s="38">
        <f>IF(F48=0,"No se requiere",'[34]RESUMEN CIRCULAR_DECRETO'!K36)</f>
        <v>4233173</v>
      </c>
      <c r="I48" s="38">
        <f>IF(G48=0,"No se requiere",'[34]RESUMEN CIRCULAR_DECRETO'!N36)</f>
        <v>4302646</v>
      </c>
      <c r="J48" s="38">
        <f>IF(H48=0,"No se requiere",'[34]RESUMEN CIRCULAR_DECRETO'!Q36)</f>
        <v>4588341</v>
      </c>
      <c r="K48" s="38">
        <f>IF(I48=0,"No se requiere",'[34]RESUMEN CIRCULAR_DECRETO'!T36)</f>
        <v>4603158</v>
      </c>
      <c r="L48" s="39">
        <f t="shared" si="0"/>
        <v>3901542</v>
      </c>
      <c r="M48" s="39">
        <f t="shared" si="2"/>
        <v>3901542</v>
      </c>
      <c r="N48" s="39">
        <f t="shared" si="1"/>
        <v>4233173</v>
      </c>
      <c r="O48" s="39">
        <f t="shared" si="3"/>
        <v>27515625</v>
      </c>
      <c r="P48" s="39">
        <f t="shared" si="4"/>
        <v>4302646</v>
      </c>
      <c r="Q48" s="39">
        <f t="shared" si="5"/>
        <v>23664553</v>
      </c>
      <c r="R48" s="39">
        <f t="shared" si="6"/>
        <v>4588341</v>
      </c>
      <c r="S48" s="39">
        <f t="shared" si="7"/>
        <v>29824217</v>
      </c>
      <c r="T48" s="39">
        <f t="shared" si="8"/>
        <v>4603158</v>
      </c>
      <c r="U48" s="39">
        <f t="shared" si="9"/>
        <v>25317369</v>
      </c>
      <c r="V48" s="81">
        <f t="shared" si="10"/>
        <v>110223306</v>
      </c>
    </row>
    <row r="49" spans="2:22" s="2" customFormat="1" ht="30.75" customHeight="1">
      <c r="B49" s="62">
        <v>12</v>
      </c>
      <c r="C49" s="63" t="s">
        <v>110</v>
      </c>
      <c r="D49" s="66" t="s">
        <v>1190</v>
      </c>
      <c r="E49" s="63" t="s">
        <v>90</v>
      </c>
      <c r="F49" s="59">
        <v>1</v>
      </c>
      <c r="G49" s="38">
        <f>IF(F49=0,"No se requiere",'[34]RESUMEN CIRCULAR_DECRETO'!H37)</f>
        <v>4724435</v>
      </c>
      <c r="H49" s="38">
        <f>IF(F49=0,"No se requiere",'[34]RESUMEN CIRCULAR_DECRETO'!K37)</f>
        <v>5126013</v>
      </c>
      <c r="I49" s="38">
        <f>IF(G49=0,"No se requiere",'[34]RESUMEN CIRCULAR_DECRETO'!N37)</f>
        <v>5210137</v>
      </c>
      <c r="J49" s="38">
        <f>IF(H49=0,"No se requiere",'[34]RESUMEN CIRCULAR_DECRETO'!Q37)</f>
        <v>5556090</v>
      </c>
      <c r="K49" s="38">
        <f>IF(I49=0,"No se requiere",'[34]RESUMEN CIRCULAR_DECRETO'!T37)</f>
        <v>5574032</v>
      </c>
      <c r="L49" s="39">
        <f t="shared" si="0"/>
        <v>4724435</v>
      </c>
      <c r="M49" s="39">
        <f t="shared" si="2"/>
        <v>4724435</v>
      </c>
      <c r="N49" s="39">
        <f t="shared" si="1"/>
        <v>5126013</v>
      </c>
      <c r="O49" s="39">
        <f t="shared" si="3"/>
        <v>33319085</v>
      </c>
      <c r="P49" s="39">
        <f t="shared" si="4"/>
        <v>5210137</v>
      </c>
      <c r="Q49" s="39">
        <f t="shared" si="5"/>
        <v>28655754</v>
      </c>
      <c r="R49" s="39">
        <f t="shared" si="6"/>
        <v>5556090</v>
      </c>
      <c r="S49" s="39">
        <f t="shared" si="7"/>
        <v>36114585</v>
      </c>
      <c r="T49" s="39">
        <f t="shared" si="8"/>
        <v>5574032</v>
      </c>
      <c r="U49" s="39">
        <f t="shared" si="9"/>
        <v>30657176</v>
      </c>
      <c r="V49" s="81">
        <f t="shared" si="10"/>
        <v>133471035</v>
      </c>
    </row>
    <row r="50" spans="2:22" s="2" customFormat="1" ht="30.75" customHeight="1">
      <c r="B50" s="62">
        <v>12</v>
      </c>
      <c r="C50" s="63" t="s">
        <v>108</v>
      </c>
      <c r="D50" s="63" t="s">
        <v>111</v>
      </c>
      <c r="E50" s="63" t="s">
        <v>90</v>
      </c>
      <c r="F50" s="59">
        <v>1</v>
      </c>
      <c r="G50" s="38">
        <f>IF(F50=0,"No se requiere",'[34]RESUMEN CIRCULAR_DECRETO'!H38)</f>
        <v>5745907</v>
      </c>
      <c r="H50" s="38">
        <f>IF(F50=0,"No se requiere",'[34]RESUMEN CIRCULAR_DECRETO'!K38)</f>
        <v>6234309</v>
      </c>
      <c r="I50" s="38">
        <f>IF(G50=0,"No se requiere",'[34]RESUMEN CIRCULAR_DECRETO'!N38)</f>
        <v>6336622</v>
      </c>
      <c r="J50" s="38">
        <f>IF(H50=0,"No se requiere",'[34]RESUMEN CIRCULAR_DECRETO'!Q38)</f>
        <v>6757374</v>
      </c>
      <c r="K50" s="38">
        <f>IF(I50=0,"No se requiere",'[34]RESUMEN CIRCULAR_DECRETO'!T38)</f>
        <v>6779196</v>
      </c>
      <c r="L50" s="39">
        <f t="shared" si="0"/>
        <v>5745907</v>
      </c>
      <c r="M50" s="39">
        <f t="shared" si="2"/>
        <v>5745907</v>
      </c>
      <c r="N50" s="39">
        <f t="shared" si="1"/>
        <v>6234309</v>
      </c>
      <c r="O50" s="39">
        <f t="shared" si="3"/>
        <v>40523009</v>
      </c>
      <c r="P50" s="39">
        <f t="shared" si="4"/>
        <v>6336622</v>
      </c>
      <c r="Q50" s="39">
        <f t="shared" si="5"/>
        <v>34851421</v>
      </c>
      <c r="R50" s="39">
        <f t="shared" si="6"/>
        <v>6757374</v>
      </c>
      <c r="S50" s="39">
        <f t="shared" si="7"/>
        <v>43922931</v>
      </c>
      <c r="T50" s="39">
        <f t="shared" si="8"/>
        <v>6779196</v>
      </c>
      <c r="U50" s="39">
        <f t="shared" si="9"/>
        <v>37285578</v>
      </c>
      <c r="V50" s="81">
        <f t="shared" si="10"/>
        <v>162328846</v>
      </c>
    </row>
    <row r="51" spans="2:22" s="2" customFormat="1" ht="27" customHeight="1">
      <c r="B51" s="201" t="s">
        <v>1212</v>
      </c>
      <c r="C51" s="201"/>
      <c r="D51" s="201"/>
      <c r="E51" s="201"/>
      <c r="F51" s="201"/>
      <c r="G51" s="201"/>
      <c r="H51" s="201"/>
      <c r="I51" s="201"/>
      <c r="J51" s="201"/>
      <c r="K51" s="201"/>
      <c r="L51" s="201"/>
      <c r="M51" s="201"/>
      <c r="N51" s="201"/>
      <c r="O51" s="201"/>
      <c r="P51" s="201"/>
      <c r="Q51" s="201"/>
      <c r="R51" s="201"/>
      <c r="S51" s="201"/>
      <c r="T51" s="201"/>
      <c r="U51" s="201"/>
      <c r="V51" s="81">
        <f>SUM(V45:V50)</f>
        <v>6403522575</v>
      </c>
    </row>
    <row r="52" spans="2:22" s="2" customFormat="1" ht="12.5">
      <c r="C52" s="4"/>
      <c r="D52" s="4"/>
      <c r="E52" s="4"/>
      <c r="F52" s="4"/>
      <c r="G52" s="4"/>
      <c r="H52" s="4"/>
    </row>
    <row r="53" spans="2:22" s="2" customFormat="1" ht="12.5">
      <c r="C53" s="4"/>
      <c r="D53" s="4"/>
      <c r="E53" s="4"/>
      <c r="F53" s="4"/>
      <c r="G53" s="4"/>
      <c r="H53" s="4"/>
    </row>
    <row r="54" spans="2:22" s="2" customFormat="1" ht="27.75" customHeight="1">
      <c r="B54" s="200" t="s">
        <v>1193</v>
      </c>
      <c r="C54" s="200"/>
      <c r="D54" s="200"/>
      <c r="E54" s="200"/>
      <c r="F54" s="200"/>
      <c r="G54" s="200"/>
      <c r="H54" s="200"/>
      <c r="I54" s="200"/>
      <c r="J54" s="200"/>
      <c r="K54" s="200"/>
      <c r="L54" s="200"/>
      <c r="M54" s="200"/>
      <c r="N54" s="200"/>
      <c r="O54" s="200"/>
      <c r="P54" s="200"/>
      <c r="Q54" s="200"/>
      <c r="R54" s="200"/>
      <c r="S54" s="200"/>
      <c r="T54" s="200"/>
      <c r="U54" s="200"/>
      <c r="V54" s="200"/>
    </row>
    <row r="55" spans="2:22" s="2" customFormat="1" ht="12.5">
      <c r="C55" s="4"/>
      <c r="D55" s="4"/>
      <c r="E55" s="4"/>
      <c r="F55" s="4"/>
      <c r="G55" s="4"/>
      <c r="H55" s="4"/>
    </row>
    <row r="56" spans="2:22" s="2" customFormat="1" ht="61.5" customHeight="1">
      <c r="B56" s="169" t="s">
        <v>1194</v>
      </c>
      <c r="C56" s="169"/>
      <c r="D56" s="169"/>
      <c r="E56" s="169"/>
      <c r="F56" s="169" t="s">
        <v>1214</v>
      </c>
      <c r="G56" s="169"/>
      <c r="H56" s="169"/>
      <c r="I56" s="169"/>
      <c r="J56" s="169"/>
      <c r="K56" s="169"/>
      <c r="L56" s="169"/>
      <c r="M56" s="169"/>
      <c r="N56" s="169"/>
      <c r="O56" s="169"/>
      <c r="P56" s="169"/>
    </row>
    <row r="57" spans="2:22" s="2" customFormat="1" ht="60" customHeight="1">
      <c r="B57" s="74" t="s">
        <v>1176</v>
      </c>
      <c r="C57" s="29" t="s">
        <v>1177</v>
      </c>
      <c r="D57" s="173" t="s">
        <v>125</v>
      </c>
      <c r="E57" s="174"/>
      <c r="F57" s="60" t="s">
        <v>124</v>
      </c>
      <c r="G57" s="75" t="s">
        <v>126</v>
      </c>
      <c r="H57" s="75" t="s">
        <v>1215</v>
      </c>
      <c r="I57" s="75" t="s">
        <v>1216</v>
      </c>
      <c r="J57" s="85" t="s">
        <v>1217</v>
      </c>
      <c r="K57" s="85" t="s">
        <v>1218</v>
      </c>
      <c r="L57" s="85" t="s">
        <v>1219</v>
      </c>
      <c r="M57" s="85" t="s">
        <v>1220</v>
      </c>
      <c r="N57" s="85" t="s">
        <v>1221</v>
      </c>
      <c r="O57" s="85" t="s">
        <v>1222</v>
      </c>
      <c r="P57" s="60" t="s">
        <v>1223</v>
      </c>
    </row>
    <row r="58" spans="2:22" s="2" customFormat="1" ht="57.75" customHeight="1">
      <c r="B58" s="59">
        <v>1</v>
      </c>
      <c r="C58" s="67" t="s">
        <v>1149</v>
      </c>
      <c r="D58" s="196" t="s">
        <v>1150</v>
      </c>
      <c r="E58" s="196"/>
      <c r="F58" s="76">
        <v>8</v>
      </c>
      <c r="G58" s="54">
        <v>1550000</v>
      </c>
      <c r="H58" s="54">
        <f>G58*10%+G58</f>
        <v>1705000</v>
      </c>
      <c r="I58" s="54">
        <f>H58*10%+H58</f>
        <v>1875500</v>
      </c>
      <c r="J58" s="39">
        <f t="shared" ref="J58:J80" si="11">ROUND(G58*F58,0)</f>
        <v>12400000</v>
      </c>
      <c r="K58" s="39">
        <f>J58*$I$35</f>
        <v>12400000</v>
      </c>
      <c r="L58" s="39">
        <f>ROUND(H58*F58,0)</f>
        <v>13640000</v>
      </c>
      <c r="M58" s="39">
        <f>L58*(SUM($J$35:$K$35))</f>
        <v>163680000</v>
      </c>
      <c r="N58" s="39">
        <f>ROUND(I58*F58,0)</f>
        <v>15004000</v>
      </c>
      <c r="O58" s="39">
        <f>N58*(SUM($L$35:$M$35))</f>
        <v>180048000</v>
      </c>
      <c r="P58" s="81">
        <f>K58+M58+O58</f>
        <v>356128000</v>
      </c>
    </row>
    <row r="59" spans="2:22" s="2" customFormat="1" ht="78" customHeight="1">
      <c r="B59" s="59">
        <v>2</v>
      </c>
      <c r="C59" s="67" t="s">
        <v>1149</v>
      </c>
      <c r="D59" s="196" t="s">
        <v>1151</v>
      </c>
      <c r="E59" s="196" t="s">
        <v>1151</v>
      </c>
      <c r="F59" s="76">
        <v>8</v>
      </c>
      <c r="G59" s="54">
        <v>1480000</v>
      </c>
      <c r="H59" s="54">
        <f t="shared" ref="H59:I80" si="12">G59*10%+G59</f>
        <v>1628000</v>
      </c>
      <c r="I59" s="54">
        <f t="shared" si="12"/>
        <v>1790800</v>
      </c>
      <c r="J59" s="39">
        <f t="shared" si="11"/>
        <v>11840000</v>
      </c>
      <c r="K59" s="39">
        <f t="shared" ref="K59:K80" si="13">J59*$I$35</f>
        <v>11840000</v>
      </c>
      <c r="L59" s="39">
        <f t="shared" ref="L59:L80" si="14">ROUND(H59*F59,0)</f>
        <v>13024000</v>
      </c>
      <c r="M59" s="39">
        <f t="shared" ref="M59:M80" si="15">L59*(SUM($J$35:$K$35))</f>
        <v>156288000</v>
      </c>
      <c r="N59" s="39">
        <f t="shared" ref="N59:N80" si="16">ROUND(I59*F59,0)</f>
        <v>14326400</v>
      </c>
      <c r="O59" s="39">
        <f t="shared" ref="O59:O80" si="17">N59*(SUM($L$35:$M$35))</f>
        <v>171916800</v>
      </c>
      <c r="P59" s="81">
        <f t="shared" ref="P59:P80" si="18">K59+M59+O59</f>
        <v>340044800</v>
      </c>
    </row>
    <row r="60" spans="2:22" s="2" customFormat="1" ht="78" customHeight="1">
      <c r="B60" s="59">
        <v>3</v>
      </c>
      <c r="C60" s="67" t="s">
        <v>1149</v>
      </c>
      <c r="D60" s="196" t="s">
        <v>1152</v>
      </c>
      <c r="E60" s="196" t="s">
        <v>1152</v>
      </c>
      <c r="F60" s="76">
        <f>36+5</f>
        <v>41</v>
      </c>
      <c r="G60" s="54">
        <v>640000</v>
      </c>
      <c r="H60" s="54">
        <f t="shared" si="12"/>
        <v>704000</v>
      </c>
      <c r="I60" s="54">
        <f t="shared" si="12"/>
        <v>774400</v>
      </c>
      <c r="J60" s="39">
        <f t="shared" si="11"/>
        <v>26240000</v>
      </c>
      <c r="K60" s="39">
        <f t="shared" si="13"/>
        <v>26240000</v>
      </c>
      <c r="L60" s="39">
        <f t="shared" si="14"/>
        <v>28864000</v>
      </c>
      <c r="M60" s="39">
        <f t="shared" si="15"/>
        <v>346368000</v>
      </c>
      <c r="N60" s="39">
        <f t="shared" si="16"/>
        <v>31750400</v>
      </c>
      <c r="O60" s="39">
        <f t="shared" si="17"/>
        <v>381004800</v>
      </c>
      <c r="P60" s="81">
        <f t="shared" si="18"/>
        <v>753612800</v>
      </c>
    </row>
    <row r="61" spans="2:22" s="2" customFormat="1" ht="78" customHeight="1">
      <c r="B61" s="59">
        <v>4</v>
      </c>
      <c r="C61" s="67" t="s">
        <v>1149</v>
      </c>
      <c r="D61" s="196" t="s">
        <v>1153</v>
      </c>
      <c r="E61" s="196" t="s">
        <v>1153</v>
      </c>
      <c r="F61" s="76">
        <f>70+1</f>
        <v>71</v>
      </c>
      <c r="G61" s="54">
        <v>675000</v>
      </c>
      <c r="H61" s="54">
        <f t="shared" si="12"/>
        <v>742500</v>
      </c>
      <c r="I61" s="54">
        <f t="shared" si="12"/>
        <v>816750</v>
      </c>
      <c r="J61" s="39">
        <f t="shared" si="11"/>
        <v>47925000</v>
      </c>
      <c r="K61" s="39">
        <f t="shared" si="13"/>
        <v>47925000</v>
      </c>
      <c r="L61" s="39">
        <f t="shared" si="14"/>
        <v>52717500</v>
      </c>
      <c r="M61" s="39">
        <f t="shared" si="15"/>
        <v>632610000</v>
      </c>
      <c r="N61" s="39">
        <f t="shared" si="16"/>
        <v>57989250</v>
      </c>
      <c r="O61" s="39">
        <f t="shared" si="17"/>
        <v>695871000</v>
      </c>
      <c r="P61" s="81">
        <f t="shared" si="18"/>
        <v>1376406000</v>
      </c>
    </row>
    <row r="62" spans="2:22" s="2" customFormat="1" ht="78" customHeight="1">
      <c r="B62" s="59">
        <v>5</v>
      </c>
      <c r="C62" s="67" t="s">
        <v>1149</v>
      </c>
      <c r="D62" s="196" t="s">
        <v>1154</v>
      </c>
      <c r="E62" s="196" t="s">
        <v>1154</v>
      </c>
      <c r="F62" s="76">
        <v>4</v>
      </c>
      <c r="G62" s="54">
        <v>30000000</v>
      </c>
      <c r="H62" s="54">
        <f t="shared" si="12"/>
        <v>33000000</v>
      </c>
      <c r="I62" s="54">
        <f t="shared" si="12"/>
        <v>36300000</v>
      </c>
      <c r="J62" s="39">
        <f t="shared" si="11"/>
        <v>120000000</v>
      </c>
      <c r="K62" s="39">
        <f t="shared" si="13"/>
        <v>120000000</v>
      </c>
      <c r="L62" s="39">
        <f t="shared" si="14"/>
        <v>132000000</v>
      </c>
      <c r="M62" s="39">
        <f t="shared" si="15"/>
        <v>1584000000</v>
      </c>
      <c r="N62" s="39">
        <f t="shared" si="16"/>
        <v>145200000</v>
      </c>
      <c r="O62" s="39">
        <f t="shared" si="17"/>
        <v>1742400000</v>
      </c>
      <c r="P62" s="81">
        <f t="shared" si="18"/>
        <v>3446400000</v>
      </c>
    </row>
    <row r="63" spans="2:22" s="2" customFormat="1" ht="71.25" customHeight="1">
      <c r="B63" s="59">
        <v>6</v>
      </c>
      <c r="C63" s="67" t="s">
        <v>1155</v>
      </c>
      <c r="D63" s="196" t="s">
        <v>1156</v>
      </c>
      <c r="E63" s="196"/>
      <c r="F63" s="76">
        <v>34</v>
      </c>
      <c r="G63" s="54">
        <v>1125000</v>
      </c>
      <c r="H63" s="54">
        <f t="shared" si="12"/>
        <v>1237500</v>
      </c>
      <c r="I63" s="54">
        <f t="shared" si="12"/>
        <v>1361250</v>
      </c>
      <c r="J63" s="39">
        <f t="shared" si="11"/>
        <v>38250000</v>
      </c>
      <c r="K63" s="39">
        <f t="shared" si="13"/>
        <v>38250000</v>
      </c>
      <c r="L63" s="39">
        <f t="shared" si="14"/>
        <v>42075000</v>
      </c>
      <c r="M63" s="39">
        <f t="shared" si="15"/>
        <v>504900000</v>
      </c>
      <c r="N63" s="39">
        <f t="shared" si="16"/>
        <v>46282500</v>
      </c>
      <c r="O63" s="39">
        <f t="shared" si="17"/>
        <v>555390000</v>
      </c>
      <c r="P63" s="81">
        <f t="shared" si="18"/>
        <v>1098540000</v>
      </c>
    </row>
    <row r="64" spans="2:22" s="2" customFormat="1" ht="71.25" customHeight="1">
      <c r="B64" s="59">
        <v>7</v>
      </c>
      <c r="C64" s="67" t="s">
        <v>1155</v>
      </c>
      <c r="D64" s="196" t="s">
        <v>1157</v>
      </c>
      <c r="E64" s="196" t="s">
        <v>127</v>
      </c>
      <c r="F64" s="76">
        <v>8</v>
      </c>
      <c r="G64" s="54">
        <v>125000</v>
      </c>
      <c r="H64" s="54">
        <f t="shared" si="12"/>
        <v>137500</v>
      </c>
      <c r="I64" s="54">
        <f t="shared" si="12"/>
        <v>151250</v>
      </c>
      <c r="J64" s="39">
        <f t="shared" si="11"/>
        <v>1000000</v>
      </c>
      <c r="K64" s="39">
        <f t="shared" si="13"/>
        <v>1000000</v>
      </c>
      <c r="L64" s="39">
        <f t="shared" si="14"/>
        <v>1100000</v>
      </c>
      <c r="M64" s="39">
        <f t="shared" si="15"/>
        <v>13200000</v>
      </c>
      <c r="N64" s="39">
        <f t="shared" si="16"/>
        <v>1210000</v>
      </c>
      <c r="O64" s="39">
        <f t="shared" si="17"/>
        <v>14520000</v>
      </c>
      <c r="P64" s="81">
        <f t="shared" si="18"/>
        <v>28720000</v>
      </c>
    </row>
    <row r="65" spans="2:16" s="2" customFormat="1" ht="71.25" customHeight="1">
      <c r="B65" s="59">
        <v>8</v>
      </c>
      <c r="C65" s="67" t="s">
        <v>1155</v>
      </c>
      <c r="D65" s="196" t="s">
        <v>1158</v>
      </c>
      <c r="E65" s="196" t="s">
        <v>128</v>
      </c>
      <c r="F65" s="76">
        <v>7</v>
      </c>
      <c r="G65" s="54">
        <v>350000</v>
      </c>
      <c r="H65" s="54">
        <f t="shared" si="12"/>
        <v>385000</v>
      </c>
      <c r="I65" s="54">
        <f t="shared" si="12"/>
        <v>423500</v>
      </c>
      <c r="J65" s="39">
        <f t="shared" si="11"/>
        <v>2450000</v>
      </c>
      <c r="K65" s="39">
        <f t="shared" si="13"/>
        <v>2450000</v>
      </c>
      <c r="L65" s="39">
        <f t="shared" si="14"/>
        <v>2695000</v>
      </c>
      <c r="M65" s="39">
        <f t="shared" si="15"/>
        <v>32340000</v>
      </c>
      <c r="N65" s="39">
        <f t="shared" si="16"/>
        <v>2964500</v>
      </c>
      <c r="O65" s="39">
        <f t="shared" si="17"/>
        <v>35574000</v>
      </c>
      <c r="P65" s="81">
        <f t="shared" si="18"/>
        <v>70364000</v>
      </c>
    </row>
    <row r="66" spans="2:16" s="2" customFormat="1" ht="71.25" customHeight="1">
      <c r="B66" s="59">
        <v>9</v>
      </c>
      <c r="C66" s="67" t="s">
        <v>1155</v>
      </c>
      <c r="D66" s="196" t="s">
        <v>1159</v>
      </c>
      <c r="E66" s="196" t="s">
        <v>1178</v>
      </c>
      <c r="F66" s="76">
        <v>9</v>
      </c>
      <c r="G66" s="54">
        <v>1650000</v>
      </c>
      <c r="H66" s="54">
        <f t="shared" si="12"/>
        <v>1815000</v>
      </c>
      <c r="I66" s="54">
        <f t="shared" si="12"/>
        <v>1996500</v>
      </c>
      <c r="J66" s="39">
        <f t="shared" si="11"/>
        <v>14850000</v>
      </c>
      <c r="K66" s="39">
        <f t="shared" si="13"/>
        <v>14850000</v>
      </c>
      <c r="L66" s="39">
        <f t="shared" si="14"/>
        <v>16335000</v>
      </c>
      <c r="M66" s="39">
        <f t="shared" si="15"/>
        <v>196020000</v>
      </c>
      <c r="N66" s="39">
        <f t="shared" si="16"/>
        <v>17968500</v>
      </c>
      <c r="O66" s="39">
        <f t="shared" si="17"/>
        <v>215622000</v>
      </c>
      <c r="P66" s="81">
        <f t="shared" si="18"/>
        <v>426492000</v>
      </c>
    </row>
    <row r="67" spans="2:16" s="2" customFormat="1" ht="71.25" customHeight="1">
      <c r="B67" s="59">
        <v>10</v>
      </c>
      <c r="C67" s="67" t="s">
        <v>1155</v>
      </c>
      <c r="D67" s="196" t="s">
        <v>1160</v>
      </c>
      <c r="E67" s="196" t="s">
        <v>1178</v>
      </c>
      <c r="F67" s="76">
        <v>8</v>
      </c>
      <c r="G67" s="54">
        <v>290000</v>
      </c>
      <c r="H67" s="54">
        <f t="shared" si="12"/>
        <v>319000</v>
      </c>
      <c r="I67" s="54">
        <f t="shared" si="12"/>
        <v>350900</v>
      </c>
      <c r="J67" s="39">
        <f t="shared" si="11"/>
        <v>2320000</v>
      </c>
      <c r="K67" s="39">
        <f t="shared" si="13"/>
        <v>2320000</v>
      </c>
      <c r="L67" s="39">
        <f t="shared" si="14"/>
        <v>2552000</v>
      </c>
      <c r="M67" s="39">
        <f t="shared" si="15"/>
        <v>30624000</v>
      </c>
      <c r="N67" s="39">
        <f t="shared" si="16"/>
        <v>2807200</v>
      </c>
      <c r="O67" s="39">
        <f t="shared" si="17"/>
        <v>33686400</v>
      </c>
      <c r="P67" s="81">
        <f t="shared" si="18"/>
        <v>66630400</v>
      </c>
    </row>
    <row r="68" spans="2:16" s="2" customFormat="1" ht="44.25" customHeight="1">
      <c r="B68" s="59">
        <v>11</v>
      </c>
      <c r="C68" s="67" t="s">
        <v>1155</v>
      </c>
      <c r="D68" s="196" t="s">
        <v>1161</v>
      </c>
      <c r="E68" s="196" t="s">
        <v>1178</v>
      </c>
      <c r="F68" s="76">
        <v>77</v>
      </c>
      <c r="G68" s="54">
        <v>105000</v>
      </c>
      <c r="H68" s="54">
        <f t="shared" si="12"/>
        <v>115500</v>
      </c>
      <c r="I68" s="54">
        <f t="shared" si="12"/>
        <v>127050</v>
      </c>
      <c r="J68" s="39">
        <f t="shared" si="11"/>
        <v>8085000</v>
      </c>
      <c r="K68" s="39">
        <f t="shared" si="13"/>
        <v>8085000</v>
      </c>
      <c r="L68" s="39">
        <f t="shared" si="14"/>
        <v>8893500</v>
      </c>
      <c r="M68" s="39">
        <f t="shared" si="15"/>
        <v>106722000</v>
      </c>
      <c r="N68" s="39">
        <f t="shared" si="16"/>
        <v>9782850</v>
      </c>
      <c r="O68" s="39">
        <f t="shared" si="17"/>
        <v>117394200</v>
      </c>
      <c r="P68" s="81">
        <f t="shared" si="18"/>
        <v>232201200</v>
      </c>
    </row>
    <row r="69" spans="2:16" s="2" customFormat="1" ht="44.25" customHeight="1">
      <c r="B69" s="59">
        <v>12</v>
      </c>
      <c r="C69" s="67" t="s">
        <v>1155</v>
      </c>
      <c r="D69" s="196" t="s">
        <v>1162</v>
      </c>
      <c r="E69" s="196" t="s">
        <v>1179</v>
      </c>
      <c r="F69" s="76">
        <v>17</v>
      </c>
      <c r="G69" s="54">
        <v>490000</v>
      </c>
      <c r="H69" s="54">
        <f t="shared" si="12"/>
        <v>539000</v>
      </c>
      <c r="I69" s="54">
        <f t="shared" si="12"/>
        <v>592900</v>
      </c>
      <c r="J69" s="39">
        <f t="shared" si="11"/>
        <v>8330000</v>
      </c>
      <c r="K69" s="39">
        <f t="shared" si="13"/>
        <v>8330000</v>
      </c>
      <c r="L69" s="39">
        <f t="shared" si="14"/>
        <v>9163000</v>
      </c>
      <c r="M69" s="39">
        <f t="shared" si="15"/>
        <v>109956000</v>
      </c>
      <c r="N69" s="39">
        <f t="shared" si="16"/>
        <v>10079300</v>
      </c>
      <c r="O69" s="39">
        <f t="shared" si="17"/>
        <v>120951600</v>
      </c>
      <c r="P69" s="81">
        <f t="shared" si="18"/>
        <v>239237600</v>
      </c>
    </row>
    <row r="70" spans="2:16" s="2" customFormat="1" ht="44.25" customHeight="1">
      <c r="B70" s="59">
        <v>13</v>
      </c>
      <c r="C70" s="67" t="s">
        <v>1155</v>
      </c>
      <c r="D70" s="196" t="s">
        <v>1163</v>
      </c>
      <c r="E70" s="196" t="s">
        <v>129</v>
      </c>
      <c r="F70" s="76">
        <v>12</v>
      </c>
      <c r="G70" s="54">
        <v>360000</v>
      </c>
      <c r="H70" s="54">
        <f t="shared" si="12"/>
        <v>396000</v>
      </c>
      <c r="I70" s="54">
        <f t="shared" si="12"/>
        <v>435600</v>
      </c>
      <c r="J70" s="39">
        <f t="shared" si="11"/>
        <v>4320000</v>
      </c>
      <c r="K70" s="39">
        <f t="shared" si="13"/>
        <v>4320000</v>
      </c>
      <c r="L70" s="39">
        <f t="shared" si="14"/>
        <v>4752000</v>
      </c>
      <c r="M70" s="39">
        <f t="shared" si="15"/>
        <v>57024000</v>
      </c>
      <c r="N70" s="39">
        <f t="shared" si="16"/>
        <v>5227200</v>
      </c>
      <c r="O70" s="39">
        <f t="shared" si="17"/>
        <v>62726400</v>
      </c>
      <c r="P70" s="81">
        <f t="shared" si="18"/>
        <v>124070400</v>
      </c>
    </row>
    <row r="71" spans="2:16" s="2" customFormat="1" ht="44.25" customHeight="1">
      <c r="B71" s="59">
        <v>14</v>
      </c>
      <c r="C71" s="67" t="s">
        <v>1155</v>
      </c>
      <c r="D71" s="196" t="s">
        <v>1164</v>
      </c>
      <c r="E71" s="196" t="s">
        <v>130</v>
      </c>
      <c r="F71" s="76">
        <v>14</v>
      </c>
      <c r="G71" s="54">
        <v>25000</v>
      </c>
      <c r="H71" s="54">
        <f t="shared" si="12"/>
        <v>27500</v>
      </c>
      <c r="I71" s="54">
        <f t="shared" si="12"/>
        <v>30250</v>
      </c>
      <c r="J71" s="39">
        <f t="shared" si="11"/>
        <v>350000</v>
      </c>
      <c r="K71" s="39">
        <f t="shared" si="13"/>
        <v>350000</v>
      </c>
      <c r="L71" s="39">
        <f t="shared" si="14"/>
        <v>385000</v>
      </c>
      <c r="M71" s="39">
        <f t="shared" si="15"/>
        <v>4620000</v>
      </c>
      <c r="N71" s="39">
        <f t="shared" si="16"/>
        <v>423500</v>
      </c>
      <c r="O71" s="39">
        <f t="shared" si="17"/>
        <v>5082000</v>
      </c>
      <c r="P71" s="81">
        <f t="shared" si="18"/>
        <v>10052000</v>
      </c>
    </row>
    <row r="72" spans="2:16" s="2" customFormat="1" ht="44.25" customHeight="1">
      <c r="B72" s="59">
        <v>15</v>
      </c>
      <c r="C72" s="67" t="s">
        <v>1155</v>
      </c>
      <c r="D72" s="196" t="s">
        <v>1165</v>
      </c>
      <c r="E72" s="196" t="s">
        <v>131</v>
      </c>
      <c r="F72" s="76">
        <v>1</v>
      </c>
      <c r="G72" s="54">
        <v>165000</v>
      </c>
      <c r="H72" s="54">
        <f t="shared" si="12"/>
        <v>181500</v>
      </c>
      <c r="I72" s="54">
        <f t="shared" si="12"/>
        <v>199650</v>
      </c>
      <c r="J72" s="39">
        <f t="shared" si="11"/>
        <v>165000</v>
      </c>
      <c r="K72" s="39">
        <f t="shared" si="13"/>
        <v>165000</v>
      </c>
      <c r="L72" s="39">
        <f t="shared" si="14"/>
        <v>181500</v>
      </c>
      <c r="M72" s="39">
        <f t="shared" si="15"/>
        <v>2178000</v>
      </c>
      <c r="N72" s="39">
        <f t="shared" si="16"/>
        <v>199650</v>
      </c>
      <c r="O72" s="39">
        <f t="shared" si="17"/>
        <v>2395800</v>
      </c>
      <c r="P72" s="81">
        <f t="shared" si="18"/>
        <v>4738800</v>
      </c>
    </row>
    <row r="73" spans="2:16" s="2" customFormat="1" ht="61.5" customHeight="1">
      <c r="B73" s="59">
        <v>16</v>
      </c>
      <c r="C73" s="67" t="s">
        <v>1155</v>
      </c>
      <c r="D73" s="196" t="s">
        <v>1166</v>
      </c>
      <c r="E73" s="196" t="s">
        <v>132</v>
      </c>
      <c r="F73" s="76">
        <v>3</v>
      </c>
      <c r="G73" s="54">
        <v>10200000</v>
      </c>
      <c r="H73" s="54">
        <f t="shared" si="12"/>
        <v>11220000</v>
      </c>
      <c r="I73" s="54">
        <f t="shared" si="12"/>
        <v>12342000</v>
      </c>
      <c r="J73" s="39">
        <f t="shared" si="11"/>
        <v>30600000</v>
      </c>
      <c r="K73" s="39">
        <f t="shared" si="13"/>
        <v>30600000</v>
      </c>
      <c r="L73" s="39">
        <f t="shared" si="14"/>
        <v>33660000</v>
      </c>
      <c r="M73" s="39">
        <f t="shared" si="15"/>
        <v>403920000</v>
      </c>
      <c r="N73" s="39">
        <f t="shared" si="16"/>
        <v>37026000</v>
      </c>
      <c r="O73" s="39">
        <f t="shared" si="17"/>
        <v>444312000</v>
      </c>
      <c r="P73" s="81">
        <f t="shared" si="18"/>
        <v>878832000</v>
      </c>
    </row>
    <row r="74" spans="2:16" s="2" customFormat="1" ht="44.25" customHeight="1">
      <c r="B74" s="59">
        <v>17</v>
      </c>
      <c r="C74" s="67" t="s">
        <v>1167</v>
      </c>
      <c r="D74" s="196" t="s">
        <v>1168</v>
      </c>
      <c r="E74" s="196"/>
      <c r="F74" s="76">
        <v>5</v>
      </c>
      <c r="G74" s="54">
        <v>950000</v>
      </c>
      <c r="H74" s="54">
        <f t="shared" si="12"/>
        <v>1045000</v>
      </c>
      <c r="I74" s="54">
        <f t="shared" si="12"/>
        <v>1149500</v>
      </c>
      <c r="J74" s="39">
        <f t="shared" si="11"/>
        <v>4750000</v>
      </c>
      <c r="K74" s="39">
        <f t="shared" si="13"/>
        <v>4750000</v>
      </c>
      <c r="L74" s="39">
        <f t="shared" si="14"/>
        <v>5225000</v>
      </c>
      <c r="M74" s="39">
        <f t="shared" si="15"/>
        <v>62700000</v>
      </c>
      <c r="N74" s="39">
        <f t="shared" si="16"/>
        <v>5747500</v>
      </c>
      <c r="O74" s="39">
        <f t="shared" si="17"/>
        <v>68970000</v>
      </c>
      <c r="P74" s="81">
        <f t="shared" si="18"/>
        <v>136420000</v>
      </c>
    </row>
    <row r="75" spans="2:16" s="2" customFormat="1" ht="44.25" customHeight="1">
      <c r="B75" s="59">
        <v>18</v>
      </c>
      <c r="C75" s="67" t="s">
        <v>1167</v>
      </c>
      <c r="D75" s="196" t="s">
        <v>1169</v>
      </c>
      <c r="E75" s="196" t="s">
        <v>1169</v>
      </c>
      <c r="F75" s="76">
        <v>34</v>
      </c>
      <c r="G75" s="54">
        <v>2100000</v>
      </c>
      <c r="H75" s="54">
        <f t="shared" si="12"/>
        <v>2310000</v>
      </c>
      <c r="I75" s="54">
        <f t="shared" si="12"/>
        <v>2541000</v>
      </c>
      <c r="J75" s="39">
        <f t="shared" si="11"/>
        <v>71400000</v>
      </c>
      <c r="K75" s="39">
        <f t="shared" si="13"/>
        <v>71400000</v>
      </c>
      <c r="L75" s="39">
        <f t="shared" si="14"/>
        <v>78540000</v>
      </c>
      <c r="M75" s="39">
        <f t="shared" si="15"/>
        <v>942480000</v>
      </c>
      <c r="N75" s="39">
        <f t="shared" si="16"/>
        <v>86394000</v>
      </c>
      <c r="O75" s="39">
        <f t="shared" si="17"/>
        <v>1036728000</v>
      </c>
      <c r="P75" s="81">
        <f t="shared" si="18"/>
        <v>2050608000</v>
      </c>
    </row>
    <row r="76" spans="2:16" s="2" customFormat="1" ht="44.25" customHeight="1">
      <c r="B76" s="59">
        <v>19</v>
      </c>
      <c r="C76" s="67" t="s">
        <v>1170</v>
      </c>
      <c r="D76" s="196" t="s">
        <v>1171</v>
      </c>
      <c r="E76" s="196"/>
      <c r="F76" s="76">
        <v>22</v>
      </c>
      <c r="G76" s="54">
        <v>420000</v>
      </c>
      <c r="H76" s="54">
        <f t="shared" si="12"/>
        <v>462000</v>
      </c>
      <c r="I76" s="54">
        <f t="shared" si="12"/>
        <v>508200</v>
      </c>
      <c r="J76" s="39">
        <f t="shared" si="11"/>
        <v>9240000</v>
      </c>
      <c r="K76" s="39">
        <f t="shared" si="13"/>
        <v>9240000</v>
      </c>
      <c r="L76" s="39">
        <f t="shared" si="14"/>
        <v>10164000</v>
      </c>
      <c r="M76" s="39">
        <f t="shared" si="15"/>
        <v>121968000</v>
      </c>
      <c r="N76" s="39">
        <f t="shared" si="16"/>
        <v>11180400</v>
      </c>
      <c r="O76" s="39">
        <f t="shared" si="17"/>
        <v>134164800</v>
      </c>
      <c r="P76" s="81">
        <f t="shared" si="18"/>
        <v>265372800</v>
      </c>
    </row>
    <row r="77" spans="2:16" s="2" customFormat="1" ht="44.25" customHeight="1">
      <c r="B77" s="59">
        <v>20</v>
      </c>
      <c r="C77" s="67" t="s">
        <v>1170</v>
      </c>
      <c r="D77" s="196" t="s">
        <v>1172</v>
      </c>
      <c r="E77" s="196" t="s">
        <v>1172</v>
      </c>
      <c r="F77" s="76">
        <v>8</v>
      </c>
      <c r="G77" s="54">
        <v>5100000</v>
      </c>
      <c r="H77" s="54">
        <f t="shared" si="12"/>
        <v>5610000</v>
      </c>
      <c r="I77" s="54">
        <f t="shared" si="12"/>
        <v>6171000</v>
      </c>
      <c r="J77" s="39">
        <f t="shared" si="11"/>
        <v>40800000</v>
      </c>
      <c r="K77" s="39">
        <f t="shared" si="13"/>
        <v>40800000</v>
      </c>
      <c r="L77" s="39">
        <f t="shared" si="14"/>
        <v>44880000</v>
      </c>
      <c r="M77" s="39">
        <f t="shared" si="15"/>
        <v>538560000</v>
      </c>
      <c r="N77" s="39">
        <f t="shared" si="16"/>
        <v>49368000</v>
      </c>
      <c r="O77" s="39">
        <f t="shared" si="17"/>
        <v>592416000</v>
      </c>
      <c r="P77" s="81">
        <f t="shared" si="18"/>
        <v>1171776000</v>
      </c>
    </row>
    <row r="78" spans="2:16" s="2" customFormat="1" ht="44.25" customHeight="1">
      <c r="B78" s="59">
        <v>21</v>
      </c>
      <c r="C78" s="67" t="s">
        <v>1170</v>
      </c>
      <c r="D78" s="196" t="s">
        <v>1173</v>
      </c>
      <c r="E78" s="196" t="s">
        <v>1173</v>
      </c>
      <c r="F78" s="76">
        <v>15</v>
      </c>
      <c r="G78" s="54">
        <v>120000</v>
      </c>
      <c r="H78" s="54">
        <f t="shared" si="12"/>
        <v>132000</v>
      </c>
      <c r="I78" s="54">
        <f t="shared" si="12"/>
        <v>145200</v>
      </c>
      <c r="J78" s="39">
        <f t="shared" si="11"/>
        <v>1800000</v>
      </c>
      <c r="K78" s="39">
        <f t="shared" si="13"/>
        <v>1800000</v>
      </c>
      <c r="L78" s="39">
        <f t="shared" si="14"/>
        <v>1980000</v>
      </c>
      <c r="M78" s="39">
        <f t="shared" si="15"/>
        <v>23760000</v>
      </c>
      <c r="N78" s="39">
        <f t="shared" si="16"/>
        <v>2178000</v>
      </c>
      <c r="O78" s="39">
        <f t="shared" si="17"/>
        <v>26136000</v>
      </c>
      <c r="P78" s="81">
        <f t="shared" si="18"/>
        <v>51696000</v>
      </c>
    </row>
    <row r="79" spans="2:16" s="2" customFormat="1" ht="44.25" customHeight="1">
      <c r="B79" s="59">
        <v>22</v>
      </c>
      <c r="C79" s="67" t="s">
        <v>1170</v>
      </c>
      <c r="D79" s="196" t="s">
        <v>1174</v>
      </c>
      <c r="E79" s="196" t="s">
        <v>1174</v>
      </c>
      <c r="F79" s="76">
        <v>9</v>
      </c>
      <c r="G79" s="54">
        <v>310000</v>
      </c>
      <c r="H79" s="54">
        <f t="shared" si="12"/>
        <v>341000</v>
      </c>
      <c r="I79" s="54">
        <f t="shared" si="12"/>
        <v>375100</v>
      </c>
      <c r="J79" s="39">
        <f t="shared" si="11"/>
        <v>2790000</v>
      </c>
      <c r="K79" s="39">
        <f t="shared" si="13"/>
        <v>2790000</v>
      </c>
      <c r="L79" s="39">
        <f t="shared" si="14"/>
        <v>3069000</v>
      </c>
      <c r="M79" s="39">
        <f t="shared" si="15"/>
        <v>36828000</v>
      </c>
      <c r="N79" s="39">
        <f t="shared" si="16"/>
        <v>3375900</v>
      </c>
      <c r="O79" s="39">
        <f t="shared" si="17"/>
        <v>40510800</v>
      </c>
      <c r="P79" s="81">
        <f t="shared" si="18"/>
        <v>80128800</v>
      </c>
    </row>
    <row r="80" spans="2:16" s="2" customFormat="1" ht="44.25" customHeight="1">
      <c r="B80" s="59">
        <v>23</v>
      </c>
      <c r="C80" s="67" t="s">
        <v>1170</v>
      </c>
      <c r="D80" s="196" t="s">
        <v>1175</v>
      </c>
      <c r="E80" s="196"/>
      <c r="F80" s="76">
        <v>1</v>
      </c>
      <c r="G80" s="54">
        <v>920000</v>
      </c>
      <c r="H80" s="54">
        <f t="shared" si="12"/>
        <v>1012000</v>
      </c>
      <c r="I80" s="54">
        <f t="shared" si="12"/>
        <v>1113200</v>
      </c>
      <c r="J80" s="39">
        <f t="shared" si="11"/>
        <v>920000</v>
      </c>
      <c r="K80" s="39">
        <f t="shared" si="13"/>
        <v>920000</v>
      </c>
      <c r="L80" s="39">
        <f t="shared" si="14"/>
        <v>1012000</v>
      </c>
      <c r="M80" s="39">
        <f t="shared" si="15"/>
        <v>12144000</v>
      </c>
      <c r="N80" s="39">
        <f t="shared" si="16"/>
        <v>1113200</v>
      </c>
      <c r="O80" s="39">
        <f t="shared" si="17"/>
        <v>13358400</v>
      </c>
      <c r="P80" s="81">
        <f t="shared" si="18"/>
        <v>26422400</v>
      </c>
    </row>
    <row r="81" spans="2:16" s="2" customFormat="1" ht="24.75" customHeight="1">
      <c r="B81" s="201" t="s">
        <v>1224</v>
      </c>
      <c r="C81" s="201"/>
      <c r="D81" s="201"/>
      <c r="E81" s="201"/>
      <c r="F81" s="201"/>
      <c r="G81" s="201"/>
      <c r="H81" s="201"/>
      <c r="I81" s="201"/>
      <c r="J81" s="201"/>
      <c r="K81" s="201"/>
      <c r="L81" s="201"/>
      <c r="M81" s="201"/>
      <c r="N81" s="201"/>
      <c r="O81" s="201"/>
      <c r="P81" s="81">
        <f>SUM(P58:P80)</f>
        <v>13234894000</v>
      </c>
    </row>
    <row r="82" spans="2:16" s="2" customFormat="1" ht="12.5">
      <c r="C82" s="4"/>
      <c r="D82" s="4"/>
      <c r="E82" s="4"/>
      <c r="F82" s="4"/>
      <c r="G82" s="99">
        <f>SUM(G58:G80)</f>
        <v>59150000</v>
      </c>
      <c r="H82" s="99">
        <f>SUM(H58:H80)</f>
        <v>65065000</v>
      </c>
      <c r="I82" s="99">
        <f>SUM(I58:I80)</f>
        <v>71571500</v>
      </c>
    </row>
    <row r="83" spans="2:16" s="2" customFormat="1" ht="29.25" customHeight="1">
      <c r="B83" s="171" t="s">
        <v>1184</v>
      </c>
      <c r="C83" s="172"/>
      <c r="D83" s="172"/>
      <c r="E83" s="172"/>
      <c r="F83" s="172"/>
      <c r="G83" s="172"/>
      <c r="H83" s="172"/>
      <c r="I83" s="172"/>
      <c r="J83" s="197"/>
    </row>
    <row r="84" spans="2:16" s="2" customFormat="1" ht="29.25" customHeight="1">
      <c r="C84" s="4"/>
      <c r="D84" s="4"/>
      <c r="E84" s="4"/>
      <c r="F84" s="4"/>
      <c r="G84" s="4"/>
      <c r="H84" s="4"/>
    </row>
    <row r="85" spans="2:16" s="2" customFormat="1" ht="29.25" customHeight="1">
      <c r="B85" s="198" t="s">
        <v>1185</v>
      </c>
      <c r="C85" s="198"/>
      <c r="D85" s="198"/>
      <c r="E85" s="198"/>
      <c r="F85" s="198"/>
      <c r="G85"/>
      <c r="H85"/>
      <c r="I85"/>
      <c r="J85"/>
    </row>
    <row r="86" spans="2:16" s="2" customFormat="1" ht="29.25" customHeight="1">
      <c r="C86" s="4"/>
      <c r="D86" s="4"/>
      <c r="E86" s="4"/>
      <c r="F86" s="4"/>
      <c r="G86" s="4"/>
      <c r="H86" s="4"/>
    </row>
    <row r="87" spans="2:16" s="2" customFormat="1" ht="29.25" customHeight="1">
      <c r="B87" s="199" t="s">
        <v>133</v>
      </c>
      <c r="C87" s="199"/>
      <c r="D87" s="199"/>
      <c r="E87" s="77" t="s">
        <v>121</v>
      </c>
    </row>
    <row r="88" spans="2:16" s="2" customFormat="1" ht="29.25" customHeight="1">
      <c r="B88" s="180" t="s">
        <v>134</v>
      </c>
      <c r="C88" s="181"/>
      <c r="D88" s="182"/>
      <c r="E88" s="78">
        <f>SUM(V45:V50)</f>
        <v>6403522575</v>
      </c>
    </row>
    <row r="89" spans="2:16" s="2" customFormat="1" ht="29.25" customHeight="1">
      <c r="B89" s="180" t="s">
        <v>135</v>
      </c>
      <c r="C89" s="181"/>
      <c r="D89" s="182"/>
      <c r="E89" s="78">
        <f>SUM(P58:P80)</f>
        <v>13234894000</v>
      </c>
    </row>
    <row r="90" spans="2:16" s="2" customFormat="1" ht="29.25" customHeight="1">
      <c r="B90" s="180" t="s">
        <v>136</v>
      </c>
      <c r="C90" s="181"/>
      <c r="D90" s="182"/>
      <c r="E90" s="78">
        <f>E88+E89</f>
        <v>19638416575</v>
      </c>
    </row>
    <row r="91" spans="2:16" s="2" customFormat="1" ht="29.25" customHeight="1">
      <c r="B91" s="183" t="s">
        <v>1195</v>
      </c>
      <c r="C91" s="183"/>
      <c r="D91" s="55">
        <v>0.1</v>
      </c>
      <c r="E91" s="78">
        <f>ROUND((E90)*D91,0)</f>
        <v>1963841658</v>
      </c>
      <c r="G91" s="70"/>
    </row>
    <row r="92" spans="2:16" s="2" customFormat="1" ht="29.25" customHeight="1">
      <c r="B92" s="183" t="s">
        <v>137</v>
      </c>
      <c r="C92" s="183"/>
      <c r="D92" s="56">
        <v>0.19</v>
      </c>
      <c r="E92" s="78">
        <f>ROUND(E91*D92,0)</f>
        <v>373129915</v>
      </c>
      <c r="G92" s="70"/>
    </row>
    <row r="93" spans="2:16" s="2" customFormat="1" ht="29.25" customHeight="1">
      <c r="B93" s="173" t="s">
        <v>1203</v>
      </c>
      <c r="C93" s="184"/>
      <c r="D93" s="185"/>
      <c r="E93" s="79">
        <f>E90+E92</f>
        <v>20011546490</v>
      </c>
      <c r="G93" s="70"/>
    </row>
    <row r="94" spans="2:16" s="2" customFormat="1" ht="12.5">
      <c r="C94" s="4"/>
      <c r="D94" s="4"/>
      <c r="E94" s="4"/>
      <c r="G94" s="4"/>
    </row>
    <row r="95" spans="2:16" s="2" customFormat="1" ht="12.5">
      <c r="C95" s="4"/>
      <c r="D95" s="4"/>
      <c r="E95" s="4"/>
      <c r="F95" s="4"/>
      <c r="G95" s="4"/>
      <c r="H95" s="4"/>
    </row>
    <row r="96" spans="2:16" ht="27.75" customHeight="1">
      <c r="B96" s="260" t="s">
        <v>83</v>
      </c>
      <c r="C96" s="260"/>
      <c r="D96" s="260"/>
      <c r="E96" s="260"/>
      <c r="F96" s="260"/>
      <c r="G96" s="260"/>
      <c r="H96" s="260"/>
      <c r="I96" s="260"/>
    </row>
    <row r="97" spans="2:9" ht="63.75" customHeight="1">
      <c r="B97" s="259" t="s">
        <v>1225</v>
      </c>
      <c r="C97" s="259"/>
      <c r="D97" s="259"/>
      <c r="E97" s="259"/>
      <c r="F97" s="259"/>
      <c r="G97" s="259"/>
      <c r="H97" s="259"/>
      <c r="I97" s="259"/>
    </row>
    <row r="98" spans="2:9" ht="52.5" customHeight="1">
      <c r="B98" s="259" t="s">
        <v>1186</v>
      </c>
      <c r="C98" s="259"/>
      <c r="D98" s="259"/>
      <c r="E98" s="259"/>
      <c r="F98" s="259"/>
      <c r="G98" s="259"/>
      <c r="H98" s="259"/>
      <c r="I98" s="259"/>
    </row>
    <row r="99" spans="2:9" ht="12.5"/>
  </sheetData>
  <mergeCells count="72">
    <mergeCell ref="C8:D8"/>
    <mergeCell ref="I8:J8"/>
    <mergeCell ref="K8:L8"/>
    <mergeCell ref="B2:K4"/>
    <mergeCell ref="L2:L4"/>
    <mergeCell ref="B6:L6"/>
    <mergeCell ref="B7:C7"/>
    <mergeCell ref="D7:L7"/>
    <mergeCell ref="B32:M32"/>
    <mergeCell ref="C9:E9"/>
    <mergeCell ref="G9:H9"/>
    <mergeCell ref="B10:L10"/>
    <mergeCell ref="B13:L13"/>
    <mergeCell ref="B15:L15"/>
    <mergeCell ref="B17:L17"/>
    <mergeCell ref="C20:E20"/>
    <mergeCell ref="M20:N22"/>
    <mergeCell ref="C21:E21"/>
    <mergeCell ref="B23:B30"/>
    <mergeCell ref="C23:F23"/>
    <mergeCell ref="D57:E57"/>
    <mergeCell ref="F35:G35"/>
    <mergeCell ref="F36:G36"/>
    <mergeCell ref="B38:V38"/>
    <mergeCell ref="B41:V41"/>
    <mergeCell ref="B43:E43"/>
    <mergeCell ref="F43:K43"/>
    <mergeCell ref="L43:M43"/>
    <mergeCell ref="N43:O43"/>
    <mergeCell ref="P43:Q43"/>
    <mergeCell ref="R43:S43"/>
    <mergeCell ref="T43:U43"/>
    <mergeCell ref="B51:U51"/>
    <mergeCell ref="B54:V54"/>
    <mergeCell ref="B56:E56"/>
    <mergeCell ref="F56:P56"/>
    <mergeCell ref="D69:E69"/>
    <mergeCell ref="D58:E58"/>
    <mergeCell ref="D59:E59"/>
    <mergeCell ref="D60:E60"/>
    <mergeCell ref="D61:E61"/>
    <mergeCell ref="D62:E62"/>
    <mergeCell ref="D63:E63"/>
    <mergeCell ref="D64:E64"/>
    <mergeCell ref="D65:E65"/>
    <mergeCell ref="D66:E66"/>
    <mergeCell ref="D67:E67"/>
    <mergeCell ref="D68:E68"/>
    <mergeCell ref="B81:O81"/>
    <mergeCell ref="D70:E70"/>
    <mergeCell ref="D71:E71"/>
    <mergeCell ref="D72:E72"/>
    <mergeCell ref="D73:E73"/>
    <mergeCell ref="D74:E74"/>
    <mergeCell ref="D75:E75"/>
    <mergeCell ref="D76:E76"/>
    <mergeCell ref="D77:E77"/>
    <mergeCell ref="D78:E78"/>
    <mergeCell ref="D79:E79"/>
    <mergeCell ref="D80:E80"/>
    <mergeCell ref="B98:I98"/>
    <mergeCell ref="B83:J83"/>
    <mergeCell ref="B85:F85"/>
    <mergeCell ref="B87:D87"/>
    <mergeCell ref="B88:D88"/>
    <mergeCell ref="B89:D89"/>
    <mergeCell ref="B90:D90"/>
    <mergeCell ref="B91:C91"/>
    <mergeCell ref="B92:C92"/>
    <mergeCell ref="B93:D93"/>
    <mergeCell ref="B96:I96"/>
    <mergeCell ref="B97:I97"/>
  </mergeCells>
  <dataValidations count="2">
    <dataValidation type="decimal" allowBlank="1" showInputMessage="1" showErrorMessage="1" error="Tener en cuenta que las cooperativas de vigilancia y seguridad privada, podrán descontar del valor de la tarifa hasta el diez por ciento (10%)," sqref="F21" xr:uid="{B8FA0798-D413-477A-884A-72A5276C892F}">
      <formula1>0</formula1>
      <formula2>0.1</formula2>
    </dataValidation>
    <dataValidation type="list" allowBlank="1" showInputMessage="1" showErrorMessage="1" sqref="F20" xr:uid="{0975B200-C4DD-48E5-8673-EB29B14DF1E4}">
      <formula1>"EMPRESA, COOPERATIVA"</formula1>
    </dataValidation>
  </dataValidations>
  <pageMargins left="0.70866141732283472" right="0.70866141732283472" top="0.74803149606299213" bottom="0.74803149606299213" header="0.31496062992125984" footer="0.31496062992125984"/>
  <pageSetup scale="43" orientation="portrait" r:id="rId1"/>
  <headerFooter>
    <oddFooter xml:space="preserve">&amp;C&amp;P/&amp;N
</oddFooter>
  </headerFooter>
  <drawing r:id="rId2"/>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4BF070-97A6-4356-BE6A-06291D702236}">
  <sheetPr>
    <tabColor rgb="FFFFFFCC"/>
  </sheetPr>
  <dimension ref="A1:BB25"/>
  <sheetViews>
    <sheetView showGridLines="0" zoomScaleNormal="100" zoomScaleSheetLayoutView="56" workbookViewId="0">
      <selection activeCell="AL22" sqref="AL22:AP24"/>
    </sheetView>
  </sheetViews>
  <sheetFormatPr baseColWidth="10" defaultColWidth="0" defaultRowHeight="14.5"/>
  <cols>
    <col min="1" max="1" width="2.453125" style="1" customWidth="1"/>
    <col min="2" max="4" width="3.1796875" style="1" customWidth="1"/>
    <col min="5" max="7" width="3.453125" style="1" customWidth="1"/>
    <col min="8" max="8" width="3.1796875" style="1" customWidth="1"/>
    <col min="9" max="10" width="2.453125" style="1" customWidth="1"/>
    <col min="11" max="11" width="4.7265625" style="1" customWidth="1"/>
    <col min="12" max="22" width="2.453125" style="1" customWidth="1"/>
    <col min="23" max="25" width="3.1796875" style="1" customWidth="1"/>
    <col min="26" max="26" width="7.1796875" style="1" customWidth="1"/>
    <col min="27" max="29" width="3.1796875" style="1" customWidth="1"/>
    <col min="30" max="30" width="5.453125" style="1" customWidth="1"/>
    <col min="31" max="33" width="3.1796875" style="1" customWidth="1"/>
    <col min="34" max="34" width="8.7265625" style="1" customWidth="1"/>
    <col min="35" max="35" width="3.7265625" style="1" customWidth="1"/>
    <col min="36" max="36" width="5.26953125" style="1" customWidth="1"/>
    <col min="37" max="37" width="8" style="1" customWidth="1"/>
    <col min="38" max="39" width="3.453125" style="1" customWidth="1"/>
    <col min="40" max="41" width="5.453125" style="1" customWidth="1"/>
    <col min="42" max="42" width="14.453125" customWidth="1"/>
    <col min="43" max="43" width="1.1796875" customWidth="1"/>
    <col min="44" max="44" width="11.453125" style="1" customWidth="1"/>
    <col min="45" max="48" width="11.453125" style="1" hidden="1" customWidth="1"/>
    <col min="49" max="54" width="0" style="1" hidden="1" customWidth="1"/>
    <col min="55" max="16384" width="11.453125" style="1" hidden="1"/>
  </cols>
  <sheetData>
    <row r="1" spans="2:54" ht="6" customHeight="1"/>
    <row r="2" spans="2:54" ht="15.75" customHeight="1">
      <c r="B2" s="257" t="s">
        <v>1189</v>
      </c>
      <c r="C2" s="257"/>
      <c r="D2" s="257"/>
      <c r="E2" s="257"/>
      <c r="F2" s="257"/>
      <c r="G2" s="257"/>
      <c r="H2" s="257"/>
      <c r="I2" s="257"/>
      <c r="J2" s="257"/>
      <c r="K2" s="257"/>
      <c r="L2" s="257"/>
      <c r="M2" s="257"/>
      <c r="N2" s="257"/>
      <c r="O2" s="257"/>
      <c r="P2" s="257"/>
      <c r="Q2" s="257"/>
      <c r="R2" s="257"/>
      <c r="S2" s="257"/>
      <c r="T2" s="257"/>
      <c r="U2" s="257"/>
      <c r="V2" s="257"/>
      <c r="W2" s="257"/>
      <c r="X2" s="257"/>
      <c r="Y2" s="257"/>
      <c r="Z2" s="257"/>
      <c r="AA2" s="257"/>
      <c r="AB2" s="257"/>
      <c r="AC2" s="257"/>
      <c r="AD2" s="257"/>
      <c r="AE2" s="257"/>
      <c r="AF2" s="257"/>
      <c r="AG2" s="257"/>
      <c r="AH2" s="257"/>
      <c r="AI2" s="257"/>
      <c r="AJ2" s="257"/>
      <c r="AK2" s="257"/>
      <c r="AL2" s="257"/>
      <c r="AM2" s="257"/>
      <c r="AN2" s="257"/>
      <c r="AO2" s="305"/>
      <c r="AP2" s="305"/>
      <c r="AQ2" s="28"/>
    </row>
    <row r="3" spans="2:54" ht="15.75" customHeight="1">
      <c r="B3" s="257"/>
      <c r="C3" s="257"/>
      <c r="D3" s="257"/>
      <c r="E3" s="257"/>
      <c r="F3" s="257"/>
      <c r="G3" s="257"/>
      <c r="H3" s="257"/>
      <c r="I3" s="257"/>
      <c r="J3" s="257"/>
      <c r="K3" s="257"/>
      <c r="L3" s="257"/>
      <c r="M3" s="257"/>
      <c r="N3" s="257"/>
      <c r="O3" s="257"/>
      <c r="P3" s="257"/>
      <c r="Q3" s="257"/>
      <c r="R3" s="257"/>
      <c r="S3" s="257"/>
      <c r="T3" s="257"/>
      <c r="U3" s="257"/>
      <c r="V3" s="257"/>
      <c r="W3" s="257"/>
      <c r="X3" s="257"/>
      <c r="Y3" s="257"/>
      <c r="Z3" s="257"/>
      <c r="AA3" s="257"/>
      <c r="AB3" s="257"/>
      <c r="AC3" s="257"/>
      <c r="AD3" s="257"/>
      <c r="AE3" s="257"/>
      <c r="AF3" s="257"/>
      <c r="AG3" s="257"/>
      <c r="AH3" s="257"/>
      <c r="AI3" s="257"/>
      <c r="AJ3" s="257"/>
      <c r="AK3" s="257"/>
      <c r="AL3" s="257"/>
      <c r="AM3" s="257"/>
      <c r="AN3" s="257"/>
      <c r="AO3" s="305"/>
      <c r="AP3" s="305"/>
      <c r="AQ3" s="28"/>
    </row>
    <row r="4" spans="2:54" ht="15.75" customHeight="1">
      <c r="B4" s="257"/>
      <c r="C4" s="257"/>
      <c r="D4" s="257"/>
      <c r="E4" s="257"/>
      <c r="F4" s="257"/>
      <c r="G4" s="257"/>
      <c r="H4" s="257"/>
      <c r="I4" s="257"/>
      <c r="J4" s="257"/>
      <c r="K4" s="257"/>
      <c r="L4" s="257"/>
      <c r="M4" s="257"/>
      <c r="N4" s="257"/>
      <c r="O4" s="257"/>
      <c r="P4" s="257"/>
      <c r="Q4" s="257"/>
      <c r="R4" s="257"/>
      <c r="S4" s="257"/>
      <c r="T4" s="257"/>
      <c r="U4" s="257"/>
      <c r="V4" s="257"/>
      <c r="W4" s="257"/>
      <c r="X4" s="257"/>
      <c r="Y4" s="257"/>
      <c r="Z4" s="257"/>
      <c r="AA4" s="257"/>
      <c r="AB4" s="257"/>
      <c r="AC4" s="257"/>
      <c r="AD4" s="257"/>
      <c r="AE4" s="257"/>
      <c r="AF4" s="257"/>
      <c r="AG4" s="257"/>
      <c r="AH4" s="257"/>
      <c r="AI4" s="257"/>
      <c r="AJ4" s="257"/>
      <c r="AK4" s="257"/>
      <c r="AL4" s="257"/>
      <c r="AM4" s="257"/>
      <c r="AN4" s="257"/>
      <c r="AO4" s="305"/>
      <c r="AP4" s="305"/>
      <c r="AQ4" s="28"/>
    </row>
    <row r="5" spans="2:54" ht="8.25" customHeight="1">
      <c r="AQ5" s="28"/>
    </row>
    <row r="6" spans="2:54" ht="15" customHeight="1">
      <c r="B6" s="306" t="s">
        <v>1187</v>
      </c>
      <c r="C6" s="306"/>
      <c r="D6" s="306"/>
      <c r="E6" s="306"/>
      <c r="F6" s="306"/>
      <c r="G6" s="306"/>
      <c r="H6" s="306"/>
      <c r="I6" s="306"/>
      <c r="J6" s="306"/>
      <c r="K6" s="306"/>
      <c r="L6" s="306"/>
      <c r="M6" s="306"/>
      <c r="N6" s="306"/>
      <c r="O6" s="306"/>
      <c r="P6" s="306"/>
      <c r="Q6" s="306"/>
      <c r="R6" s="306"/>
      <c r="S6" s="306"/>
      <c r="T6" s="306"/>
      <c r="U6" s="306"/>
      <c r="V6" s="306"/>
      <c r="W6" s="306"/>
      <c r="X6" s="306"/>
      <c r="Y6" s="306"/>
      <c r="Z6" s="306"/>
      <c r="AA6" s="306"/>
      <c r="AB6" s="306"/>
      <c r="AC6" s="306"/>
      <c r="AD6" s="306"/>
      <c r="AE6" s="306"/>
      <c r="AF6" s="306"/>
      <c r="AG6" s="306"/>
      <c r="AH6" s="306"/>
      <c r="AI6" s="306"/>
      <c r="AJ6" s="306"/>
      <c r="AK6" s="306"/>
      <c r="AL6" s="306"/>
      <c r="AM6" s="306"/>
      <c r="AN6" s="306"/>
      <c r="AO6" s="306"/>
      <c r="AP6" s="306"/>
      <c r="AQ6" s="28"/>
    </row>
    <row r="7" spans="2:54" ht="14.5" customHeight="1">
      <c r="B7" s="307" t="s">
        <v>4</v>
      </c>
      <c r="C7" s="307"/>
      <c r="D7" s="307"/>
      <c r="E7" s="307"/>
      <c r="F7" s="307"/>
      <c r="G7" s="307"/>
      <c r="H7" s="307"/>
      <c r="I7" s="307"/>
      <c r="J7" s="307"/>
      <c r="K7" s="307"/>
      <c r="L7" s="307"/>
      <c r="M7" s="307"/>
      <c r="N7" s="307"/>
      <c r="O7" s="307"/>
      <c r="P7" s="307"/>
      <c r="Q7" s="307"/>
      <c r="R7" s="307"/>
      <c r="S7" s="307"/>
      <c r="T7" s="307"/>
      <c r="U7" s="307"/>
      <c r="V7" s="307"/>
      <c r="W7" s="307"/>
      <c r="X7" s="307"/>
      <c r="Y7" s="307"/>
      <c r="Z7" s="307"/>
      <c r="AA7" s="307"/>
      <c r="AB7" s="307"/>
      <c r="AC7" s="307"/>
      <c r="AD7" s="307"/>
      <c r="AE7" s="307"/>
      <c r="AF7" s="307"/>
      <c r="AG7" s="307"/>
      <c r="AH7" s="307"/>
      <c r="AI7" s="307"/>
      <c r="AJ7" s="307"/>
      <c r="AK7" s="307"/>
      <c r="AL7" s="307"/>
      <c r="AM7" s="307"/>
      <c r="AN7" s="307"/>
      <c r="AO7" s="307"/>
      <c r="AP7" s="307"/>
      <c r="AQ7" s="28"/>
    </row>
    <row r="8" spans="2:54" ht="11.25" customHeight="1">
      <c r="B8" s="308" t="s">
        <v>5</v>
      </c>
      <c r="C8" s="308"/>
      <c r="D8" s="308"/>
      <c r="E8" s="308"/>
      <c r="F8" s="308"/>
      <c r="G8" s="308"/>
      <c r="H8" s="308"/>
      <c r="I8" s="308"/>
      <c r="J8" s="308"/>
      <c r="K8" s="308"/>
      <c r="L8" s="308"/>
      <c r="M8" s="308"/>
      <c r="N8" s="308"/>
      <c r="O8" s="308"/>
      <c r="P8" s="308"/>
      <c r="Q8" s="308"/>
      <c r="R8" s="308"/>
      <c r="S8" s="308"/>
      <c r="T8" s="308"/>
      <c r="U8" s="308"/>
      <c r="V8" s="308"/>
      <c r="W8" s="308"/>
      <c r="X8" s="308"/>
      <c r="Y8" s="308"/>
      <c r="Z8" s="308"/>
      <c r="AA8" s="308"/>
      <c r="AB8" s="308"/>
      <c r="AC8" s="308"/>
      <c r="AD8" s="308"/>
      <c r="AE8" s="308"/>
      <c r="AF8" s="308"/>
      <c r="AG8" s="308"/>
      <c r="AH8" s="308"/>
      <c r="AI8" s="308"/>
      <c r="AJ8" s="308"/>
      <c r="AK8" s="308"/>
      <c r="AL8" s="308"/>
      <c r="AM8" s="308"/>
      <c r="AN8" s="308"/>
      <c r="AO8" s="308"/>
      <c r="AP8" s="308"/>
      <c r="AQ8" s="28"/>
    </row>
    <row r="9" spans="2:54" ht="11.25" customHeight="1">
      <c r="B9" s="308"/>
      <c r="C9" s="308"/>
      <c r="D9" s="308"/>
      <c r="E9" s="308"/>
      <c r="F9" s="308"/>
      <c r="G9" s="308"/>
      <c r="H9" s="308"/>
      <c r="I9" s="308"/>
      <c r="J9" s="308"/>
      <c r="K9" s="308"/>
      <c r="L9" s="308"/>
      <c r="M9" s="308"/>
      <c r="N9" s="308"/>
      <c r="O9" s="308"/>
      <c r="P9" s="308"/>
      <c r="Q9" s="308"/>
      <c r="R9" s="308"/>
      <c r="S9" s="308"/>
      <c r="T9" s="308"/>
      <c r="U9" s="308"/>
      <c r="V9" s="308"/>
      <c r="W9" s="308"/>
      <c r="X9" s="308"/>
      <c r="Y9" s="308"/>
      <c r="Z9" s="308"/>
      <c r="AA9" s="308"/>
      <c r="AB9" s="308"/>
      <c r="AC9" s="308"/>
      <c r="AD9" s="308"/>
      <c r="AE9" s="308"/>
      <c r="AF9" s="308"/>
      <c r="AG9" s="308"/>
      <c r="AH9" s="308"/>
      <c r="AI9" s="308"/>
      <c r="AJ9" s="308"/>
      <c r="AK9" s="308"/>
      <c r="AL9" s="308"/>
      <c r="AM9" s="308"/>
      <c r="AN9" s="308"/>
      <c r="AO9" s="308"/>
      <c r="AP9" s="308"/>
      <c r="AQ9" s="28"/>
    </row>
    <row r="10" spans="2:54" ht="11.25" customHeight="1">
      <c r="B10" s="302">
        <v>1</v>
      </c>
      <c r="C10" s="302"/>
      <c r="D10" s="302"/>
      <c r="E10" s="303" t="s">
        <v>6</v>
      </c>
      <c r="F10" s="303"/>
      <c r="G10" s="303"/>
      <c r="H10" s="303"/>
      <c r="I10" s="303"/>
      <c r="J10" s="303"/>
      <c r="K10" s="303"/>
      <c r="L10" s="303"/>
      <c r="M10" s="303"/>
      <c r="N10" s="303"/>
      <c r="O10" s="303"/>
      <c r="P10" s="303"/>
      <c r="Q10" s="303"/>
      <c r="R10" s="303"/>
      <c r="S10" s="303"/>
      <c r="T10" s="303"/>
      <c r="U10" s="303"/>
      <c r="V10" s="303"/>
      <c r="W10" s="303"/>
      <c r="X10" s="303"/>
      <c r="Y10" s="303"/>
      <c r="Z10" s="303"/>
      <c r="AA10" s="303"/>
      <c r="AB10" s="303"/>
      <c r="AC10" s="303"/>
      <c r="AD10" s="303"/>
      <c r="AE10" s="303"/>
      <c r="AF10" s="303"/>
      <c r="AG10" s="303"/>
      <c r="AH10" s="303"/>
      <c r="AI10" s="303"/>
      <c r="AJ10" s="303"/>
      <c r="AK10" s="303"/>
      <c r="AL10" s="295" t="s">
        <v>7</v>
      </c>
      <c r="AM10" s="295"/>
      <c r="AN10" s="295"/>
      <c r="AO10" s="295"/>
      <c r="AP10" s="295"/>
      <c r="AQ10" s="28"/>
      <c r="AX10" s="27" t="s">
        <v>8</v>
      </c>
      <c r="AZ10" s="27" t="s">
        <v>9</v>
      </c>
      <c r="BA10" s="27" t="s">
        <v>10</v>
      </c>
      <c r="BB10" s="27" t="s">
        <v>11</v>
      </c>
    </row>
    <row r="11" spans="2:54" ht="14.5" customHeight="1">
      <c r="B11" s="288"/>
      <c r="C11" s="288"/>
      <c r="D11" s="288"/>
      <c r="E11" s="304"/>
      <c r="F11" s="304"/>
      <c r="G11" s="304"/>
      <c r="H11" s="304"/>
      <c r="I11" s="304"/>
      <c r="J11" s="304"/>
      <c r="K11" s="304"/>
      <c r="L11" s="304"/>
      <c r="M11" s="304"/>
      <c r="N11" s="304"/>
      <c r="O11" s="304"/>
      <c r="P11" s="304"/>
      <c r="Q11" s="304"/>
      <c r="R11" s="304"/>
      <c r="S11" s="304"/>
      <c r="T11" s="304"/>
      <c r="U11" s="304"/>
      <c r="V11" s="304"/>
      <c r="W11" s="304"/>
      <c r="X11" s="304"/>
      <c r="Y11" s="304"/>
      <c r="Z11" s="304"/>
      <c r="AA11" s="304"/>
      <c r="AB11" s="304"/>
      <c r="AC11" s="304"/>
      <c r="AD11" s="304"/>
      <c r="AE11" s="304"/>
      <c r="AF11" s="304"/>
      <c r="AG11" s="304"/>
      <c r="AH11" s="304"/>
      <c r="AI11" s="304"/>
      <c r="AJ11" s="304"/>
      <c r="AK11" s="304"/>
      <c r="AL11" s="295"/>
      <c r="AM11" s="295"/>
      <c r="AN11" s="295"/>
      <c r="AO11" s="295"/>
      <c r="AP11" s="295"/>
      <c r="AQ11" s="28"/>
      <c r="AX11" s="7" t="s">
        <v>9</v>
      </c>
      <c r="AZ11" s="7"/>
      <c r="BA11" s="7" t="s">
        <v>12</v>
      </c>
      <c r="BB11" s="7" t="s">
        <v>12</v>
      </c>
    </row>
    <row r="12" spans="2:54" ht="9" customHeight="1">
      <c r="B12" s="288">
        <v>2</v>
      </c>
      <c r="C12" s="288"/>
      <c r="D12" s="288"/>
      <c r="E12" s="289" t="s">
        <v>13</v>
      </c>
      <c r="F12" s="290"/>
      <c r="G12" s="290"/>
      <c r="H12" s="290"/>
      <c r="I12" s="290"/>
      <c r="J12" s="290"/>
      <c r="K12" s="290"/>
      <c r="L12" s="290"/>
      <c r="M12" s="290"/>
      <c r="N12" s="290"/>
      <c r="O12" s="290"/>
      <c r="P12" s="290"/>
      <c r="Q12" s="290"/>
      <c r="R12" s="290"/>
      <c r="S12" s="290"/>
      <c r="T12" s="290"/>
      <c r="U12" s="290"/>
      <c r="V12" s="290"/>
      <c r="W12" s="290"/>
      <c r="X12" s="290"/>
      <c r="Y12" s="290"/>
      <c r="Z12" s="290"/>
      <c r="AA12" s="290"/>
      <c r="AB12" s="290"/>
      <c r="AC12" s="290"/>
      <c r="AD12" s="290"/>
      <c r="AE12" s="290"/>
      <c r="AF12" s="290"/>
      <c r="AG12" s="290"/>
      <c r="AH12" s="290"/>
      <c r="AI12" s="290"/>
      <c r="AJ12" s="290"/>
      <c r="AK12" s="291"/>
      <c r="AL12" s="295" t="s">
        <v>12</v>
      </c>
      <c r="AM12" s="295"/>
      <c r="AN12" s="295"/>
      <c r="AO12" s="295"/>
      <c r="AP12" s="295"/>
      <c r="AQ12" s="28"/>
      <c r="AX12" s="7" t="s">
        <v>10</v>
      </c>
      <c r="AZ12" s="7"/>
      <c r="BA12" s="7" t="s">
        <v>7</v>
      </c>
      <c r="BB12" s="7" t="s">
        <v>7</v>
      </c>
    </row>
    <row r="13" spans="2:54" ht="9" customHeight="1">
      <c r="B13" s="288"/>
      <c r="C13" s="288"/>
      <c r="D13" s="288"/>
      <c r="E13" s="299"/>
      <c r="F13" s="300"/>
      <c r="G13" s="300"/>
      <c r="H13" s="300"/>
      <c r="I13" s="300"/>
      <c r="J13" s="300"/>
      <c r="K13" s="300"/>
      <c r="L13" s="300"/>
      <c r="M13" s="300"/>
      <c r="N13" s="300"/>
      <c r="O13" s="300"/>
      <c r="P13" s="300"/>
      <c r="Q13" s="300"/>
      <c r="R13" s="300"/>
      <c r="S13" s="300"/>
      <c r="T13" s="300"/>
      <c r="U13" s="300"/>
      <c r="V13" s="300"/>
      <c r="W13" s="300"/>
      <c r="X13" s="300"/>
      <c r="Y13" s="300"/>
      <c r="Z13" s="300"/>
      <c r="AA13" s="300"/>
      <c r="AB13" s="300"/>
      <c r="AC13" s="300"/>
      <c r="AD13" s="300"/>
      <c r="AE13" s="300"/>
      <c r="AF13" s="300"/>
      <c r="AG13" s="300"/>
      <c r="AH13" s="300"/>
      <c r="AI13" s="300"/>
      <c r="AJ13" s="300"/>
      <c r="AK13" s="301"/>
      <c r="AL13" s="295"/>
      <c r="AM13" s="295"/>
      <c r="AN13" s="295"/>
      <c r="AO13" s="295"/>
      <c r="AP13" s="295"/>
      <c r="AQ13" s="28"/>
      <c r="AX13" s="7" t="s">
        <v>11</v>
      </c>
      <c r="AZ13" s="7"/>
      <c r="BA13" s="7"/>
      <c r="BB13" s="7" t="s">
        <v>14</v>
      </c>
    </row>
    <row r="14" spans="2:54" ht="9" customHeight="1">
      <c r="B14" s="288"/>
      <c r="C14" s="288"/>
      <c r="D14" s="288"/>
      <c r="E14" s="299"/>
      <c r="F14" s="300"/>
      <c r="G14" s="300"/>
      <c r="H14" s="300"/>
      <c r="I14" s="300"/>
      <c r="J14" s="300"/>
      <c r="K14" s="300"/>
      <c r="L14" s="300"/>
      <c r="M14" s="300"/>
      <c r="N14" s="300"/>
      <c r="O14" s="300"/>
      <c r="P14" s="300"/>
      <c r="Q14" s="300"/>
      <c r="R14" s="300"/>
      <c r="S14" s="300"/>
      <c r="T14" s="300"/>
      <c r="U14" s="300"/>
      <c r="V14" s="300"/>
      <c r="W14" s="300"/>
      <c r="X14" s="300"/>
      <c r="Y14" s="300"/>
      <c r="Z14" s="300"/>
      <c r="AA14" s="300"/>
      <c r="AB14" s="300"/>
      <c r="AC14" s="300"/>
      <c r="AD14" s="300"/>
      <c r="AE14" s="300"/>
      <c r="AF14" s="300"/>
      <c r="AG14" s="300"/>
      <c r="AH14" s="300"/>
      <c r="AI14" s="300"/>
      <c r="AJ14" s="300"/>
      <c r="AK14" s="301"/>
      <c r="AL14" s="295"/>
      <c r="AM14" s="295"/>
      <c r="AN14" s="295"/>
      <c r="AO14" s="295"/>
      <c r="AP14" s="295"/>
      <c r="AQ14" s="28"/>
    </row>
    <row r="15" spans="2:54" ht="9" customHeight="1">
      <c r="B15" s="288"/>
      <c r="C15" s="288"/>
      <c r="D15" s="288"/>
      <c r="E15" s="292"/>
      <c r="F15" s="293"/>
      <c r="G15" s="293"/>
      <c r="H15" s="293"/>
      <c r="I15" s="293"/>
      <c r="J15" s="293"/>
      <c r="K15" s="293"/>
      <c r="L15" s="293"/>
      <c r="M15" s="293"/>
      <c r="N15" s="293"/>
      <c r="O15" s="293"/>
      <c r="P15" s="293"/>
      <c r="Q15" s="293"/>
      <c r="R15" s="293"/>
      <c r="S15" s="293"/>
      <c r="T15" s="293"/>
      <c r="U15" s="293"/>
      <c r="V15" s="293"/>
      <c r="W15" s="293"/>
      <c r="X15" s="293"/>
      <c r="Y15" s="293"/>
      <c r="Z15" s="293"/>
      <c r="AA15" s="293"/>
      <c r="AB15" s="293"/>
      <c r="AC15" s="293"/>
      <c r="AD15" s="293"/>
      <c r="AE15" s="293"/>
      <c r="AF15" s="293"/>
      <c r="AG15" s="293"/>
      <c r="AH15" s="293"/>
      <c r="AI15" s="293"/>
      <c r="AJ15" s="293"/>
      <c r="AK15" s="294"/>
      <c r="AL15" s="295"/>
      <c r="AM15" s="295"/>
      <c r="AN15" s="295"/>
      <c r="AO15" s="295"/>
      <c r="AP15" s="295"/>
      <c r="AQ15" s="28"/>
    </row>
    <row r="16" spans="2:54" ht="15" customHeight="1">
      <c r="B16" s="288">
        <v>3</v>
      </c>
      <c r="C16" s="288"/>
      <c r="D16" s="288"/>
      <c r="E16" s="289" t="s">
        <v>15</v>
      </c>
      <c r="F16" s="290"/>
      <c r="G16" s="290"/>
      <c r="H16" s="290"/>
      <c r="I16" s="290"/>
      <c r="J16" s="290"/>
      <c r="K16" s="290"/>
      <c r="L16" s="290"/>
      <c r="M16" s="290"/>
      <c r="N16" s="290"/>
      <c r="O16" s="290"/>
      <c r="P16" s="290"/>
      <c r="Q16" s="290"/>
      <c r="R16" s="290"/>
      <c r="S16" s="290"/>
      <c r="T16" s="290"/>
      <c r="U16" s="290"/>
      <c r="V16" s="290"/>
      <c r="W16" s="290"/>
      <c r="X16" s="290"/>
      <c r="Y16" s="290"/>
      <c r="Z16" s="290"/>
      <c r="AA16" s="290"/>
      <c r="AB16" s="290"/>
      <c r="AC16" s="290"/>
      <c r="AD16" s="290"/>
      <c r="AE16" s="290"/>
      <c r="AF16" s="290"/>
      <c r="AG16" s="290"/>
      <c r="AH16" s="290"/>
      <c r="AI16" s="290"/>
      <c r="AJ16" s="290"/>
      <c r="AK16" s="291"/>
      <c r="AL16" s="295"/>
      <c r="AM16" s="295"/>
      <c r="AN16" s="295"/>
      <c r="AO16" s="295"/>
      <c r="AP16" s="295"/>
      <c r="AQ16" s="28"/>
    </row>
    <row r="17" spans="2:43" ht="15" customHeight="1">
      <c r="B17" s="288"/>
      <c r="C17" s="288"/>
      <c r="D17" s="288"/>
      <c r="E17" s="292"/>
      <c r="F17" s="293"/>
      <c r="G17" s="293"/>
      <c r="H17" s="293"/>
      <c r="I17" s="293"/>
      <c r="J17" s="293"/>
      <c r="K17" s="293"/>
      <c r="L17" s="293"/>
      <c r="M17" s="293"/>
      <c r="N17" s="293"/>
      <c r="O17" s="293"/>
      <c r="P17" s="293"/>
      <c r="Q17" s="293"/>
      <c r="R17" s="293"/>
      <c r="S17" s="293"/>
      <c r="T17" s="293"/>
      <c r="U17" s="293"/>
      <c r="V17" s="293"/>
      <c r="W17" s="293"/>
      <c r="X17" s="293"/>
      <c r="Y17" s="293"/>
      <c r="Z17" s="293"/>
      <c r="AA17" s="293"/>
      <c r="AB17" s="293"/>
      <c r="AC17" s="293"/>
      <c r="AD17" s="293"/>
      <c r="AE17" s="293"/>
      <c r="AF17" s="293"/>
      <c r="AG17" s="293"/>
      <c r="AH17" s="293"/>
      <c r="AI17" s="293"/>
      <c r="AJ17" s="293"/>
      <c r="AK17" s="294"/>
      <c r="AL17" s="295"/>
      <c r="AM17" s="295"/>
      <c r="AN17" s="295"/>
      <c r="AO17" s="295"/>
      <c r="AP17" s="295"/>
      <c r="AQ17" s="28"/>
    </row>
    <row r="18" spans="2:43" ht="15" customHeight="1">
      <c r="B18" s="288">
        <v>4</v>
      </c>
      <c r="C18" s="288"/>
      <c r="D18" s="288"/>
      <c r="E18" s="289" t="s">
        <v>16</v>
      </c>
      <c r="F18" s="290"/>
      <c r="G18" s="290"/>
      <c r="H18" s="290"/>
      <c r="I18" s="290"/>
      <c r="J18" s="290"/>
      <c r="K18" s="290"/>
      <c r="L18" s="290"/>
      <c r="M18" s="290"/>
      <c r="N18" s="290"/>
      <c r="O18" s="290"/>
      <c r="P18" s="290"/>
      <c r="Q18" s="290"/>
      <c r="R18" s="290"/>
      <c r="S18" s="290"/>
      <c r="T18" s="290"/>
      <c r="U18" s="290"/>
      <c r="V18" s="290"/>
      <c r="W18" s="290"/>
      <c r="X18" s="290"/>
      <c r="Y18" s="290"/>
      <c r="Z18" s="290"/>
      <c r="AA18" s="290"/>
      <c r="AB18" s="290"/>
      <c r="AC18" s="290"/>
      <c r="AD18" s="290"/>
      <c r="AE18" s="290"/>
      <c r="AF18" s="290"/>
      <c r="AG18" s="290"/>
      <c r="AH18" s="290"/>
      <c r="AI18" s="290"/>
      <c r="AJ18" s="290"/>
      <c r="AK18" s="291"/>
      <c r="AL18" s="295"/>
      <c r="AM18" s="295"/>
      <c r="AN18" s="295"/>
      <c r="AO18" s="295"/>
      <c r="AP18" s="295"/>
      <c r="AQ18" s="28"/>
    </row>
    <row r="19" spans="2:43" ht="14.5" customHeight="1">
      <c r="B19" s="288"/>
      <c r="C19" s="288"/>
      <c r="D19" s="288"/>
      <c r="E19" s="292"/>
      <c r="F19" s="293"/>
      <c r="G19" s="293"/>
      <c r="H19" s="293"/>
      <c r="I19" s="293"/>
      <c r="J19" s="293"/>
      <c r="K19" s="293"/>
      <c r="L19" s="293"/>
      <c r="M19" s="293"/>
      <c r="N19" s="293"/>
      <c r="O19" s="293"/>
      <c r="P19" s="293"/>
      <c r="Q19" s="293"/>
      <c r="R19" s="293"/>
      <c r="S19" s="293"/>
      <c r="T19" s="293"/>
      <c r="U19" s="293"/>
      <c r="V19" s="293"/>
      <c r="W19" s="293"/>
      <c r="X19" s="293"/>
      <c r="Y19" s="293"/>
      <c r="Z19" s="293"/>
      <c r="AA19" s="293"/>
      <c r="AB19" s="293"/>
      <c r="AC19" s="293"/>
      <c r="AD19" s="293"/>
      <c r="AE19" s="293"/>
      <c r="AF19" s="293"/>
      <c r="AG19" s="293"/>
      <c r="AH19" s="293"/>
      <c r="AI19" s="293"/>
      <c r="AJ19" s="293"/>
      <c r="AK19" s="294"/>
      <c r="AL19" s="295"/>
      <c r="AM19" s="295"/>
      <c r="AN19" s="295"/>
      <c r="AO19" s="295"/>
      <c r="AP19" s="295"/>
      <c r="AQ19" s="28"/>
    </row>
    <row r="20" spans="2:43" ht="15" customHeight="1">
      <c r="B20" s="296" t="s">
        <v>1188</v>
      </c>
      <c r="C20" s="204"/>
      <c r="D20" s="204"/>
      <c r="E20" s="204"/>
      <c r="F20" s="204"/>
      <c r="G20" s="204"/>
      <c r="H20" s="204"/>
      <c r="I20" s="204"/>
      <c r="J20" s="204"/>
      <c r="K20" s="204"/>
      <c r="L20" s="204"/>
      <c r="M20" s="204"/>
      <c r="N20" s="204"/>
      <c r="O20" s="204"/>
      <c r="P20" s="204"/>
      <c r="Q20" s="204"/>
      <c r="R20" s="204"/>
      <c r="S20" s="204"/>
      <c r="T20" s="204"/>
      <c r="U20" s="204"/>
      <c r="V20" s="204"/>
      <c r="W20" s="204"/>
      <c r="X20" s="204"/>
      <c r="Y20" s="204"/>
      <c r="Z20" s="204"/>
      <c r="AA20" s="204"/>
      <c r="AB20" s="204"/>
      <c r="AC20" s="204"/>
      <c r="AD20" s="204"/>
      <c r="AE20" s="204"/>
      <c r="AF20" s="204"/>
      <c r="AG20" s="204"/>
      <c r="AH20" s="204"/>
      <c r="AI20" s="204"/>
      <c r="AJ20" s="204"/>
      <c r="AK20" s="204"/>
      <c r="AL20" s="204"/>
      <c r="AM20" s="204"/>
      <c r="AN20" s="204"/>
      <c r="AO20" s="204"/>
      <c r="AP20" s="204"/>
      <c r="AQ20" s="28"/>
    </row>
    <row r="21" spans="2:43" ht="14.5" customHeight="1">
      <c r="B21" s="204"/>
      <c r="C21" s="204"/>
      <c r="D21" s="204"/>
      <c r="E21" s="204"/>
      <c r="F21" s="204"/>
      <c r="G21" s="204"/>
      <c r="H21" s="204"/>
      <c r="I21" s="204"/>
      <c r="J21" s="204"/>
      <c r="K21" s="204"/>
      <c r="L21" s="204"/>
      <c r="M21" s="204"/>
      <c r="N21" s="204"/>
      <c r="O21" s="204"/>
      <c r="P21" s="204"/>
      <c r="Q21" s="204"/>
      <c r="R21" s="204"/>
      <c r="S21" s="204"/>
      <c r="T21" s="204"/>
      <c r="U21" s="204"/>
      <c r="V21" s="204"/>
      <c r="W21" s="204"/>
      <c r="X21" s="204"/>
      <c r="Y21" s="204"/>
      <c r="Z21" s="204"/>
      <c r="AA21" s="204"/>
      <c r="AB21" s="204"/>
      <c r="AC21" s="204"/>
      <c r="AD21" s="204"/>
      <c r="AE21" s="204"/>
      <c r="AF21" s="204"/>
      <c r="AG21" s="204"/>
      <c r="AH21" s="204"/>
      <c r="AI21" s="204"/>
      <c r="AJ21" s="204"/>
      <c r="AK21" s="204"/>
      <c r="AL21" s="204"/>
      <c r="AM21" s="204"/>
      <c r="AN21" s="204"/>
      <c r="AO21" s="204"/>
      <c r="AP21" s="204"/>
      <c r="AQ21" s="28"/>
    </row>
    <row r="22" spans="2:43" ht="11.25" customHeight="1">
      <c r="B22" s="297">
        <v>1</v>
      </c>
      <c r="C22" s="297"/>
      <c r="D22" s="297"/>
      <c r="E22" s="204" t="s">
        <v>17</v>
      </c>
      <c r="F22" s="204"/>
      <c r="G22" s="204"/>
      <c r="H22" s="204"/>
      <c r="I22" s="204"/>
      <c r="J22" s="204"/>
      <c r="K22" s="204"/>
      <c r="L22" s="204"/>
      <c r="M22" s="204"/>
      <c r="N22" s="204"/>
      <c r="O22" s="204"/>
      <c r="P22" s="204"/>
      <c r="Q22" s="204"/>
      <c r="R22" s="204"/>
      <c r="S22" s="204"/>
      <c r="T22" s="204"/>
      <c r="U22" s="204"/>
      <c r="V22" s="204"/>
      <c r="W22" s="204"/>
      <c r="X22" s="204"/>
      <c r="Y22" s="204"/>
      <c r="Z22" s="204"/>
      <c r="AA22" s="204"/>
      <c r="AB22" s="204"/>
      <c r="AC22" s="204"/>
      <c r="AD22" s="204"/>
      <c r="AE22" s="204"/>
      <c r="AF22" s="204"/>
      <c r="AG22" s="204"/>
      <c r="AH22" s="204"/>
      <c r="AI22" s="204"/>
      <c r="AJ22" s="204"/>
      <c r="AK22" s="204"/>
      <c r="AL22" s="298" t="s">
        <v>1228</v>
      </c>
      <c r="AM22" s="298"/>
      <c r="AN22" s="298"/>
      <c r="AO22" s="298"/>
      <c r="AP22" s="298"/>
      <c r="AQ22" s="28"/>
    </row>
    <row r="23" spans="2:43" ht="14.5" customHeight="1">
      <c r="B23" s="297"/>
      <c r="C23" s="297"/>
      <c r="D23" s="297"/>
      <c r="E23" s="204"/>
      <c r="F23" s="204"/>
      <c r="G23" s="204"/>
      <c r="H23" s="204"/>
      <c r="I23" s="204"/>
      <c r="J23" s="204"/>
      <c r="K23" s="204"/>
      <c r="L23" s="204"/>
      <c r="M23" s="204"/>
      <c r="N23" s="204"/>
      <c r="O23" s="204"/>
      <c r="P23" s="204"/>
      <c r="Q23" s="204"/>
      <c r="R23" s="204"/>
      <c r="S23" s="204"/>
      <c r="T23" s="204"/>
      <c r="U23" s="204"/>
      <c r="V23" s="204"/>
      <c r="W23" s="204"/>
      <c r="X23" s="204"/>
      <c r="Y23" s="204"/>
      <c r="Z23" s="204"/>
      <c r="AA23" s="204"/>
      <c r="AB23" s="204"/>
      <c r="AC23" s="204"/>
      <c r="AD23" s="204"/>
      <c r="AE23" s="204"/>
      <c r="AF23" s="204"/>
      <c r="AG23" s="204"/>
      <c r="AH23" s="204"/>
      <c r="AI23" s="204"/>
      <c r="AJ23" s="204"/>
      <c r="AK23" s="204"/>
      <c r="AL23" s="298"/>
      <c r="AM23" s="298"/>
      <c r="AN23" s="298"/>
      <c r="AO23" s="298"/>
      <c r="AP23" s="298"/>
      <c r="AQ23" s="28"/>
    </row>
    <row r="24" spans="2:43" ht="14.5" customHeight="1">
      <c r="B24" s="297"/>
      <c r="C24" s="297"/>
      <c r="D24" s="297"/>
      <c r="E24" s="204"/>
      <c r="F24" s="204"/>
      <c r="G24" s="204"/>
      <c r="H24" s="204"/>
      <c r="I24" s="204"/>
      <c r="J24" s="204"/>
      <c r="K24" s="204"/>
      <c r="L24" s="204"/>
      <c r="M24" s="204"/>
      <c r="N24" s="204"/>
      <c r="O24" s="204"/>
      <c r="P24" s="204"/>
      <c r="Q24" s="204"/>
      <c r="R24" s="204"/>
      <c r="S24" s="204"/>
      <c r="T24" s="204"/>
      <c r="U24" s="204"/>
      <c r="V24" s="204"/>
      <c r="W24" s="204"/>
      <c r="X24" s="204"/>
      <c r="Y24" s="204"/>
      <c r="Z24" s="204"/>
      <c r="AA24" s="204"/>
      <c r="AB24" s="204"/>
      <c r="AC24" s="204"/>
      <c r="AD24" s="204"/>
      <c r="AE24" s="204"/>
      <c r="AF24" s="204"/>
      <c r="AG24" s="204"/>
      <c r="AH24" s="204"/>
      <c r="AI24" s="204"/>
      <c r="AJ24" s="204"/>
      <c r="AK24" s="204"/>
      <c r="AL24" s="298"/>
      <c r="AM24" s="298"/>
      <c r="AN24" s="298"/>
      <c r="AO24" s="298"/>
      <c r="AP24" s="298"/>
      <c r="AQ24" s="28"/>
    </row>
    <row r="25" spans="2:43">
      <c r="AQ25" s="28"/>
    </row>
  </sheetData>
  <sheetProtection algorithmName="SHA-512" hashValue="xUG5foJ2iQF7Zl3BFTdiI5d3KLrSNHBgzEqOZOmAuY0zDsuVWj3NXhknW9b4t4My8tlQLX/yUEPl352AUUwF1g==" saltValue="MNGeg4qo/+c17sCGVrRonw==" spinCount="100000" sheet="1" objects="1" scenarios="1"/>
  <mergeCells count="21">
    <mergeCell ref="B10:D11"/>
    <mergeCell ref="E10:AK11"/>
    <mergeCell ref="AL10:AP11"/>
    <mergeCell ref="B2:AN4"/>
    <mergeCell ref="AO2:AP4"/>
    <mergeCell ref="B6:AP6"/>
    <mergeCell ref="B7:AP7"/>
    <mergeCell ref="B8:AP9"/>
    <mergeCell ref="B12:D15"/>
    <mergeCell ref="E12:AK15"/>
    <mergeCell ref="AL12:AP15"/>
    <mergeCell ref="B16:D17"/>
    <mergeCell ref="E16:AK17"/>
    <mergeCell ref="AL16:AP17"/>
    <mergeCell ref="B18:D19"/>
    <mergeCell ref="E18:AK19"/>
    <mergeCell ref="AL18:AP19"/>
    <mergeCell ref="B20:AP21"/>
    <mergeCell ref="B22:D24"/>
    <mergeCell ref="E22:AK24"/>
    <mergeCell ref="AL22:AP24"/>
  </mergeCells>
  <conditionalFormatting sqref="AL10 AL12 AL16">
    <cfRule type="containsText" dxfId="3" priority="4" operator="containsText" text="Por favor responder SI/NO a la pregunta">
      <formula>NOT(ISERROR(SEARCH("Por favor responder SI/NO a la pregunta",AL10)))</formula>
    </cfRule>
  </conditionalFormatting>
  <conditionalFormatting sqref="AL16">
    <cfRule type="containsText" dxfId="2" priority="3" operator="containsText" text="Celda">
      <formula>NOT(ISERROR(SEARCH("Celda",AL16)))</formula>
    </cfRule>
  </conditionalFormatting>
  <conditionalFormatting sqref="AL18">
    <cfRule type="containsText" dxfId="1" priority="1" operator="containsText" text="Celda">
      <formula>NOT(ISERROR(SEARCH("Celda",AL18)))</formula>
    </cfRule>
    <cfRule type="containsText" dxfId="0" priority="2" operator="containsText" text="Por favor responder SI/NO a la pregunta">
      <formula>NOT(ISERROR(SEARCH("Por favor responder SI/NO a la pregunta",AL18)))</formula>
    </cfRule>
  </conditionalFormatting>
  <dataValidations count="2">
    <dataValidation type="list" allowBlank="1" showInputMessage="1" showErrorMessage="1" sqref="AL16 AL10 AL12 AL18" xr:uid="{CC7314B4-3D40-4CA2-966A-6019B5CC8B62}">
      <formula1>"Si,No"</formula1>
    </dataValidation>
    <dataValidation type="list" allowBlank="1" showInputMessage="1" showErrorMessage="1" sqref="AL22" xr:uid="{6F5A4ABF-4774-464C-A126-F9E887B68C14}">
      <formula1>"0%,Menos del 5%,Entre el 5% y el 10%, El 10% o más"</formula1>
    </dataValidation>
  </dataValidations>
  <printOptions horizontalCentered="1"/>
  <pageMargins left="0.23622047244094491" right="0.43307086614173229" top="0.39370078740157483" bottom="0.39370078740157483" header="0.31496062992125984" footer="0.31496062992125984"/>
  <pageSetup scale="58" orientation="portrait" r:id="rId1"/>
  <headerFooter>
    <oddFooter>&amp;C&amp;"Arial,Normal"&amp;8&amp;P/&amp;N</oddFooter>
  </headerFooter>
  <drawing r:id="rId2"/>
  <legacyDrawing r:id="rId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rgb="FFFF0000"/>
  </sheetPr>
  <dimension ref="A1:G515"/>
  <sheetViews>
    <sheetView zoomScale="115" zoomScaleNormal="115" workbookViewId="0">
      <selection activeCell="B9" sqref="B9"/>
    </sheetView>
  </sheetViews>
  <sheetFormatPr baseColWidth="10" defaultColWidth="11.453125" defaultRowHeight="10"/>
  <cols>
    <col min="1" max="1" width="19.1796875" style="9" bestFit="1" customWidth="1"/>
    <col min="2" max="2" width="13.453125" style="12" bestFit="1" customWidth="1"/>
    <col min="3" max="3" width="17" style="9" bestFit="1" customWidth="1"/>
    <col min="4" max="5" width="13" style="9" bestFit="1" customWidth="1"/>
    <col min="6" max="7" width="13.453125" style="9" bestFit="1" customWidth="1"/>
    <col min="8" max="16384" width="11.453125" style="9"/>
  </cols>
  <sheetData>
    <row r="1" spans="1:7" ht="10.5">
      <c r="A1" s="16" t="s">
        <v>138</v>
      </c>
    </row>
    <row r="2" spans="1:7" ht="10.5">
      <c r="A2" s="17" t="s">
        <v>139</v>
      </c>
    </row>
    <row r="3" spans="1:7" ht="10.5">
      <c r="A3" s="17"/>
    </row>
    <row r="4" spans="1:7" ht="10.5">
      <c r="A4" s="8" t="s">
        <v>140</v>
      </c>
      <c r="B4" s="14">
        <v>36308</v>
      </c>
      <c r="C4" s="15" t="s">
        <v>141</v>
      </c>
      <c r="D4" s="6"/>
      <c r="E4" s="1"/>
      <c r="F4" s="1"/>
      <c r="G4" s="1"/>
    </row>
    <row r="5" spans="1:7" ht="10.5">
      <c r="A5" s="18"/>
      <c r="B5" s="19"/>
      <c r="C5" s="15"/>
      <c r="D5" s="6"/>
      <c r="E5" s="1"/>
      <c r="F5" s="1"/>
      <c r="G5" s="1"/>
    </row>
    <row r="6" spans="1:7" ht="10.5">
      <c r="A6" s="288" t="s">
        <v>142</v>
      </c>
      <c r="B6" s="288"/>
      <c r="C6" s="288"/>
      <c r="D6" s="288"/>
      <c r="E6" s="288"/>
      <c r="F6" s="288"/>
      <c r="G6" s="288"/>
    </row>
    <row r="7" spans="1:7" ht="10.5">
      <c r="A7" s="10" t="s">
        <v>143</v>
      </c>
      <c r="B7" s="288" t="s">
        <v>144</v>
      </c>
      <c r="C7" s="288"/>
      <c r="D7" s="288" t="s">
        <v>145</v>
      </c>
      <c r="E7" s="288"/>
      <c r="F7" s="288" t="s">
        <v>146</v>
      </c>
      <c r="G7" s="288"/>
    </row>
    <row r="8" spans="1:7">
      <c r="A8" s="7" t="s">
        <v>147</v>
      </c>
      <c r="B8" s="13">
        <v>0</v>
      </c>
      <c r="C8" s="11">
        <v>23563</v>
      </c>
      <c r="D8" s="11">
        <v>0</v>
      </c>
      <c r="E8" s="11">
        <v>32988</v>
      </c>
      <c r="F8" s="11">
        <v>0</v>
      </c>
      <c r="G8" s="11">
        <v>44769</v>
      </c>
    </row>
    <row r="9" spans="1:7">
      <c r="A9" s="7" t="s">
        <v>148</v>
      </c>
      <c r="B9" s="13">
        <v>23563</v>
      </c>
      <c r="C9" s="11">
        <v>204995</v>
      </c>
      <c r="D9" s="11">
        <v>32988</v>
      </c>
      <c r="E9" s="11">
        <v>131951</v>
      </c>
      <c r="F9" s="11">
        <v>44769</v>
      </c>
      <c r="G9" s="11">
        <v>431196</v>
      </c>
    </row>
    <row r="10" spans="1:7">
      <c r="A10" s="7" t="s">
        <v>149</v>
      </c>
      <c r="B10" s="13">
        <v>204995</v>
      </c>
      <c r="C10" s="11">
        <v>1736565</v>
      </c>
      <c r="D10" s="11">
        <v>131951</v>
      </c>
      <c r="E10" s="11">
        <v>483034</v>
      </c>
      <c r="F10" s="11">
        <v>431196</v>
      </c>
      <c r="G10" s="11">
        <v>2160692</v>
      </c>
    </row>
    <row r="11" spans="1:7">
      <c r="A11" s="7" t="s">
        <v>150</v>
      </c>
      <c r="B11" s="13">
        <v>1736565</v>
      </c>
      <c r="C11" s="11"/>
      <c r="D11" s="11">
        <v>483034</v>
      </c>
      <c r="E11" s="11"/>
      <c r="F11" s="11">
        <v>2160692</v>
      </c>
      <c r="G11" s="11"/>
    </row>
    <row r="13" spans="1:7" ht="10.5">
      <c r="A13" s="10" t="s">
        <v>143</v>
      </c>
      <c r="B13" s="288" t="s">
        <v>144</v>
      </c>
      <c r="C13" s="288"/>
      <c r="D13" s="288" t="s">
        <v>145</v>
      </c>
      <c r="E13" s="288"/>
      <c r="F13" s="288" t="s">
        <v>146</v>
      </c>
      <c r="G13" s="288"/>
    </row>
    <row r="14" spans="1:7">
      <c r="A14" s="7" t="s">
        <v>147</v>
      </c>
      <c r="B14" s="20">
        <f>+B8*$B$4</f>
        <v>0</v>
      </c>
      <c r="C14" s="20">
        <f t="shared" ref="C14:G14" si="0">+C8*$B$4</f>
        <v>855525404</v>
      </c>
      <c r="D14" s="20">
        <f t="shared" si="0"/>
        <v>0</v>
      </c>
      <c r="E14" s="20">
        <f t="shared" si="0"/>
        <v>1197728304</v>
      </c>
      <c r="F14" s="20">
        <f t="shared" si="0"/>
        <v>0</v>
      </c>
      <c r="G14" s="20">
        <f t="shared" si="0"/>
        <v>1625472852</v>
      </c>
    </row>
    <row r="15" spans="1:7">
      <c r="A15" s="7" t="s">
        <v>148</v>
      </c>
      <c r="B15" s="20">
        <f>+C14+1</f>
        <v>855525405</v>
      </c>
      <c r="C15" s="20">
        <f t="shared" ref="C15" si="1">+C9*$B$4</f>
        <v>7442958460</v>
      </c>
      <c r="D15" s="20">
        <f>+E14+1</f>
        <v>1197728305</v>
      </c>
      <c r="E15" s="20">
        <f t="shared" ref="E15" si="2">+E9*$B$4</f>
        <v>4790876908</v>
      </c>
      <c r="F15" s="20">
        <f>+G14+1</f>
        <v>1625472853</v>
      </c>
      <c r="G15" s="20">
        <f t="shared" ref="G15" si="3">+G9*$B$4</f>
        <v>15655864368</v>
      </c>
    </row>
    <row r="16" spans="1:7">
      <c r="A16" s="7" t="s">
        <v>149</v>
      </c>
      <c r="B16" s="20">
        <f>+C15+1</f>
        <v>7442958461</v>
      </c>
      <c r="C16" s="20">
        <f t="shared" ref="C16" si="4">+C10*$B$4</f>
        <v>63051202020</v>
      </c>
      <c r="D16" s="20">
        <f>+E15+1</f>
        <v>4790876909</v>
      </c>
      <c r="E16" s="20">
        <f t="shared" ref="E16" si="5">+E10*$B$4</f>
        <v>17537998472</v>
      </c>
      <c r="F16" s="20">
        <f>+G15+1</f>
        <v>15655864369</v>
      </c>
      <c r="G16" s="20">
        <f t="shared" ref="G16" si="6">+G10*$B$4</f>
        <v>78450405136</v>
      </c>
    </row>
    <row r="17" spans="1:7">
      <c r="A17" s="7" t="s">
        <v>150</v>
      </c>
      <c r="B17" s="20">
        <f>+C16+1</f>
        <v>63051202021</v>
      </c>
      <c r="C17" s="20">
        <f>+C11*$B$4</f>
        <v>0</v>
      </c>
      <c r="D17" s="20">
        <f>+E16+1</f>
        <v>17537998473</v>
      </c>
      <c r="E17" s="20">
        <f t="shared" ref="E17" si="7">+E11*$B$4</f>
        <v>0</v>
      </c>
      <c r="F17" s="20">
        <f>+G16+1</f>
        <v>78450405137</v>
      </c>
      <c r="G17" s="20">
        <f t="shared" ref="G17" si="8">+G11*$B$4</f>
        <v>0</v>
      </c>
    </row>
    <row r="19" spans="1:7" ht="10.5">
      <c r="A19" s="309" t="s">
        <v>151</v>
      </c>
      <c r="B19" s="310"/>
      <c r="C19" s="311"/>
    </row>
    <row r="20" spans="1:7" ht="10.5">
      <c r="A20" s="22" t="s">
        <v>152</v>
      </c>
      <c r="B20" s="22" t="s">
        <v>153</v>
      </c>
      <c r="C20" s="22" t="s">
        <v>154</v>
      </c>
    </row>
    <row r="21" spans="1:7" ht="10.5">
      <c r="A21" s="23" t="s">
        <v>155</v>
      </c>
      <c r="B21" s="24" t="s">
        <v>156</v>
      </c>
      <c r="C21" s="25" t="s">
        <v>144</v>
      </c>
    </row>
    <row r="22" spans="1:7" ht="10.5">
      <c r="A22" s="23" t="s">
        <v>157</v>
      </c>
      <c r="B22" s="24" t="s">
        <v>158</v>
      </c>
      <c r="C22" s="25" t="s">
        <v>144</v>
      </c>
    </row>
    <row r="23" spans="1:7" ht="10.5">
      <c r="A23" s="23" t="s">
        <v>159</v>
      </c>
      <c r="B23" s="24" t="s">
        <v>160</v>
      </c>
      <c r="C23" s="25" t="s">
        <v>144</v>
      </c>
    </row>
    <row r="24" spans="1:7" ht="10.5">
      <c r="A24" s="23" t="s">
        <v>161</v>
      </c>
      <c r="B24" s="24" t="s">
        <v>162</v>
      </c>
      <c r="C24" s="25" t="s">
        <v>144</v>
      </c>
    </row>
    <row r="25" spans="1:7" ht="10.5">
      <c r="A25" s="23" t="s">
        <v>163</v>
      </c>
      <c r="B25" s="24" t="s">
        <v>164</v>
      </c>
      <c r="C25" s="25" t="s">
        <v>144</v>
      </c>
    </row>
    <row r="26" spans="1:7">
      <c r="A26" s="23" t="s">
        <v>165</v>
      </c>
      <c r="B26" s="24" t="s">
        <v>166</v>
      </c>
      <c r="C26" s="25" t="s">
        <v>144</v>
      </c>
    </row>
    <row r="27" spans="1:7">
      <c r="A27" s="23" t="s">
        <v>167</v>
      </c>
      <c r="B27" s="24" t="s">
        <v>168</v>
      </c>
      <c r="C27" s="25" t="s">
        <v>144</v>
      </c>
    </row>
    <row r="28" spans="1:7">
      <c r="A28" s="23" t="s">
        <v>169</v>
      </c>
      <c r="B28" s="24" t="s">
        <v>170</v>
      </c>
      <c r="C28" s="25" t="s">
        <v>144</v>
      </c>
    </row>
    <row r="29" spans="1:7">
      <c r="A29" s="23" t="s">
        <v>171</v>
      </c>
      <c r="B29" s="24" t="s">
        <v>172</v>
      </c>
      <c r="C29" s="25" t="s">
        <v>144</v>
      </c>
    </row>
    <row r="30" spans="1:7">
      <c r="A30" s="23" t="s">
        <v>173</v>
      </c>
      <c r="B30" s="24" t="s">
        <v>174</v>
      </c>
      <c r="C30" s="25" t="s">
        <v>144</v>
      </c>
    </row>
    <row r="31" spans="1:7">
      <c r="A31" s="23" t="s">
        <v>175</v>
      </c>
      <c r="B31" s="24" t="s">
        <v>176</v>
      </c>
      <c r="C31" s="25" t="s">
        <v>144</v>
      </c>
    </row>
    <row r="32" spans="1:7">
      <c r="A32" s="23" t="s">
        <v>177</v>
      </c>
      <c r="B32" s="24" t="s">
        <v>178</v>
      </c>
      <c r="C32" s="25" t="s">
        <v>144</v>
      </c>
    </row>
    <row r="33" spans="1:3">
      <c r="A33" s="23" t="s">
        <v>179</v>
      </c>
      <c r="B33" s="24" t="s">
        <v>180</v>
      </c>
      <c r="C33" s="25" t="s">
        <v>144</v>
      </c>
    </row>
    <row r="34" spans="1:3">
      <c r="A34" s="23" t="s">
        <v>181</v>
      </c>
      <c r="B34" s="24" t="s">
        <v>182</v>
      </c>
      <c r="C34" s="25" t="s">
        <v>144</v>
      </c>
    </row>
    <row r="35" spans="1:3">
      <c r="A35" s="23" t="s">
        <v>183</v>
      </c>
      <c r="B35" s="24" t="s">
        <v>184</v>
      </c>
      <c r="C35" s="25" t="s">
        <v>144</v>
      </c>
    </row>
    <row r="36" spans="1:3">
      <c r="A36" s="23" t="s">
        <v>185</v>
      </c>
      <c r="B36" s="24" t="s">
        <v>186</v>
      </c>
      <c r="C36" s="25" t="s">
        <v>144</v>
      </c>
    </row>
    <row r="37" spans="1:3">
      <c r="A37" s="23" t="s">
        <v>187</v>
      </c>
      <c r="B37" s="24" t="s">
        <v>188</v>
      </c>
      <c r="C37" s="25" t="s">
        <v>144</v>
      </c>
    </row>
    <row r="38" spans="1:3">
      <c r="A38" s="23" t="s">
        <v>189</v>
      </c>
      <c r="B38" s="24" t="s">
        <v>190</v>
      </c>
      <c r="C38" s="25" t="s">
        <v>144</v>
      </c>
    </row>
    <row r="39" spans="1:3">
      <c r="A39" s="23" t="s">
        <v>191</v>
      </c>
      <c r="B39" s="24" t="s">
        <v>192</v>
      </c>
      <c r="C39" s="25" t="s">
        <v>144</v>
      </c>
    </row>
    <row r="40" spans="1:3">
      <c r="A40" s="23" t="s">
        <v>193</v>
      </c>
      <c r="B40" s="24" t="s">
        <v>194</v>
      </c>
      <c r="C40" s="25" t="s">
        <v>144</v>
      </c>
    </row>
    <row r="41" spans="1:3">
      <c r="A41" s="23" t="s">
        <v>195</v>
      </c>
      <c r="B41" s="24" t="s">
        <v>196</v>
      </c>
      <c r="C41" s="25" t="s">
        <v>144</v>
      </c>
    </row>
    <row r="42" spans="1:3">
      <c r="A42" s="23" t="s">
        <v>197</v>
      </c>
      <c r="B42" s="24" t="s">
        <v>198</v>
      </c>
      <c r="C42" s="25" t="s">
        <v>144</v>
      </c>
    </row>
    <row r="43" spans="1:3">
      <c r="A43" s="23" t="s">
        <v>199</v>
      </c>
      <c r="B43" s="24" t="s">
        <v>200</v>
      </c>
      <c r="C43" s="25" t="s">
        <v>144</v>
      </c>
    </row>
    <row r="44" spans="1:3">
      <c r="A44" s="23" t="s">
        <v>201</v>
      </c>
      <c r="B44" s="24" t="s">
        <v>202</v>
      </c>
      <c r="C44" s="25" t="s">
        <v>145</v>
      </c>
    </row>
    <row r="45" spans="1:3">
      <c r="A45" s="23" t="s">
        <v>203</v>
      </c>
      <c r="B45" s="24" t="s">
        <v>204</v>
      </c>
      <c r="C45" s="25" t="s">
        <v>145</v>
      </c>
    </row>
    <row r="46" spans="1:3">
      <c r="A46" s="23" t="s">
        <v>205</v>
      </c>
      <c r="B46" s="24" t="s">
        <v>206</v>
      </c>
      <c r="C46" s="25" t="s">
        <v>145</v>
      </c>
    </row>
    <row r="47" spans="1:3">
      <c r="A47" s="23" t="s">
        <v>207</v>
      </c>
      <c r="B47" s="24" t="s">
        <v>208</v>
      </c>
      <c r="C47" s="25" t="s">
        <v>145</v>
      </c>
    </row>
    <row r="48" spans="1:3">
      <c r="A48" s="23" t="s">
        <v>209</v>
      </c>
      <c r="B48" s="24" t="s">
        <v>210</v>
      </c>
      <c r="C48" s="25" t="s">
        <v>145</v>
      </c>
    </row>
    <row r="49" spans="1:3">
      <c r="A49" s="23" t="s">
        <v>211</v>
      </c>
      <c r="B49" s="24" t="s">
        <v>212</v>
      </c>
      <c r="C49" s="25" t="s">
        <v>145</v>
      </c>
    </row>
    <row r="50" spans="1:3">
      <c r="A50" s="23" t="s">
        <v>213</v>
      </c>
      <c r="B50" s="24" t="s">
        <v>214</v>
      </c>
      <c r="C50" s="25" t="s">
        <v>144</v>
      </c>
    </row>
    <row r="51" spans="1:3">
      <c r="A51" s="23" t="s">
        <v>215</v>
      </c>
      <c r="B51" s="24" t="s">
        <v>216</v>
      </c>
      <c r="C51" s="25" t="s">
        <v>144</v>
      </c>
    </row>
    <row r="52" spans="1:3">
      <c r="A52" s="23" t="s">
        <v>217</v>
      </c>
      <c r="B52" s="24" t="s">
        <v>218</v>
      </c>
      <c r="C52" s="25" t="s">
        <v>144</v>
      </c>
    </row>
    <row r="53" spans="1:3">
      <c r="A53" s="23" t="s">
        <v>219</v>
      </c>
      <c r="B53" s="24" t="s">
        <v>220</v>
      </c>
      <c r="C53" s="25" t="s">
        <v>144</v>
      </c>
    </row>
    <row r="54" spans="1:3">
      <c r="A54" s="23" t="s">
        <v>221</v>
      </c>
      <c r="B54" s="24" t="s">
        <v>222</v>
      </c>
      <c r="C54" s="25" t="s">
        <v>144</v>
      </c>
    </row>
    <row r="55" spans="1:3">
      <c r="A55" s="23" t="s">
        <v>223</v>
      </c>
      <c r="B55" s="24" t="s">
        <v>224</v>
      </c>
      <c r="C55" s="25" t="s">
        <v>144</v>
      </c>
    </row>
    <row r="56" spans="1:3">
      <c r="A56" s="23" t="s">
        <v>225</v>
      </c>
      <c r="B56" s="24" t="s">
        <v>226</v>
      </c>
      <c r="C56" s="25" t="s">
        <v>144</v>
      </c>
    </row>
    <row r="57" spans="1:3">
      <c r="A57" s="23" t="s">
        <v>227</v>
      </c>
      <c r="B57" s="24" t="s">
        <v>228</v>
      </c>
      <c r="C57" s="25" t="s">
        <v>144</v>
      </c>
    </row>
    <row r="58" spans="1:3">
      <c r="A58" s="23" t="s">
        <v>229</v>
      </c>
      <c r="B58" s="24" t="s">
        <v>230</v>
      </c>
      <c r="C58" s="25" t="s">
        <v>144</v>
      </c>
    </row>
    <row r="59" spans="1:3">
      <c r="A59" s="23" t="s">
        <v>231</v>
      </c>
      <c r="B59" s="24" t="s">
        <v>232</v>
      </c>
      <c r="C59" s="25" t="s">
        <v>144</v>
      </c>
    </row>
    <row r="60" spans="1:3">
      <c r="A60" s="23" t="s">
        <v>233</v>
      </c>
      <c r="B60" s="24" t="s">
        <v>234</v>
      </c>
      <c r="C60" s="25" t="s">
        <v>144</v>
      </c>
    </row>
    <row r="61" spans="1:3">
      <c r="A61" s="23" t="s">
        <v>235</v>
      </c>
      <c r="B61" s="24" t="s">
        <v>236</v>
      </c>
      <c r="C61" s="25" t="s">
        <v>144</v>
      </c>
    </row>
    <row r="62" spans="1:3">
      <c r="A62" s="23" t="s">
        <v>237</v>
      </c>
      <c r="B62" s="24" t="s">
        <v>238</v>
      </c>
      <c r="C62" s="25" t="s">
        <v>144</v>
      </c>
    </row>
    <row r="63" spans="1:3">
      <c r="A63" s="23" t="s">
        <v>239</v>
      </c>
      <c r="B63" s="24" t="s">
        <v>240</v>
      </c>
      <c r="C63" s="25" t="s">
        <v>144</v>
      </c>
    </row>
    <row r="64" spans="1:3">
      <c r="A64" s="23" t="s">
        <v>241</v>
      </c>
      <c r="B64" s="24" t="s">
        <v>242</v>
      </c>
      <c r="C64" s="25" t="s">
        <v>144</v>
      </c>
    </row>
    <row r="65" spans="1:3">
      <c r="A65" s="23" t="s">
        <v>243</v>
      </c>
      <c r="B65" s="24" t="s">
        <v>244</v>
      </c>
      <c r="C65" s="25" t="s">
        <v>144</v>
      </c>
    </row>
    <row r="66" spans="1:3">
      <c r="A66" s="23" t="s">
        <v>245</v>
      </c>
      <c r="B66" s="24" t="s">
        <v>246</v>
      </c>
      <c r="C66" s="25" t="s">
        <v>144</v>
      </c>
    </row>
    <row r="67" spans="1:3">
      <c r="A67" s="23" t="s">
        <v>247</v>
      </c>
      <c r="B67" s="24" t="s">
        <v>248</v>
      </c>
      <c r="C67" s="25" t="s">
        <v>144</v>
      </c>
    </row>
    <row r="68" spans="1:3">
      <c r="A68" s="23" t="s">
        <v>249</v>
      </c>
      <c r="B68" s="24" t="s">
        <v>250</v>
      </c>
      <c r="C68" s="25" t="s">
        <v>144</v>
      </c>
    </row>
    <row r="69" spans="1:3">
      <c r="A69" s="23" t="s">
        <v>251</v>
      </c>
      <c r="B69" s="24" t="s">
        <v>252</v>
      </c>
      <c r="C69" s="25" t="s">
        <v>144</v>
      </c>
    </row>
    <row r="70" spans="1:3">
      <c r="A70" s="23" t="s">
        <v>253</v>
      </c>
      <c r="B70" s="24" t="s">
        <v>254</v>
      </c>
      <c r="C70" s="25" t="s">
        <v>144</v>
      </c>
    </row>
    <row r="71" spans="1:3">
      <c r="A71" s="23" t="s">
        <v>255</v>
      </c>
      <c r="B71" s="24" t="s">
        <v>256</v>
      </c>
      <c r="C71" s="25" t="s">
        <v>144</v>
      </c>
    </row>
    <row r="72" spans="1:3">
      <c r="A72" s="23" t="s">
        <v>257</v>
      </c>
      <c r="B72" s="24" t="s">
        <v>258</v>
      </c>
      <c r="C72" s="25" t="s">
        <v>144</v>
      </c>
    </row>
    <row r="73" spans="1:3">
      <c r="A73" s="23" t="s">
        <v>259</v>
      </c>
      <c r="B73" s="24" t="s">
        <v>260</v>
      </c>
      <c r="C73" s="25" t="s">
        <v>145</v>
      </c>
    </row>
    <row r="74" spans="1:3">
      <c r="A74" s="26" t="s">
        <v>261</v>
      </c>
      <c r="B74" s="24" t="s">
        <v>262</v>
      </c>
      <c r="C74" s="25" t="s">
        <v>144</v>
      </c>
    </row>
    <row r="75" spans="1:3">
      <c r="A75" s="26" t="s">
        <v>263</v>
      </c>
      <c r="B75" s="24" t="s">
        <v>264</v>
      </c>
      <c r="C75" s="25" t="s">
        <v>144</v>
      </c>
    </row>
    <row r="76" spans="1:3">
      <c r="A76" s="26" t="s">
        <v>265</v>
      </c>
      <c r="B76" s="24" t="s">
        <v>266</v>
      </c>
      <c r="C76" s="25" t="s">
        <v>144</v>
      </c>
    </row>
    <row r="77" spans="1:3">
      <c r="A77" s="26" t="s">
        <v>267</v>
      </c>
      <c r="B77" s="24" t="s">
        <v>268</v>
      </c>
      <c r="C77" s="25" t="s">
        <v>144</v>
      </c>
    </row>
    <row r="78" spans="1:3">
      <c r="A78" s="26" t="s">
        <v>269</v>
      </c>
      <c r="B78" s="24" t="s">
        <v>270</v>
      </c>
      <c r="C78" s="25" t="s">
        <v>144</v>
      </c>
    </row>
    <row r="79" spans="1:3">
      <c r="A79" s="23" t="s">
        <v>271</v>
      </c>
      <c r="B79" s="24" t="s">
        <v>272</v>
      </c>
      <c r="C79" s="25" t="s">
        <v>144</v>
      </c>
    </row>
    <row r="80" spans="1:3">
      <c r="A80" s="23" t="s">
        <v>273</v>
      </c>
      <c r="B80" s="24" t="s">
        <v>274</v>
      </c>
      <c r="C80" s="25" t="s">
        <v>144</v>
      </c>
    </row>
    <row r="81" spans="1:3">
      <c r="A81" s="23" t="s">
        <v>275</v>
      </c>
      <c r="B81" s="24" t="s">
        <v>276</v>
      </c>
      <c r="C81" s="25" t="s">
        <v>144</v>
      </c>
    </row>
    <row r="82" spans="1:3">
      <c r="A82" s="23" t="s">
        <v>277</v>
      </c>
      <c r="B82" s="24" t="s">
        <v>278</v>
      </c>
      <c r="C82" s="25" t="s">
        <v>144</v>
      </c>
    </row>
    <row r="83" spans="1:3">
      <c r="A83" s="23" t="s">
        <v>279</v>
      </c>
      <c r="B83" s="24" t="s">
        <v>280</v>
      </c>
      <c r="C83" s="25" t="s">
        <v>144</v>
      </c>
    </row>
    <row r="84" spans="1:3">
      <c r="A84" s="23" t="s">
        <v>281</v>
      </c>
      <c r="B84" s="24" t="s">
        <v>282</v>
      </c>
      <c r="C84" s="25" t="s">
        <v>144</v>
      </c>
    </row>
    <row r="85" spans="1:3">
      <c r="A85" s="23" t="s">
        <v>283</v>
      </c>
      <c r="B85" s="24" t="s">
        <v>284</v>
      </c>
      <c r="C85" s="25" t="s">
        <v>144</v>
      </c>
    </row>
    <row r="86" spans="1:3">
      <c r="A86" s="23" t="s">
        <v>285</v>
      </c>
      <c r="B86" s="24" t="s">
        <v>286</v>
      </c>
      <c r="C86" s="25" t="s">
        <v>144</v>
      </c>
    </row>
    <row r="87" spans="1:3">
      <c r="A87" s="23" t="s">
        <v>287</v>
      </c>
      <c r="B87" s="24" t="s">
        <v>288</v>
      </c>
      <c r="C87" s="25" t="s">
        <v>144</v>
      </c>
    </row>
    <row r="88" spans="1:3">
      <c r="A88" s="23" t="s">
        <v>289</v>
      </c>
      <c r="B88" s="24" t="s">
        <v>290</v>
      </c>
      <c r="C88" s="25" t="s">
        <v>144</v>
      </c>
    </row>
    <row r="89" spans="1:3">
      <c r="A89" s="23" t="s">
        <v>291</v>
      </c>
      <c r="B89" s="24" t="s">
        <v>292</v>
      </c>
      <c r="C89" s="25" t="s">
        <v>144</v>
      </c>
    </row>
    <row r="90" spans="1:3">
      <c r="A90" s="23" t="s">
        <v>293</v>
      </c>
      <c r="B90" s="24" t="s">
        <v>294</v>
      </c>
      <c r="C90" s="25" t="s">
        <v>144</v>
      </c>
    </row>
    <row r="91" spans="1:3">
      <c r="A91" s="23" t="s">
        <v>295</v>
      </c>
      <c r="B91" s="24" t="s">
        <v>296</v>
      </c>
      <c r="C91" s="25" t="s">
        <v>144</v>
      </c>
    </row>
    <row r="92" spans="1:3">
      <c r="A92" s="23" t="s">
        <v>297</v>
      </c>
      <c r="B92" s="24" t="s">
        <v>298</v>
      </c>
      <c r="C92" s="25" t="s">
        <v>144</v>
      </c>
    </row>
    <row r="93" spans="1:3">
      <c r="A93" s="23" t="s">
        <v>299</v>
      </c>
      <c r="B93" s="24" t="s">
        <v>300</v>
      </c>
      <c r="C93" s="25" t="s">
        <v>144</v>
      </c>
    </row>
    <row r="94" spans="1:3">
      <c r="A94" s="23" t="s">
        <v>301</v>
      </c>
      <c r="B94" s="24" t="s">
        <v>302</v>
      </c>
      <c r="C94" s="25" t="s">
        <v>144</v>
      </c>
    </row>
    <row r="95" spans="1:3">
      <c r="A95" s="23" t="s">
        <v>303</v>
      </c>
      <c r="B95" s="24" t="s">
        <v>304</v>
      </c>
      <c r="C95" s="25" t="s">
        <v>144</v>
      </c>
    </row>
    <row r="96" spans="1:3">
      <c r="A96" s="23" t="s">
        <v>305</v>
      </c>
      <c r="B96" s="24" t="s">
        <v>306</v>
      </c>
      <c r="C96" s="25" t="s">
        <v>144</v>
      </c>
    </row>
    <row r="97" spans="1:3">
      <c r="A97" s="23" t="s">
        <v>307</v>
      </c>
      <c r="B97" s="24" t="s">
        <v>308</v>
      </c>
      <c r="C97" s="25" t="s">
        <v>144</v>
      </c>
    </row>
    <row r="98" spans="1:3">
      <c r="A98" s="23" t="s">
        <v>309</v>
      </c>
      <c r="B98" s="24" t="s">
        <v>310</v>
      </c>
      <c r="C98" s="25" t="s">
        <v>144</v>
      </c>
    </row>
    <row r="99" spans="1:3">
      <c r="A99" s="23" t="s">
        <v>311</v>
      </c>
      <c r="B99" s="24" t="s">
        <v>312</v>
      </c>
      <c r="C99" s="25" t="s">
        <v>144</v>
      </c>
    </row>
    <row r="100" spans="1:3">
      <c r="A100" s="23" t="s">
        <v>313</v>
      </c>
      <c r="B100" s="24" t="s">
        <v>314</v>
      </c>
      <c r="C100" s="25" t="s">
        <v>144</v>
      </c>
    </row>
    <row r="101" spans="1:3">
      <c r="A101" s="23" t="s">
        <v>315</v>
      </c>
      <c r="B101" s="24" t="s">
        <v>316</v>
      </c>
      <c r="C101" s="25" t="s">
        <v>144</v>
      </c>
    </row>
    <row r="102" spans="1:3">
      <c r="A102" s="23" t="s">
        <v>317</v>
      </c>
      <c r="B102" s="24" t="s">
        <v>318</v>
      </c>
      <c r="C102" s="25" t="s">
        <v>144</v>
      </c>
    </row>
    <row r="103" spans="1:3">
      <c r="A103" s="23" t="s">
        <v>319</v>
      </c>
      <c r="B103" s="24" t="s">
        <v>320</v>
      </c>
      <c r="C103" s="25" t="s">
        <v>144</v>
      </c>
    </row>
    <row r="104" spans="1:3">
      <c r="A104" s="23" t="s">
        <v>321</v>
      </c>
      <c r="B104" s="24" t="s">
        <v>322</v>
      </c>
      <c r="C104" s="25" t="s">
        <v>144</v>
      </c>
    </row>
    <row r="105" spans="1:3">
      <c r="A105" s="23" t="s">
        <v>323</v>
      </c>
      <c r="B105" s="24" t="s">
        <v>324</v>
      </c>
      <c r="C105" s="25" t="s">
        <v>144</v>
      </c>
    </row>
    <row r="106" spans="1:3">
      <c r="A106" s="23" t="s">
        <v>325</v>
      </c>
      <c r="B106" s="24" t="s">
        <v>326</v>
      </c>
      <c r="C106" s="25" t="s">
        <v>144</v>
      </c>
    </row>
    <row r="107" spans="1:3">
      <c r="A107" s="23" t="s">
        <v>327</v>
      </c>
      <c r="B107" s="24" t="s">
        <v>328</v>
      </c>
      <c r="C107" s="25" t="s">
        <v>144</v>
      </c>
    </row>
    <row r="108" spans="1:3">
      <c r="A108" s="23" t="s">
        <v>329</v>
      </c>
      <c r="B108" s="24" t="s">
        <v>330</v>
      </c>
      <c r="C108" s="25" t="s">
        <v>144</v>
      </c>
    </row>
    <row r="109" spans="1:3">
      <c r="A109" s="23" t="s">
        <v>331</v>
      </c>
      <c r="B109" s="24" t="s">
        <v>332</v>
      </c>
      <c r="C109" s="25" t="s">
        <v>144</v>
      </c>
    </row>
    <row r="110" spans="1:3">
      <c r="A110" s="23" t="s">
        <v>333</v>
      </c>
      <c r="B110" s="24" t="s">
        <v>334</v>
      </c>
      <c r="C110" s="25" t="s">
        <v>144</v>
      </c>
    </row>
    <row r="111" spans="1:3">
      <c r="A111" s="23" t="s">
        <v>335</v>
      </c>
      <c r="B111" s="24" t="s">
        <v>336</v>
      </c>
      <c r="C111" s="25" t="s">
        <v>144</v>
      </c>
    </row>
    <row r="112" spans="1:3">
      <c r="A112" s="23" t="s">
        <v>337</v>
      </c>
      <c r="B112" s="24" t="s">
        <v>338</v>
      </c>
      <c r="C112" s="25" t="s">
        <v>144</v>
      </c>
    </row>
    <row r="113" spans="1:3">
      <c r="A113" s="23" t="s">
        <v>339</v>
      </c>
      <c r="B113" s="24" t="s">
        <v>340</v>
      </c>
      <c r="C113" s="25" t="s">
        <v>144</v>
      </c>
    </row>
    <row r="114" spans="1:3">
      <c r="A114" s="23" t="s">
        <v>341</v>
      </c>
      <c r="B114" s="24" t="s">
        <v>342</v>
      </c>
      <c r="C114" s="25" t="s">
        <v>144</v>
      </c>
    </row>
    <row r="115" spans="1:3">
      <c r="A115" s="23" t="s">
        <v>343</v>
      </c>
      <c r="B115" s="24" t="s">
        <v>344</v>
      </c>
      <c r="C115" s="25" t="s">
        <v>144</v>
      </c>
    </row>
    <row r="116" spans="1:3">
      <c r="A116" s="23" t="s">
        <v>345</v>
      </c>
      <c r="B116" s="24" t="s">
        <v>346</v>
      </c>
      <c r="C116" s="25" t="s">
        <v>144</v>
      </c>
    </row>
    <row r="117" spans="1:3">
      <c r="A117" s="23" t="s">
        <v>347</v>
      </c>
      <c r="B117" s="24" t="s">
        <v>348</v>
      </c>
      <c r="C117" s="25" t="s">
        <v>144</v>
      </c>
    </row>
    <row r="118" spans="1:3">
      <c r="A118" s="23" t="s">
        <v>349</v>
      </c>
      <c r="B118" s="24" t="s">
        <v>350</v>
      </c>
      <c r="C118" s="25" t="s">
        <v>144</v>
      </c>
    </row>
    <row r="119" spans="1:3">
      <c r="A119" s="23" t="s">
        <v>351</v>
      </c>
      <c r="B119" s="24" t="s">
        <v>352</v>
      </c>
      <c r="C119" s="25" t="s">
        <v>144</v>
      </c>
    </row>
    <row r="120" spans="1:3">
      <c r="A120" s="23" t="s">
        <v>353</v>
      </c>
      <c r="B120" s="24" t="s">
        <v>354</v>
      </c>
      <c r="C120" s="25" t="s">
        <v>144</v>
      </c>
    </row>
    <row r="121" spans="1:3">
      <c r="A121" s="23" t="s">
        <v>355</v>
      </c>
      <c r="B121" s="24" t="s">
        <v>356</v>
      </c>
      <c r="C121" s="25" t="s">
        <v>144</v>
      </c>
    </row>
    <row r="122" spans="1:3">
      <c r="A122" s="23" t="s">
        <v>357</v>
      </c>
      <c r="B122" s="24" t="s">
        <v>358</v>
      </c>
      <c r="C122" s="25" t="s">
        <v>144</v>
      </c>
    </row>
    <row r="123" spans="1:3">
      <c r="A123" s="23" t="s">
        <v>359</v>
      </c>
      <c r="B123" s="24" t="s">
        <v>360</v>
      </c>
      <c r="C123" s="25" t="s">
        <v>144</v>
      </c>
    </row>
    <row r="124" spans="1:3">
      <c r="A124" s="23" t="s">
        <v>361</v>
      </c>
      <c r="B124" s="24" t="s">
        <v>362</v>
      </c>
      <c r="C124" s="25" t="s">
        <v>144</v>
      </c>
    </row>
    <row r="125" spans="1:3">
      <c r="A125" s="23" t="s">
        <v>363</v>
      </c>
      <c r="B125" s="24" t="s">
        <v>364</v>
      </c>
      <c r="C125" s="25" t="s">
        <v>144</v>
      </c>
    </row>
    <row r="126" spans="1:3">
      <c r="A126" s="23" t="s">
        <v>365</v>
      </c>
      <c r="B126" s="24" t="s">
        <v>366</v>
      </c>
      <c r="C126" s="25" t="s">
        <v>144</v>
      </c>
    </row>
    <row r="127" spans="1:3">
      <c r="A127" s="23" t="s">
        <v>367</v>
      </c>
      <c r="B127" s="24" t="s">
        <v>368</v>
      </c>
      <c r="C127" s="25" t="s">
        <v>144</v>
      </c>
    </row>
    <row r="128" spans="1:3">
      <c r="A128" s="23" t="s">
        <v>369</v>
      </c>
      <c r="B128" s="24" t="s">
        <v>370</v>
      </c>
      <c r="C128" s="25" t="s">
        <v>144</v>
      </c>
    </row>
    <row r="129" spans="1:3">
      <c r="A129" s="23" t="s">
        <v>371</v>
      </c>
      <c r="B129" s="24" t="s">
        <v>372</v>
      </c>
      <c r="C129" s="25" t="s">
        <v>144</v>
      </c>
    </row>
    <row r="130" spans="1:3">
      <c r="A130" s="23" t="s">
        <v>373</v>
      </c>
      <c r="B130" s="24" t="s">
        <v>374</v>
      </c>
      <c r="C130" s="25" t="s">
        <v>144</v>
      </c>
    </row>
    <row r="131" spans="1:3">
      <c r="A131" s="23" t="s">
        <v>375</v>
      </c>
      <c r="B131" s="24" t="s">
        <v>376</v>
      </c>
      <c r="C131" s="25" t="s">
        <v>144</v>
      </c>
    </row>
    <row r="132" spans="1:3">
      <c r="A132" s="23" t="s">
        <v>377</v>
      </c>
      <c r="B132" s="24" t="s">
        <v>378</v>
      </c>
      <c r="C132" s="25" t="s">
        <v>144</v>
      </c>
    </row>
    <row r="133" spans="1:3">
      <c r="A133" s="23" t="s">
        <v>379</v>
      </c>
      <c r="B133" s="24" t="s">
        <v>380</v>
      </c>
      <c r="C133" s="25" t="s">
        <v>144</v>
      </c>
    </row>
    <row r="134" spans="1:3">
      <c r="A134" s="23" t="s">
        <v>381</v>
      </c>
      <c r="B134" s="24" t="s">
        <v>382</v>
      </c>
      <c r="C134" s="25" t="s">
        <v>144</v>
      </c>
    </row>
    <row r="135" spans="1:3">
      <c r="A135" s="23" t="s">
        <v>383</v>
      </c>
      <c r="B135" s="24" t="s">
        <v>384</v>
      </c>
      <c r="C135" s="25" t="s">
        <v>144</v>
      </c>
    </row>
    <row r="136" spans="1:3">
      <c r="A136" s="23" t="s">
        <v>385</v>
      </c>
      <c r="B136" s="24" t="s">
        <v>386</v>
      </c>
      <c r="C136" s="25" t="s">
        <v>144</v>
      </c>
    </row>
    <row r="137" spans="1:3">
      <c r="A137" s="23" t="s">
        <v>387</v>
      </c>
      <c r="B137" s="24" t="s">
        <v>388</v>
      </c>
      <c r="C137" s="25" t="s">
        <v>144</v>
      </c>
    </row>
    <row r="138" spans="1:3">
      <c r="A138" s="23" t="s">
        <v>389</v>
      </c>
      <c r="B138" s="24" t="s">
        <v>390</v>
      </c>
      <c r="C138" s="25" t="s">
        <v>144</v>
      </c>
    </row>
    <row r="139" spans="1:3">
      <c r="A139" s="23" t="s">
        <v>391</v>
      </c>
      <c r="B139" s="24" t="s">
        <v>392</v>
      </c>
      <c r="C139" s="25" t="s">
        <v>144</v>
      </c>
    </row>
    <row r="140" spans="1:3">
      <c r="A140" s="23" t="s">
        <v>393</v>
      </c>
      <c r="B140" s="24" t="s">
        <v>394</v>
      </c>
      <c r="C140" s="25" t="s">
        <v>144</v>
      </c>
    </row>
    <row r="141" spans="1:3">
      <c r="A141" s="23" t="s">
        <v>395</v>
      </c>
      <c r="B141" s="24" t="s">
        <v>396</v>
      </c>
      <c r="C141" s="25" t="s">
        <v>144</v>
      </c>
    </row>
    <row r="142" spans="1:3">
      <c r="A142" s="23" t="s">
        <v>397</v>
      </c>
      <c r="B142" s="24" t="s">
        <v>398</v>
      </c>
      <c r="C142" s="25" t="s">
        <v>144</v>
      </c>
    </row>
    <row r="143" spans="1:3">
      <c r="A143" s="23" t="s">
        <v>399</v>
      </c>
      <c r="B143" s="24" t="s">
        <v>400</v>
      </c>
      <c r="C143" s="25" t="s">
        <v>144</v>
      </c>
    </row>
    <row r="144" spans="1:3">
      <c r="A144" s="23" t="s">
        <v>401</v>
      </c>
      <c r="B144" s="24" t="s">
        <v>402</v>
      </c>
      <c r="C144" s="25" t="s">
        <v>144</v>
      </c>
    </row>
    <row r="145" spans="1:3">
      <c r="A145" s="23" t="s">
        <v>403</v>
      </c>
      <c r="B145" s="24" t="s">
        <v>404</v>
      </c>
      <c r="C145" s="25" t="s">
        <v>144</v>
      </c>
    </row>
    <row r="146" spans="1:3">
      <c r="A146" s="23" t="s">
        <v>405</v>
      </c>
      <c r="B146" s="24" t="s">
        <v>406</v>
      </c>
      <c r="C146" s="25" t="s">
        <v>144</v>
      </c>
    </row>
    <row r="147" spans="1:3">
      <c r="A147" s="23" t="s">
        <v>407</v>
      </c>
      <c r="B147" s="24" t="s">
        <v>408</v>
      </c>
      <c r="C147" s="25" t="s">
        <v>144</v>
      </c>
    </row>
    <row r="148" spans="1:3">
      <c r="A148" s="23" t="s">
        <v>409</v>
      </c>
      <c r="B148" s="24" t="s">
        <v>410</v>
      </c>
      <c r="C148" s="25" t="s">
        <v>144</v>
      </c>
    </row>
    <row r="149" spans="1:3">
      <c r="A149" s="23" t="s">
        <v>411</v>
      </c>
      <c r="B149" s="24" t="s">
        <v>412</v>
      </c>
      <c r="C149" s="25" t="s">
        <v>144</v>
      </c>
    </row>
    <row r="150" spans="1:3">
      <c r="A150" s="23" t="s">
        <v>413</v>
      </c>
      <c r="B150" s="24" t="s">
        <v>414</v>
      </c>
      <c r="C150" s="25" t="s">
        <v>144</v>
      </c>
    </row>
    <row r="151" spans="1:3">
      <c r="A151" s="23" t="s">
        <v>415</v>
      </c>
      <c r="B151" s="24" t="s">
        <v>416</v>
      </c>
      <c r="C151" s="25" t="s">
        <v>144</v>
      </c>
    </row>
    <row r="152" spans="1:3">
      <c r="A152" s="23" t="s">
        <v>417</v>
      </c>
      <c r="B152" s="24" t="s">
        <v>418</v>
      </c>
      <c r="C152" s="25" t="s">
        <v>144</v>
      </c>
    </row>
    <row r="153" spans="1:3">
      <c r="A153" s="23" t="s">
        <v>419</v>
      </c>
      <c r="B153" s="24" t="s">
        <v>420</v>
      </c>
      <c r="C153" s="25" t="s">
        <v>144</v>
      </c>
    </row>
    <row r="154" spans="1:3">
      <c r="A154" s="23" t="s">
        <v>421</v>
      </c>
      <c r="B154" s="24" t="s">
        <v>422</v>
      </c>
      <c r="C154" s="25" t="s">
        <v>144</v>
      </c>
    </row>
    <row r="155" spans="1:3">
      <c r="A155" s="23" t="s">
        <v>423</v>
      </c>
      <c r="B155" s="24" t="s">
        <v>424</v>
      </c>
      <c r="C155" s="25" t="s">
        <v>144</v>
      </c>
    </row>
    <row r="156" spans="1:3">
      <c r="A156" s="23" t="s">
        <v>425</v>
      </c>
      <c r="B156" s="24" t="s">
        <v>426</v>
      </c>
      <c r="C156" s="25" t="s">
        <v>144</v>
      </c>
    </row>
    <row r="157" spans="1:3">
      <c r="A157" s="23" t="s">
        <v>427</v>
      </c>
      <c r="B157" s="24" t="s">
        <v>428</v>
      </c>
      <c r="C157" s="25" t="s">
        <v>144</v>
      </c>
    </row>
    <row r="158" spans="1:3">
      <c r="A158" s="23" t="s">
        <v>429</v>
      </c>
      <c r="B158" s="24" t="s">
        <v>430</v>
      </c>
      <c r="C158" s="25" t="s">
        <v>144</v>
      </c>
    </row>
    <row r="159" spans="1:3">
      <c r="A159" s="23" t="s">
        <v>431</v>
      </c>
      <c r="B159" s="24" t="s">
        <v>432</v>
      </c>
      <c r="C159" s="25" t="s">
        <v>144</v>
      </c>
    </row>
    <row r="160" spans="1:3">
      <c r="A160" s="23" t="s">
        <v>433</v>
      </c>
      <c r="B160" s="24" t="s">
        <v>434</v>
      </c>
      <c r="C160" s="25" t="s">
        <v>144</v>
      </c>
    </row>
    <row r="161" spans="1:3">
      <c r="A161" s="23" t="s">
        <v>435</v>
      </c>
      <c r="B161" s="24" t="s">
        <v>436</v>
      </c>
      <c r="C161" s="25" t="s">
        <v>144</v>
      </c>
    </row>
    <row r="162" spans="1:3">
      <c r="A162" s="23" t="s">
        <v>437</v>
      </c>
      <c r="B162" s="24" t="s">
        <v>438</v>
      </c>
      <c r="C162" s="25" t="s">
        <v>144</v>
      </c>
    </row>
    <row r="163" spans="1:3">
      <c r="A163" s="23" t="s">
        <v>439</v>
      </c>
      <c r="B163" s="24" t="s">
        <v>440</v>
      </c>
      <c r="C163" s="25" t="s">
        <v>144</v>
      </c>
    </row>
    <row r="164" spans="1:3">
      <c r="A164" s="23" t="s">
        <v>441</v>
      </c>
      <c r="B164" s="24" t="s">
        <v>442</v>
      </c>
      <c r="C164" s="25" t="s">
        <v>144</v>
      </c>
    </row>
    <row r="165" spans="1:3">
      <c r="A165" s="23" t="s">
        <v>443</v>
      </c>
      <c r="B165" s="24" t="s">
        <v>444</v>
      </c>
      <c r="C165" s="25" t="s">
        <v>144</v>
      </c>
    </row>
    <row r="166" spans="1:3">
      <c r="A166" s="23" t="s">
        <v>445</v>
      </c>
      <c r="B166" s="24" t="s">
        <v>446</v>
      </c>
      <c r="C166" s="25" t="s">
        <v>144</v>
      </c>
    </row>
    <row r="167" spans="1:3">
      <c r="A167" s="23" t="s">
        <v>447</v>
      </c>
      <c r="B167" s="24" t="s">
        <v>448</v>
      </c>
      <c r="C167" s="25" t="s">
        <v>144</v>
      </c>
    </row>
    <row r="168" spans="1:3">
      <c r="A168" s="23" t="s">
        <v>449</v>
      </c>
      <c r="B168" s="24" t="s">
        <v>450</v>
      </c>
      <c r="C168" s="25" t="s">
        <v>144</v>
      </c>
    </row>
    <row r="169" spans="1:3">
      <c r="A169" s="23" t="s">
        <v>451</v>
      </c>
      <c r="B169" s="24" t="s">
        <v>452</v>
      </c>
      <c r="C169" s="25" t="s">
        <v>144</v>
      </c>
    </row>
    <row r="170" spans="1:3">
      <c r="A170" s="23" t="s">
        <v>453</v>
      </c>
      <c r="B170" s="24" t="s">
        <v>454</v>
      </c>
      <c r="C170" s="25" t="s">
        <v>144</v>
      </c>
    </row>
    <row r="171" spans="1:3">
      <c r="A171" s="23" t="s">
        <v>455</v>
      </c>
      <c r="B171" s="24" t="s">
        <v>456</v>
      </c>
      <c r="C171" s="25" t="s">
        <v>144</v>
      </c>
    </row>
    <row r="172" spans="1:3">
      <c r="A172" s="23" t="s">
        <v>457</v>
      </c>
      <c r="B172" s="24" t="s">
        <v>458</v>
      </c>
      <c r="C172" s="25" t="s">
        <v>144</v>
      </c>
    </row>
    <row r="173" spans="1:3">
      <c r="A173" s="23" t="s">
        <v>459</v>
      </c>
      <c r="B173" s="24" t="s">
        <v>460</v>
      </c>
      <c r="C173" s="25" t="s">
        <v>144</v>
      </c>
    </row>
    <row r="174" spans="1:3">
      <c r="A174" s="23" t="s">
        <v>461</v>
      </c>
      <c r="B174" s="24" t="s">
        <v>462</v>
      </c>
      <c r="C174" s="25" t="s">
        <v>144</v>
      </c>
    </row>
    <row r="175" spans="1:3">
      <c r="A175" s="23" t="s">
        <v>463</v>
      </c>
      <c r="B175" s="24" t="s">
        <v>464</v>
      </c>
      <c r="C175" s="25" t="s">
        <v>144</v>
      </c>
    </row>
    <row r="176" spans="1:3">
      <c r="A176" s="23" t="s">
        <v>465</v>
      </c>
      <c r="B176" s="24" t="s">
        <v>466</v>
      </c>
      <c r="C176" s="25" t="s">
        <v>144</v>
      </c>
    </row>
    <row r="177" spans="1:3">
      <c r="A177" s="23" t="s">
        <v>467</v>
      </c>
      <c r="B177" s="24" t="s">
        <v>468</v>
      </c>
      <c r="C177" s="25" t="s">
        <v>144</v>
      </c>
    </row>
    <row r="178" spans="1:3">
      <c r="A178" s="23" t="s">
        <v>469</v>
      </c>
      <c r="B178" s="24" t="s">
        <v>470</v>
      </c>
      <c r="C178" s="25" t="s">
        <v>144</v>
      </c>
    </row>
    <row r="179" spans="1:3">
      <c r="A179" s="23" t="s">
        <v>471</v>
      </c>
      <c r="B179" s="24" t="s">
        <v>472</v>
      </c>
      <c r="C179" s="25" t="s">
        <v>144</v>
      </c>
    </row>
    <row r="180" spans="1:3">
      <c r="A180" s="23" t="s">
        <v>473</v>
      </c>
      <c r="B180" s="24" t="s">
        <v>474</v>
      </c>
      <c r="C180" s="25" t="s">
        <v>144</v>
      </c>
    </row>
    <row r="181" spans="1:3">
      <c r="A181" s="23" t="s">
        <v>475</v>
      </c>
      <c r="B181" s="24" t="s">
        <v>476</v>
      </c>
      <c r="C181" s="25" t="s">
        <v>144</v>
      </c>
    </row>
    <row r="182" spans="1:3">
      <c r="A182" s="23" t="s">
        <v>477</v>
      </c>
      <c r="B182" s="24" t="s">
        <v>478</v>
      </c>
      <c r="C182" s="25" t="s">
        <v>144</v>
      </c>
    </row>
    <row r="183" spans="1:3">
      <c r="A183" s="23" t="s">
        <v>479</v>
      </c>
      <c r="B183" s="24" t="s">
        <v>480</v>
      </c>
      <c r="C183" s="25" t="s">
        <v>144</v>
      </c>
    </row>
    <row r="184" spans="1:3">
      <c r="A184" s="23" t="s">
        <v>481</v>
      </c>
      <c r="B184" s="24" t="s">
        <v>482</v>
      </c>
      <c r="C184" s="25" t="s">
        <v>144</v>
      </c>
    </row>
    <row r="185" spans="1:3">
      <c r="A185" s="23" t="s">
        <v>483</v>
      </c>
      <c r="B185" s="24" t="s">
        <v>484</v>
      </c>
      <c r="C185" s="25" t="s">
        <v>144</v>
      </c>
    </row>
    <row r="186" spans="1:3">
      <c r="A186" s="23" t="s">
        <v>485</v>
      </c>
      <c r="B186" s="24" t="s">
        <v>486</v>
      </c>
      <c r="C186" s="25" t="s">
        <v>144</v>
      </c>
    </row>
    <row r="187" spans="1:3">
      <c r="A187" s="23" t="s">
        <v>487</v>
      </c>
      <c r="B187" s="24" t="s">
        <v>488</v>
      </c>
      <c r="C187" s="25" t="s">
        <v>144</v>
      </c>
    </row>
    <row r="188" spans="1:3">
      <c r="A188" s="23" t="s">
        <v>489</v>
      </c>
      <c r="B188" s="24" t="s">
        <v>490</v>
      </c>
      <c r="C188" s="25" t="s">
        <v>144</v>
      </c>
    </row>
    <row r="189" spans="1:3">
      <c r="A189" s="23" t="s">
        <v>491</v>
      </c>
      <c r="B189" s="24" t="s">
        <v>492</v>
      </c>
      <c r="C189" s="25" t="s">
        <v>144</v>
      </c>
    </row>
    <row r="190" spans="1:3">
      <c r="A190" s="23" t="s">
        <v>493</v>
      </c>
      <c r="B190" s="24" t="s">
        <v>494</v>
      </c>
      <c r="C190" s="25" t="s">
        <v>144</v>
      </c>
    </row>
    <row r="191" spans="1:3">
      <c r="A191" s="23" t="s">
        <v>495</v>
      </c>
      <c r="B191" s="24" t="s">
        <v>496</v>
      </c>
      <c r="C191" s="25" t="s">
        <v>144</v>
      </c>
    </row>
    <row r="192" spans="1:3">
      <c r="A192" s="23" t="s">
        <v>497</v>
      </c>
      <c r="B192" s="24" t="s">
        <v>498</v>
      </c>
      <c r="C192" s="25" t="s">
        <v>144</v>
      </c>
    </row>
    <row r="193" spans="1:3">
      <c r="A193" s="23" t="s">
        <v>499</v>
      </c>
      <c r="B193" s="24" t="s">
        <v>500</v>
      </c>
      <c r="C193" s="25" t="s">
        <v>144</v>
      </c>
    </row>
    <row r="194" spans="1:3">
      <c r="A194" s="23" t="s">
        <v>501</v>
      </c>
      <c r="B194" s="24" t="s">
        <v>502</v>
      </c>
      <c r="C194" s="25" t="s">
        <v>144</v>
      </c>
    </row>
    <row r="195" spans="1:3">
      <c r="A195" s="23" t="s">
        <v>503</v>
      </c>
      <c r="B195" s="24" t="s">
        <v>504</v>
      </c>
      <c r="C195" s="25" t="s">
        <v>144</v>
      </c>
    </row>
    <row r="196" spans="1:3">
      <c r="A196" s="23" t="s">
        <v>505</v>
      </c>
      <c r="B196" s="24" t="s">
        <v>506</v>
      </c>
      <c r="C196" s="25" t="s">
        <v>144</v>
      </c>
    </row>
    <row r="197" spans="1:3">
      <c r="A197" s="23" t="s">
        <v>507</v>
      </c>
      <c r="B197" s="24" t="s">
        <v>508</v>
      </c>
      <c r="C197" s="25" t="s">
        <v>144</v>
      </c>
    </row>
    <row r="198" spans="1:3">
      <c r="A198" s="23" t="s">
        <v>509</v>
      </c>
      <c r="B198" s="24" t="s">
        <v>510</v>
      </c>
      <c r="C198" s="25" t="s">
        <v>144</v>
      </c>
    </row>
    <row r="199" spans="1:3">
      <c r="A199" s="23" t="s">
        <v>511</v>
      </c>
      <c r="B199" s="24" t="s">
        <v>512</v>
      </c>
      <c r="C199" s="25" t="s">
        <v>144</v>
      </c>
    </row>
    <row r="200" spans="1:3">
      <c r="A200" s="23" t="s">
        <v>513</v>
      </c>
      <c r="B200" s="24" t="s">
        <v>514</v>
      </c>
      <c r="C200" s="25" t="s">
        <v>144</v>
      </c>
    </row>
    <row r="201" spans="1:3">
      <c r="A201" s="23" t="s">
        <v>515</v>
      </c>
      <c r="B201" s="24" t="s">
        <v>516</v>
      </c>
      <c r="C201" s="25" t="s">
        <v>144</v>
      </c>
    </row>
    <row r="202" spans="1:3">
      <c r="A202" s="23" t="s">
        <v>517</v>
      </c>
      <c r="B202" s="24" t="s">
        <v>518</v>
      </c>
      <c r="C202" s="25" t="s">
        <v>144</v>
      </c>
    </row>
    <row r="203" spans="1:3">
      <c r="A203" s="23" t="s">
        <v>519</v>
      </c>
      <c r="B203" s="24" t="s">
        <v>520</v>
      </c>
      <c r="C203" s="25" t="s">
        <v>144</v>
      </c>
    </row>
    <row r="204" spans="1:3">
      <c r="A204" s="23" t="s">
        <v>521</v>
      </c>
      <c r="B204" s="24" t="s">
        <v>522</v>
      </c>
      <c r="C204" s="25" t="s">
        <v>144</v>
      </c>
    </row>
    <row r="205" spans="1:3">
      <c r="A205" s="23" t="s">
        <v>523</v>
      </c>
      <c r="B205" s="24" t="s">
        <v>524</v>
      </c>
      <c r="C205" s="25" t="s">
        <v>144</v>
      </c>
    </row>
    <row r="206" spans="1:3">
      <c r="A206" s="23" t="s">
        <v>525</v>
      </c>
      <c r="B206" s="24" t="s">
        <v>526</v>
      </c>
      <c r="C206" s="25" t="s">
        <v>144</v>
      </c>
    </row>
    <row r="207" spans="1:3">
      <c r="A207" s="23" t="s">
        <v>527</v>
      </c>
      <c r="B207" s="24" t="s">
        <v>528</v>
      </c>
      <c r="C207" s="25" t="s">
        <v>144</v>
      </c>
    </row>
    <row r="208" spans="1:3">
      <c r="A208" s="23" t="s">
        <v>529</v>
      </c>
      <c r="B208" s="24" t="s">
        <v>530</v>
      </c>
      <c r="C208" s="25" t="s">
        <v>144</v>
      </c>
    </row>
    <row r="209" spans="1:3">
      <c r="A209" s="23" t="s">
        <v>531</v>
      </c>
      <c r="B209" s="24" t="s">
        <v>532</v>
      </c>
      <c r="C209" s="25" t="s">
        <v>144</v>
      </c>
    </row>
    <row r="210" spans="1:3">
      <c r="A210" s="23" t="s">
        <v>533</v>
      </c>
      <c r="B210" s="24" t="s">
        <v>534</v>
      </c>
      <c r="C210" s="25" t="s">
        <v>144</v>
      </c>
    </row>
    <row r="211" spans="1:3">
      <c r="A211" s="23" t="s">
        <v>535</v>
      </c>
      <c r="B211" s="24" t="s">
        <v>536</v>
      </c>
      <c r="C211" s="25" t="s">
        <v>144</v>
      </c>
    </row>
    <row r="212" spans="1:3">
      <c r="A212" s="23" t="s">
        <v>537</v>
      </c>
      <c r="B212" s="24" t="s">
        <v>538</v>
      </c>
      <c r="C212" s="25" t="s">
        <v>144</v>
      </c>
    </row>
    <row r="213" spans="1:3">
      <c r="A213" s="23" t="s">
        <v>539</v>
      </c>
      <c r="B213" s="24" t="s">
        <v>540</v>
      </c>
      <c r="C213" s="25" t="s">
        <v>144</v>
      </c>
    </row>
    <row r="214" spans="1:3">
      <c r="A214" s="23" t="s">
        <v>541</v>
      </c>
      <c r="B214" s="24" t="s">
        <v>542</v>
      </c>
      <c r="C214" s="25" t="s">
        <v>144</v>
      </c>
    </row>
    <row r="215" spans="1:3">
      <c r="A215" s="23" t="s">
        <v>543</v>
      </c>
      <c r="B215" s="24" t="s">
        <v>544</v>
      </c>
      <c r="C215" s="25" t="s">
        <v>144</v>
      </c>
    </row>
    <row r="216" spans="1:3">
      <c r="A216" s="23" t="s">
        <v>545</v>
      </c>
      <c r="B216" s="24" t="s">
        <v>546</v>
      </c>
      <c r="C216" s="25" t="s">
        <v>145</v>
      </c>
    </row>
    <row r="217" spans="1:3">
      <c r="A217" s="23" t="s">
        <v>547</v>
      </c>
      <c r="B217" s="24" t="s">
        <v>548</v>
      </c>
      <c r="C217" s="25" t="s">
        <v>145</v>
      </c>
    </row>
    <row r="218" spans="1:3">
      <c r="A218" s="23" t="s">
        <v>549</v>
      </c>
      <c r="B218" s="24" t="s">
        <v>550</v>
      </c>
      <c r="C218" s="25" t="s">
        <v>145</v>
      </c>
    </row>
    <row r="219" spans="1:3">
      <c r="A219" s="23" t="s">
        <v>551</v>
      </c>
      <c r="B219" s="24" t="s">
        <v>552</v>
      </c>
      <c r="C219" s="25" t="s">
        <v>145</v>
      </c>
    </row>
    <row r="220" spans="1:3">
      <c r="A220" s="23" t="s">
        <v>553</v>
      </c>
      <c r="B220" s="24" t="s">
        <v>554</v>
      </c>
      <c r="C220" s="25" t="s">
        <v>145</v>
      </c>
    </row>
    <row r="221" spans="1:3">
      <c r="A221" s="23" t="s">
        <v>555</v>
      </c>
      <c r="B221" s="24" t="s">
        <v>556</v>
      </c>
      <c r="C221" s="25" t="s">
        <v>145</v>
      </c>
    </row>
    <row r="222" spans="1:3">
      <c r="A222" s="23" t="s">
        <v>557</v>
      </c>
      <c r="B222" s="24" t="s">
        <v>558</v>
      </c>
      <c r="C222" s="25" t="s">
        <v>145</v>
      </c>
    </row>
    <row r="223" spans="1:3">
      <c r="A223" s="23" t="s">
        <v>559</v>
      </c>
      <c r="B223" s="24" t="s">
        <v>560</v>
      </c>
      <c r="C223" s="25" t="s">
        <v>145</v>
      </c>
    </row>
    <row r="224" spans="1:3">
      <c r="A224" s="23" t="s">
        <v>561</v>
      </c>
      <c r="B224" s="24" t="s">
        <v>562</v>
      </c>
      <c r="C224" s="25" t="s">
        <v>145</v>
      </c>
    </row>
    <row r="225" spans="1:3">
      <c r="A225" s="23" t="s">
        <v>563</v>
      </c>
      <c r="B225" s="24" t="s">
        <v>564</v>
      </c>
      <c r="C225" s="25" t="s">
        <v>145</v>
      </c>
    </row>
    <row r="226" spans="1:3">
      <c r="A226" s="23" t="s">
        <v>565</v>
      </c>
      <c r="B226" s="24" t="s">
        <v>566</v>
      </c>
      <c r="C226" s="25" t="s">
        <v>145</v>
      </c>
    </row>
    <row r="227" spans="1:3">
      <c r="A227" s="23" t="s">
        <v>567</v>
      </c>
      <c r="B227" s="24" t="s">
        <v>568</v>
      </c>
      <c r="C227" s="25" t="s">
        <v>145</v>
      </c>
    </row>
    <row r="228" spans="1:3">
      <c r="A228" s="23" t="s">
        <v>569</v>
      </c>
      <c r="B228" s="24" t="s">
        <v>570</v>
      </c>
      <c r="C228" s="25" t="s">
        <v>145</v>
      </c>
    </row>
    <row r="229" spans="1:3">
      <c r="A229" s="23" t="s">
        <v>571</v>
      </c>
      <c r="B229" s="24" t="s">
        <v>572</v>
      </c>
      <c r="C229" s="25" t="s">
        <v>145</v>
      </c>
    </row>
    <row r="230" spans="1:3">
      <c r="A230" s="23" t="s">
        <v>573</v>
      </c>
      <c r="B230" s="24" t="s">
        <v>574</v>
      </c>
      <c r="C230" s="25" t="s">
        <v>145</v>
      </c>
    </row>
    <row r="231" spans="1:3">
      <c r="A231" s="23" t="s">
        <v>575</v>
      </c>
      <c r="B231" s="24" t="s">
        <v>576</v>
      </c>
      <c r="C231" s="25" t="s">
        <v>145</v>
      </c>
    </row>
    <row r="232" spans="1:3">
      <c r="A232" s="23" t="s">
        <v>577</v>
      </c>
      <c r="B232" s="24" t="s">
        <v>578</v>
      </c>
      <c r="C232" s="25" t="s">
        <v>145</v>
      </c>
    </row>
    <row r="233" spans="1:3">
      <c r="A233" s="23" t="s">
        <v>579</v>
      </c>
      <c r="B233" s="24" t="s">
        <v>580</v>
      </c>
      <c r="C233" s="25" t="s">
        <v>145</v>
      </c>
    </row>
    <row r="234" spans="1:3">
      <c r="A234" s="23" t="s">
        <v>581</v>
      </c>
      <c r="B234" s="24" t="s">
        <v>582</v>
      </c>
      <c r="C234" s="25" t="s">
        <v>145</v>
      </c>
    </row>
    <row r="235" spans="1:3">
      <c r="A235" s="23" t="s">
        <v>583</v>
      </c>
      <c r="B235" s="24" t="s">
        <v>584</v>
      </c>
      <c r="C235" s="25" t="s">
        <v>145</v>
      </c>
    </row>
    <row r="236" spans="1:3">
      <c r="A236" s="23" t="s">
        <v>585</v>
      </c>
      <c r="B236" s="24" t="s">
        <v>586</v>
      </c>
      <c r="C236" s="25" t="s">
        <v>145</v>
      </c>
    </row>
    <row r="237" spans="1:3">
      <c r="A237" s="23" t="s">
        <v>587</v>
      </c>
      <c r="B237" s="24" t="s">
        <v>588</v>
      </c>
      <c r="C237" s="25" t="s">
        <v>145</v>
      </c>
    </row>
    <row r="238" spans="1:3">
      <c r="A238" s="23" t="s">
        <v>589</v>
      </c>
      <c r="B238" s="24" t="s">
        <v>590</v>
      </c>
      <c r="C238" s="25" t="s">
        <v>145</v>
      </c>
    </row>
    <row r="239" spans="1:3">
      <c r="A239" s="23" t="s">
        <v>591</v>
      </c>
      <c r="B239" s="24" t="s">
        <v>592</v>
      </c>
      <c r="C239" s="25" t="s">
        <v>145</v>
      </c>
    </row>
    <row r="240" spans="1:3">
      <c r="A240" s="23" t="s">
        <v>593</v>
      </c>
      <c r="B240" s="24" t="s">
        <v>594</v>
      </c>
      <c r="C240" s="25" t="s">
        <v>145</v>
      </c>
    </row>
    <row r="241" spans="1:3">
      <c r="A241" s="23" t="s">
        <v>595</v>
      </c>
      <c r="B241" s="24" t="s">
        <v>596</v>
      </c>
      <c r="C241" s="25" t="s">
        <v>145</v>
      </c>
    </row>
    <row r="242" spans="1:3">
      <c r="A242" s="23" t="s">
        <v>597</v>
      </c>
      <c r="B242" s="24" t="s">
        <v>598</v>
      </c>
      <c r="C242" s="25" t="s">
        <v>145</v>
      </c>
    </row>
    <row r="243" spans="1:3">
      <c r="A243" s="23" t="s">
        <v>599</v>
      </c>
      <c r="B243" s="24" t="s">
        <v>600</v>
      </c>
      <c r="C243" s="25" t="s">
        <v>145</v>
      </c>
    </row>
    <row r="244" spans="1:3">
      <c r="A244" s="23" t="s">
        <v>601</v>
      </c>
      <c r="B244" s="24" t="s">
        <v>602</v>
      </c>
      <c r="C244" s="25" t="s">
        <v>145</v>
      </c>
    </row>
    <row r="245" spans="1:3">
      <c r="A245" s="23" t="s">
        <v>603</v>
      </c>
      <c r="B245" s="24" t="s">
        <v>604</v>
      </c>
      <c r="C245" s="25" t="s">
        <v>145</v>
      </c>
    </row>
    <row r="246" spans="1:3">
      <c r="A246" s="23" t="s">
        <v>605</v>
      </c>
      <c r="B246" s="24" t="s">
        <v>606</v>
      </c>
      <c r="C246" s="25" t="s">
        <v>145</v>
      </c>
    </row>
    <row r="247" spans="1:3">
      <c r="A247" s="23" t="s">
        <v>607</v>
      </c>
      <c r="B247" s="24" t="s">
        <v>608</v>
      </c>
      <c r="C247" s="25" t="s">
        <v>145</v>
      </c>
    </row>
    <row r="248" spans="1:3">
      <c r="A248" s="23" t="s">
        <v>609</v>
      </c>
      <c r="B248" s="24" t="s">
        <v>610</v>
      </c>
      <c r="C248" s="25" t="s">
        <v>145</v>
      </c>
    </row>
    <row r="249" spans="1:3">
      <c r="A249" s="23" t="s">
        <v>611</v>
      </c>
      <c r="B249" s="24" t="s">
        <v>612</v>
      </c>
      <c r="C249" s="25" t="s">
        <v>146</v>
      </c>
    </row>
    <row r="250" spans="1:3">
      <c r="A250" s="23" t="s">
        <v>613</v>
      </c>
      <c r="B250" s="24" t="s">
        <v>614</v>
      </c>
      <c r="C250" s="25" t="s">
        <v>146</v>
      </c>
    </row>
    <row r="251" spans="1:3">
      <c r="A251" s="23" t="s">
        <v>615</v>
      </c>
      <c r="B251" s="24" t="s">
        <v>616</v>
      </c>
      <c r="C251" s="25" t="s">
        <v>145</v>
      </c>
    </row>
    <row r="252" spans="1:3">
      <c r="A252" s="23" t="s">
        <v>617</v>
      </c>
      <c r="B252" s="24" t="s">
        <v>618</v>
      </c>
      <c r="C252" s="25" t="s">
        <v>146</v>
      </c>
    </row>
    <row r="253" spans="1:3">
      <c r="A253" s="23" t="s">
        <v>619</v>
      </c>
      <c r="B253" s="24" t="s">
        <v>620</v>
      </c>
      <c r="C253" s="25" t="s">
        <v>146</v>
      </c>
    </row>
    <row r="254" spans="1:3">
      <c r="A254" s="23" t="s">
        <v>621</v>
      </c>
      <c r="B254" s="24" t="s">
        <v>622</v>
      </c>
      <c r="C254" s="25" t="s">
        <v>145</v>
      </c>
    </row>
    <row r="255" spans="1:3">
      <c r="A255" s="23" t="s">
        <v>623</v>
      </c>
      <c r="B255" s="24" t="s">
        <v>624</v>
      </c>
      <c r="C255" s="25" t="s">
        <v>146</v>
      </c>
    </row>
    <row r="256" spans="1:3">
      <c r="A256" s="23" t="s">
        <v>625</v>
      </c>
      <c r="B256" s="24" t="s">
        <v>626</v>
      </c>
      <c r="C256" s="25" t="s">
        <v>146</v>
      </c>
    </row>
    <row r="257" spans="1:3">
      <c r="A257" s="23" t="s">
        <v>627</v>
      </c>
      <c r="B257" s="24" t="s">
        <v>628</v>
      </c>
      <c r="C257" s="25" t="s">
        <v>146</v>
      </c>
    </row>
    <row r="258" spans="1:3">
      <c r="A258" s="23" t="s">
        <v>629</v>
      </c>
      <c r="B258" s="24" t="s">
        <v>630</v>
      </c>
      <c r="C258" s="25" t="s">
        <v>146</v>
      </c>
    </row>
    <row r="259" spans="1:3">
      <c r="A259" s="23" t="s">
        <v>631</v>
      </c>
      <c r="B259" s="24" t="s">
        <v>632</v>
      </c>
      <c r="C259" s="25" t="s">
        <v>146</v>
      </c>
    </row>
    <row r="260" spans="1:3">
      <c r="A260" s="23" t="s">
        <v>633</v>
      </c>
      <c r="B260" s="24" t="s">
        <v>634</v>
      </c>
      <c r="C260" s="25" t="s">
        <v>146</v>
      </c>
    </row>
    <row r="261" spans="1:3">
      <c r="A261" s="23" t="s">
        <v>635</v>
      </c>
      <c r="B261" s="24" t="s">
        <v>636</v>
      </c>
      <c r="C261" s="25" t="s">
        <v>146</v>
      </c>
    </row>
    <row r="262" spans="1:3">
      <c r="A262" s="23" t="s">
        <v>637</v>
      </c>
      <c r="B262" s="24" t="s">
        <v>638</v>
      </c>
      <c r="C262" s="25" t="s">
        <v>146</v>
      </c>
    </row>
    <row r="263" spans="1:3">
      <c r="A263" s="23" t="s">
        <v>639</v>
      </c>
      <c r="B263" s="24" t="s">
        <v>640</v>
      </c>
      <c r="C263" s="25" t="s">
        <v>146</v>
      </c>
    </row>
    <row r="264" spans="1:3">
      <c r="A264" s="23" t="s">
        <v>641</v>
      </c>
      <c r="B264" s="24" t="s">
        <v>642</v>
      </c>
      <c r="C264" s="25" t="s">
        <v>146</v>
      </c>
    </row>
    <row r="265" spans="1:3">
      <c r="A265" s="23" t="s">
        <v>643</v>
      </c>
      <c r="B265" s="24" t="s">
        <v>644</v>
      </c>
      <c r="C265" s="25" t="s">
        <v>146</v>
      </c>
    </row>
    <row r="266" spans="1:3">
      <c r="A266" s="23" t="s">
        <v>645</v>
      </c>
      <c r="B266" s="24" t="s">
        <v>646</v>
      </c>
      <c r="C266" s="25" t="s">
        <v>146</v>
      </c>
    </row>
    <row r="267" spans="1:3">
      <c r="A267" s="23" t="s">
        <v>647</v>
      </c>
      <c r="B267" s="24" t="s">
        <v>648</v>
      </c>
      <c r="C267" s="25" t="s">
        <v>146</v>
      </c>
    </row>
    <row r="268" spans="1:3">
      <c r="A268" s="23" t="s">
        <v>649</v>
      </c>
      <c r="B268" s="24" t="s">
        <v>650</v>
      </c>
      <c r="C268" s="25" t="s">
        <v>146</v>
      </c>
    </row>
    <row r="269" spans="1:3">
      <c r="A269" s="23" t="s">
        <v>651</v>
      </c>
      <c r="B269" s="24" t="s">
        <v>652</v>
      </c>
      <c r="C269" s="25" t="s">
        <v>146</v>
      </c>
    </row>
    <row r="270" spans="1:3">
      <c r="A270" s="23" t="s">
        <v>653</v>
      </c>
      <c r="B270" s="24" t="s">
        <v>654</v>
      </c>
      <c r="C270" s="25" t="s">
        <v>146</v>
      </c>
    </row>
    <row r="271" spans="1:3">
      <c r="A271" s="23" t="s">
        <v>655</v>
      </c>
      <c r="B271" s="24" t="s">
        <v>656</v>
      </c>
      <c r="C271" s="25" t="s">
        <v>146</v>
      </c>
    </row>
    <row r="272" spans="1:3">
      <c r="A272" s="23" t="s">
        <v>657</v>
      </c>
      <c r="B272" s="24" t="s">
        <v>658</v>
      </c>
      <c r="C272" s="25" t="s">
        <v>146</v>
      </c>
    </row>
    <row r="273" spans="1:3">
      <c r="A273" s="23" t="s">
        <v>659</v>
      </c>
      <c r="B273" s="24" t="s">
        <v>660</v>
      </c>
      <c r="C273" s="25" t="s">
        <v>146</v>
      </c>
    </row>
    <row r="274" spans="1:3">
      <c r="A274" s="23" t="s">
        <v>661</v>
      </c>
      <c r="B274" s="24" t="s">
        <v>662</v>
      </c>
      <c r="C274" s="25" t="s">
        <v>146</v>
      </c>
    </row>
    <row r="275" spans="1:3">
      <c r="A275" s="23" t="s">
        <v>663</v>
      </c>
      <c r="B275" s="24" t="s">
        <v>664</v>
      </c>
      <c r="C275" s="25" t="s">
        <v>146</v>
      </c>
    </row>
    <row r="276" spans="1:3">
      <c r="A276" s="23" t="s">
        <v>665</v>
      </c>
      <c r="B276" s="24" t="s">
        <v>666</v>
      </c>
      <c r="C276" s="25" t="s">
        <v>146</v>
      </c>
    </row>
    <row r="277" spans="1:3">
      <c r="A277" s="23" t="s">
        <v>667</v>
      </c>
      <c r="B277" s="24" t="s">
        <v>668</v>
      </c>
      <c r="C277" s="25" t="s">
        <v>146</v>
      </c>
    </row>
    <row r="278" spans="1:3">
      <c r="A278" s="23" t="s">
        <v>669</v>
      </c>
      <c r="B278" s="24" t="s">
        <v>670</v>
      </c>
      <c r="C278" s="25" t="s">
        <v>146</v>
      </c>
    </row>
    <row r="279" spans="1:3">
      <c r="A279" s="23" t="s">
        <v>671</v>
      </c>
      <c r="B279" s="24" t="s">
        <v>672</v>
      </c>
      <c r="C279" s="25" t="s">
        <v>146</v>
      </c>
    </row>
    <row r="280" spans="1:3">
      <c r="A280" s="23" t="s">
        <v>673</v>
      </c>
      <c r="B280" s="24" t="s">
        <v>674</v>
      </c>
      <c r="C280" s="25" t="s">
        <v>146</v>
      </c>
    </row>
    <row r="281" spans="1:3">
      <c r="A281" s="23" t="s">
        <v>675</v>
      </c>
      <c r="B281" s="24" t="s">
        <v>676</v>
      </c>
      <c r="C281" s="25" t="s">
        <v>146</v>
      </c>
    </row>
    <row r="282" spans="1:3">
      <c r="A282" s="23" t="s">
        <v>677</v>
      </c>
      <c r="B282" s="24" t="s">
        <v>678</v>
      </c>
      <c r="C282" s="25" t="s">
        <v>146</v>
      </c>
    </row>
    <row r="283" spans="1:3">
      <c r="A283" s="23" t="s">
        <v>679</v>
      </c>
      <c r="B283" s="24" t="s">
        <v>680</v>
      </c>
      <c r="C283" s="25" t="s">
        <v>146</v>
      </c>
    </row>
    <row r="284" spans="1:3">
      <c r="A284" s="23" t="s">
        <v>681</v>
      </c>
      <c r="B284" s="24" t="s">
        <v>682</v>
      </c>
      <c r="C284" s="25" t="s">
        <v>146</v>
      </c>
    </row>
    <row r="285" spans="1:3">
      <c r="A285" s="23" t="s">
        <v>683</v>
      </c>
      <c r="B285" s="24" t="s">
        <v>684</v>
      </c>
      <c r="C285" s="25" t="s">
        <v>146</v>
      </c>
    </row>
    <row r="286" spans="1:3">
      <c r="A286" s="23" t="s">
        <v>685</v>
      </c>
      <c r="B286" s="24" t="s">
        <v>686</v>
      </c>
      <c r="C286" s="25" t="s">
        <v>146</v>
      </c>
    </row>
    <row r="287" spans="1:3">
      <c r="A287" s="23" t="s">
        <v>687</v>
      </c>
      <c r="B287" s="24" t="s">
        <v>688</v>
      </c>
      <c r="C287" s="25" t="s">
        <v>146</v>
      </c>
    </row>
    <row r="288" spans="1:3">
      <c r="A288" s="23" t="s">
        <v>689</v>
      </c>
      <c r="B288" s="24" t="s">
        <v>690</v>
      </c>
      <c r="C288" s="25" t="s">
        <v>146</v>
      </c>
    </row>
    <row r="289" spans="1:3">
      <c r="A289" s="23" t="s">
        <v>691</v>
      </c>
      <c r="B289" s="24" t="s">
        <v>692</v>
      </c>
      <c r="C289" s="25" t="s">
        <v>146</v>
      </c>
    </row>
    <row r="290" spans="1:3">
      <c r="A290" s="23" t="s">
        <v>693</v>
      </c>
      <c r="B290" s="24" t="s">
        <v>694</v>
      </c>
      <c r="C290" s="25" t="s">
        <v>146</v>
      </c>
    </row>
    <row r="291" spans="1:3">
      <c r="A291" s="23" t="s">
        <v>695</v>
      </c>
      <c r="B291" s="24" t="s">
        <v>696</v>
      </c>
      <c r="C291" s="25" t="s">
        <v>146</v>
      </c>
    </row>
    <row r="292" spans="1:3">
      <c r="A292" s="23" t="s">
        <v>697</v>
      </c>
      <c r="B292" s="24" t="s">
        <v>698</v>
      </c>
      <c r="C292" s="25" t="s">
        <v>146</v>
      </c>
    </row>
    <row r="293" spans="1:3">
      <c r="A293" s="23" t="s">
        <v>699</v>
      </c>
      <c r="B293" s="24" t="s">
        <v>700</v>
      </c>
      <c r="C293" s="25" t="s">
        <v>146</v>
      </c>
    </row>
    <row r="294" spans="1:3">
      <c r="A294" s="23" t="s">
        <v>701</v>
      </c>
      <c r="B294" s="24" t="s">
        <v>702</v>
      </c>
      <c r="C294" s="25" t="s">
        <v>146</v>
      </c>
    </row>
    <row r="295" spans="1:3">
      <c r="A295" s="23" t="s">
        <v>703</v>
      </c>
      <c r="B295" s="24" t="s">
        <v>704</v>
      </c>
      <c r="C295" s="25" t="s">
        <v>146</v>
      </c>
    </row>
    <row r="296" spans="1:3">
      <c r="A296" s="23" t="s">
        <v>705</v>
      </c>
      <c r="B296" s="24" t="s">
        <v>706</v>
      </c>
      <c r="C296" s="25" t="s">
        <v>146</v>
      </c>
    </row>
    <row r="297" spans="1:3">
      <c r="A297" s="23" t="s">
        <v>707</v>
      </c>
      <c r="B297" s="24" t="s">
        <v>708</v>
      </c>
      <c r="C297" s="25" t="s">
        <v>146</v>
      </c>
    </row>
    <row r="298" spans="1:3">
      <c r="A298" s="23" t="s">
        <v>709</v>
      </c>
      <c r="B298" s="24" t="s">
        <v>710</v>
      </c>
      <c r="C298" s="25" t="s">
        <v>146</v>
      </c>
    </row>
    <row r="299" spans="1:3">
      <c r="A299" s="23" t="s">
        <v>711</v>
      </c>
      <c r="B299" s="24" t="s">
        <v>712</v>
      </c>
      <c r="C299" s="25" t="s">
        <v>146</v>
      </c>
    </row>
    <row r="300" spans="1:3">
      <c r="A300" s="23" t="s">
        <v>713</v>
      </c>
      <c r="B300" s="24" t="s">
        <v>714</v>
      </c>
      <c r="C300" s="25" t="s">
        <v>146</v>
      </c>
    </row>
    <row r="301" spans="1:3">
      <c r="A301" s="23" t="s">
        <v>715</v>
      </c>
      <c r="B301" s="24" t="s">
        <v>716</v>
      </c>
      <c r="C301" s="25" t="s">
        <v>146</v>
      </c>
    </row>
    <row r="302" spans="1:3">
      <c r="A302" s="23" t="s">
        <v>717</v>
      </c>
      <c r="B302" s="24" t="s">
        <v>718</v>
      </c>
      <c r="C302" s="25" t="s">
        <v>146</v>
      </c>
    </row>
    <row r="303" spans="1:3">
      <c r="A303" s="23" t="s">
        <v>719</v>
      </c>
      <c r="B303" s="24" t="s">
        <v>720</v>
      </c>
      <c r="C303" s="25" t="s">
        <v>146</v>
      </c>
    </row>
    <row r="304" spans="1:3">
      <c r="A304" s="23" t="s">
        <v>721</v>
      </c>
      <c r="B304" s="24" t="s">
        <v>722</v>
      </c>
      <c r="C304" s="25" t="s">
        <v>146</v>
      </c>
    </row>
    <row r="305" spans="1:3">
      <c r="A305" s="23" t="s">
        <v>723</v>
      </c>
      <c r="B305" s="24" t="s">
        <v>724</v>
      </c>
      <c r="C305" s="25" t="s">
        <v>146</v>
      </c>
    </row>
    <row r="306" spans="1:3">
      <c r="A306" s="23" t="s">
        <v>725</v>
      </c>
      <c r="B306" s="24" t="s">
        <v>726</v>
      </c>
      <c r="C306" s="25" t="s">
        <v>146</v>
      </c>
    </row>
    <row r="307" spans="1:3">
      <c r="A307" s="23" t="s">
        <v>727</v>
      </c>
      <c r="B307" s="24" t="s">
        <v>728</v>
      </c>
      <c r="C307" s="25" t="s">
        <v>145</v>
      </c>
    </row>
    <row r="308" spans="1:3">
      <c r="A308" s="23" t="s">
        <v>729</v>
      </c>
      <c r="B308" s="24" t="s">
        <v>730</v>
      </c>
      <c r="C308" s="25" t="s">
        <v>145</v>
      </c>
    </row>
    <row r="309" spans="1:3">
      <c r="A309" s="23" t="s">
        <v>731</v>
      </c>
      <c r="B309" s="24" t="s">
        <v>732</v>
      </c>
      <c r="C309" s="25" t="s">
        <v>145</v>
      </c>
    </row>
    <row r="310" spans="1:3">
      <c r="A310" s="23" t="s">
        <v>733</v>
      </c>
      <c r="B310" s="24" t="s">
        <v>734</v>
      </c>
      <c r="C310" s="25" t="s">
        <v>145</v>
      </c>
    </row>
    <row r="311" spans="1:3">
      <c r="A311" s="23" t="s">
        <v>735</v>
      </c>
      <c r="B311" s="24" t="s">
        <v>736</v>
      </c>
      <c r="C311" s="25" t="s">
        <v>145</v>
      </c>
    </row>
    <row r="312" spans="1:3">
      <c r="A312" s="23" t="s">
        <v>737</v>
      </c>
      <c r="B312" s="24" t="s">
        <v>738</v>
      </c>
      <c r="C312" s="25" t="s">
        <v>145</v>
      </c>
    </row>
    <row r="313" spans="1:3">
      <c r="A313" s="23" t="s">
        <v>739</v>
      </c>
      <c r="B313" s="24" t="s">
        <v>740</v>
      </c>
      <c r="C313" s="25" t="s">
        <v>145</v>
      </c>
    </row>
    <row r="314" spans="1:3">
      <c r="A314" s="23" t="s">
        <v>741</v>
      </c>
      <c r="B314" s="24" t="s">
        <v>742</v>
      </c>
      <c r="C314" s="25" t="s">
        <v>145</v>
      </c>
    </row>
    <row r="315" spans="1:3">
      <c r="A315" s="23" t="s">
        <v>743</v>
      </c>
      <c r="B315" s="24" t="s">
        <v>744</v>
      </c>
      <c r="C315" s="25" t="s">
        <v>145</v>
      </c>
    </row>
    <row r="316" spans="1:3">
      <c r="A316" s="23" t="s">
        <v>745</v>
      </c>
      <c r="B316" s="24" t="s">
        <v>746</v>
      </c>
      <c r="C316" s="25" t="s">
        <v>145</v>
      </c>
    </row>
    <row r="317" spans="1:3">
      <c r="A317" s="23" t="s">
        <v>747</v>
      </c>
      <c r="B317" s="24" t="s">
        <v>748</v>
      </c>
      <c r="C317" s="25" t="s">
        <v>145</v>
      </c>
    </row>
    <row r="318" spans="1:3">
      <c r="A318" s="23" t="s">
        <v>749</v>
      </c>
      <c r="B318" s="24" t="s">
        <v>750</v>
      </c>
      <c r="C318" s="25" t="s">
        <v>145</v>
      </c>
    </row>
    <row r="319" spans="1:3">
      <c r="A319" s="23" t="s">
        <v>751</v>
      </c>
      <c r="B319" s="24" t="s">
        <v>752</v>
      </c>
      <c r="C319" s="25" t="s">
        <v>145</v>
      </c>
    </row>
    <row r="320" spans="1:3">
      <c r="A320" s="23" t="s">
        <v>753</v>
      </c>
      <c r="B320" s="24" t="s">
        <v>754</v>
      </c>
      <c r="C320" s="25" t="s">
        <v>145</v>
      </c>
    </row>
    <row r="321" spans="1:3">
      <c r="A321" s="23" t="s">
        <v>755</v>
      </c>
      <c r="B321" s="24" t="s">
        <v>756</v>
      </c>
      <c r="C321" s="25" t="s">
        <v>145</v>
      </c>
    </row>
    <row r="322" spans="1:3">
      <c r="A322" s="23" t="s">
        <v>757</v>
      </c>
      <c r="B322" s="24" t="s">
        <v>758</v>
      </c>
      <c r="C322" s="25" t="s">
        <v>145</v>
      </c>
    </row>
    <row r="323" spans="1:3">
      <c r="A323" s="23" t="s">
        <v>759</v>
      </c>
      <c r="B323" s="24" t="s">
        <v>760</v>
      </c>
      <c r="C323" s="25" t="s">
        <v>145</v>
      </c>
    </row>
    <row r="324" spans="1:3">
      <c r="A324" s="23" t="s">
        <v>761</v>
      </c>
      <c r="B324" s="24" t="s">
        <v>762</v>
      </c>
      <c r="C324" s="25" t="s">
        <v>145</v>
      </c>
    </row>
    <row r="325" spans="1:3">
      <c r="A325" s="23" t="s">
        <v>763</v>
      </c>
      <c r="B325" s="24" t="s">
        <v>764</v>
      </c>
      <c r="C325" s="25" t="s">
        <v>145</v>
      </c>
    </row>
    <row r="326" spans="1:3">
      <c r="A326" s="23" t="s">
        <v>765</v>
      </c>
      <c r="B326" s="24" t="s">
        <v>766</v>
      </c>
      <c r="C326" s="25" t="s">
        <v>145</v>
      </c>
    </row>
    <row r="327" spans="1:3">
      <c r="A327" s="23" t="s">
        <v>767</v>
      </c>
      <c r="B327" s="24" t="s">
        <v>768</v>
      </c>
      <c r="C327" s="25" t="s">
        <v>145</v>
      </c>
    </row>
    <row r="328" spans="1:3">
      <c r="A328" s="23" t="s">
        <v>769</v>
      </c>
      <c r="B328" s="24" t="s">
        <v>770</v>
      </c>
      <c r="C328" s="25" t="s">
        <v>145</v>
      </c>
    </row>
    <row r="329" spans="1:3">
      <c r="A329" s="23" t="s">
        <v>771</v>
      </c>
      <c r="B329" s="24" t="s">
        <v>772</v>
      </c>
      <c r="C329" s="25" t="s">
        <v>145</v>
      </c>
    </row>
    <row r="330" spans="1:3">
      <c r="A330" s="23" t="s">
        <v>773</v>
      </c>
      <c r="B330" s="24" t="s">
        <v>774</v>
      </c>
      <c r="C330" s="25" t="s">
        <v>145</v>
      </c>
    </row>
    <row r="331" spans="1:3">
      <c r="A331" s="23" t="s">
        <v>775</v>
      </c>
      <c r="B331" s="24" t="s">
        <v>776</v>
      </c>
      <c r="C331" s="25" t="s">
        <v>145</v>
      </c>
    </row>
    <row r="332" spans="1:3">
      <c r="A332" s="23" t="s">
        <v>777</v>
      </c>
      <c r="B332" s="24" t="s">
        <v>778</v>
      </c>
      <c r="C332" s="25" t="s">
        <v>145</v>
      </c>
    </row>
    <row r="333" spans="1:3">
      <c r="A333" s="23" t="s">
        <v>779</v>
      </c>
      <c r="B333" s="24" t="s">
        <v>780</v>
      </c>
      <c r="C333" s="25" t="s">
        <v>145</v>
      </c>
    </row>
    <row r="334" spans="1:3">
      <c r="A334" s="23" t="s">
        <v>781</v>
      </c>
      <c r="B334" s="24" t="s">
        <v>782</v>
      </c>
      <c r="C334" s="25" t="s">
        <v>145</v>
      </c>
    </row>
    <row r="335" spans="1:3">
      <c r="A335" s="23" t="s">
        <v>783</v>
      </c>
      <c r="B335" s="24" t="s">
        <v>784</v>
      </c>
      <c r="C335" s="25" t="s">
        <v>145</v>
      </c>
    </row>
    <row r="336" spans="1:3">
      <c r="A336" s="23" t="s">
        <v>785</v>
      </c>
      <c r="B336" s="24" t="s">
        <v>786</v>
      </c>
      <c r="C336" s="25" t="s">
        <v>145</v>
      </c>
    </row>
    <row r="337" spans="1:3">
      <c r="A337" s="23" t="s">
        <v>787</v>
      </c>
      <c r="B337" s="24" t="s">
        <v>788</v>
      </c>
      <c r="C337" s="25" t="s">
        <v>145</v>
      </c>
    </row>
    <row r="338" spans="1:3">
      <c r="A338" s="23" t="s">
        <v>789</v>
      </c>
      <c r="B338" s="24" t="s">
        <v>790</v>
      </c>
      <c r="C338" s="25" t="s">
        <v>145</v>
      </c>
    </row>
    <row r="339" spans="1:3">
      <c r="A339" s="23" t="s">
        <v>791</v>
      </c>
      <c r="B339" s="24" t="s">
        <v>792</v>
      </c>
      <c r="C339" s="25" t="s">
        <v>145</v>
      </c>
    </row>
    <row r="340" spans="1:3">
      <c r="A340" s="23" t="s">
        <v>793</v>
      </c>
      <c r="B340" s="24" t="s">
        <v>794</v>
      </c>
      <c r="C340" s="25" t="s">
        <v>145</v>
      </c>
    </row>
    <row r="341" spans="1:3">
      <c r="A341" s="23" t="s">
        <v>795</v>
      </c>
      <c r="B341" s="24" t="s">
        <v>796</v>
      </c>
      <c r="C341" s="25" t="s">
        <v>145</v>
      </c>
    </row>
    <row r="342" spans="1:3">
      <c r="A342" s="23" t="s">
        <v>797</v>
      </c>
      <c r="B342" s="24" t="s">
        <v>798</v>
      </c>
      <c r="C342" s="25" t="s">
        <v>145</v>
      </c>
    </row>
    <row r="343" spans="1:3">
      <c r="A343" s="23" t="s">
        <v>799</v>
      </c>
      <c r="B343" s="24" t="s">
        <v>800</v>
      </c>
      <c r="C343" s="25" t="s">
        <v>145</v>
      </c>
    </row>
    <row r="344" spans="1:3">
      <c r="A344" s="23" t="s">
        <v>801</v>
      </c>
      <c r="B344" s="24" t="s">
        <v>802</v>
      </c>
      <c r="C344" s="25" t="s">
        <v>145</v>
      </c>
    </row>
    <row r="345" spans="1:3">
      <c r="A345" s="23" t="s">
        <v>803</v>
      </c>
      <c r="B345" s="24" t="s">
        <v>804</v>
      </c>
      <c r="C345" s="25" t="s">
        <v>145</v>
      </c>
    </row>
    <row r="346" spans="1:3">
      <c r="A346" s="23" t="s">
        <v>805</v>
      </c>
      <c r="B346" s="24" t="s">
        <v>806</v>
      </c>
      <c r="C346" s="25" t="s">
        <v>145</v>
      </c>
    </row>
    <row r="347" spans="1:3">
      <c r="A347" s="23" t="s">
        <v>807</v>
      </c>
      <c r="B347" s="24" t="s">
        <v>808</v>
      </c>
      <c r="C347" s="25" t="s">
        <v>145</v>
      </c>
    </row>
    <row r="348" spans="1:3">
      <c r="A348" s="23" t="s">
        <v>809</v>
      </c>
      <c r="B348" s="24" t="s">
        <v>810</v>
      </c>
      <c r="C348" s="25" t="s">
        <v>145</v>
      </c>
    </row>
    <row r="349" spans="1:3">
      <c r="A349" s="23" t="s">
        <v>811</v>
      </c>
      <c r="B349" s="24" t="s">
        <v>812</v>
      </c>
      <c r="C349" s="25" t="s">
        <v>145</v>
      </c>
    </row>
    <row r="350" spans="1:3">
      <c r="A350" s="23" t="s">
        <v>813</v>
      </c>
      <c r="B350" s="24" t="s">
        <v>814</v>
      </c>
      <c r="C350" s="25" t="s">
        <v>145</v>
      </c>
    </row>
    <row r="351" spans="1:3">
      <c r="A351" s="23" t="s">
        <v>815</v>
      </c>
      <c r="B351" s="24" t="s">
        <v>816</v>
      </c>
      <c r="C351" s="25" t="s">
        <v>145</v>
      </c>
    </row>
    <row r="352" spans="1:3">
      <c r="A352" s="23" t="s">
        <v>817</v>
      </c>
      <c r="B352" s="24" t="s">
        <v>818</v>
      </c>
      <c r="C352" s="25" t="s">
        <v>145</v>
      </c>
    </row>
    <row r="353" spans="1:3">
      <c r="A353" s="23" t="s">
        <v>819</v>
      </c>
      <c r="B353" s="24" t="s">
        <v>820</v>
      </c>
      <c r="C353" s="25" t="s">
        <v>145</v>
      </c>
    </row>
    <row r="354" spans="1:3">
      <c r="A354" s="23" t="s">
        <v>821</v>
      </c>
      <c r="B354" s="24" t="s">
        <v>822</v>
      </c>
      <c r="C354" s="25" t="s">
        <v>145</v>
      </c>
    </row>
    <row r="355" spans="1:3">
      <c r="A355" s="23" t="s">
        <v>823</v>
      </c>
      <c r="B355" s="24" t="s">
        <v>824</v>
      </c>
      <c r="C355" s="25" t="s">
        <v>145</v>
      </c>
    </row>
    <row r="356" spans="1:3">
      <c r="A356" s="23" t="s">
        <v>825</v>
      </c>
      <c r="B356" s="24" t="s">
        <v>826</v>
      </c>
      <c r="C356" s="25" t="s">
        <v>145</v>
      </c>
    </row>
    <row r="357" spans="1:3">
      <c r="A357" s="23" t="s">
        <v>827</v>
      </c>
      <c r="B357" s="24" t="s">
        <v>828</v>
      </c>
      <c r="C357" s="25" t="s">
        <v>145</v>
      </c>
    </row>
    <row r="358" spans="1:3">
      <c r="A358" s="23" t="s">
        <v>829</v>
      </c>
      <c r="B358" s="24" t="s">
        <v>830</v>
      </c>
      <c r="C358" s="25" t="s">
        <v>145</v>
      </c>
    </row>
    <row r="359" spans="1:3">
      <c r="A359" s="23" t="s">
        <v>831</v>
      </c>
      <c r="B359" s="24" t="s">
        <v>832</v>
      </c>
      <c r="C359" s="25" t="s">
        <v>145</v>
      </c>
    </row>
    <row r="360" spans="1:3">
      <c r="A360" s="23" t="s">
        <v>833</v>
      </c>
      <c r="B360" s="24" t="s">
        <v>834</v>
      </c>
      <c r="C360" s="25" t="s">
        <v>145</v>
      </c>
    </row>
    <row r="361" spans="1:3">
      <c r="A361" s="23" t="s">
        <v>835</v>
      </c>
      <c r="B361" s="24" t="s">
        <v>836</v>
      </c>
      <c r="C361" s="25" t="s">
        <v>145</v>
      </c>
    </row>
    <row r="362" spans="1:3">
      <c r="A362" s="23" t="s">
        <v>837</v>
      </c>
      <c r="B362" s="24" t="s">
        <v>838</v>
      </c>
      <c r="C362" s="25" t="s">
        <v>145</v>
      </c>
    </row>
    <row r="363" spans="1:3">
      <c r="A363" s="23" t="s">
        <v>839</v>
      </c>
      <c r="B363" s="24" t="s">
        <v>840</v>
      </c>
      <c r="C363" s="25" t="s">
        <v>145</v>
      </c>
    </row>
    <row r="364" spans="1:3">
      <c r="A364" s="23" t="s">
        <v>841</v>
      </c>
      <c r="B364" s="24" t="s">
        <v>842</v>
      </c>
      <c r="C364" s="25" t="s">
        <v>145</v>
      </c>
    </row>
    <row r="365" spans="1:3">
      <c r="A365" s="23" t="s">
        <v>843</v>
      </c>
      <c r="B365" s="24" t="s">
        <v>844</v>
      </c>
      <c r="C365" s="25" t="s">
        <v>145</v>
      </c>
    </row>
    <row r="366" spans="1:3">
      <c r="A366" s="23" t="s">
        <v>845</v>
      </c>
      <c r="B366" s="24" t="s">
        <v>846</v>
      </c>
      <c r="C366" s="25" t="s">
        <v>145</v>
      </c>
    </row>
    <row r="367" spans="1:3">
      <c r="A367" s="23" t="s">
        <v>847</v>
      </c>
      <c r="B367" s="24" t="s">
        <v>848</v>
      </c>
      <c r="C367" s="25" t="s">
        <v>145</v>
      </c>
    </row>
    <row r="368" spans="1:3">
      <c r="A368" s="23" t="s">
        <v>849</v>
      </c>
      <c r="B368" s="24" t="s">
        <v>850</v>
      </c>
      <c r="C368" s="25" t="s">
        <v>145</v>
      </c>
    </row>
    <row r="369" spans="1:3">
      <c r="A369" s="23" t="s">
        <v>851</v>
      </c>
      <c r="B369" s="24" t="s">
        <v>852</v>
      </c>
      <c r="C369" s="25" t="s">
        <v>145</v>
      </c>
    </row>
    <row r="370" spans="1:3">
      <c r="A370" s="23" t="s">
        <v>853</v>
      </c>
      <c r="B370" s="24" t="s">
        <v>854</v>
      </c>
      <c r="C370" s="25" t="s">
        <v>145</v>
      </c>
    </row>
    <row r="371" spans="1:3">
      <c r="A371" s="23" t="s">
        <v>855</v>
      </c>
      <c r="B371" s="24" t="s">
        <v>856</v>
      </c>
      <c r="C371" s="25" t="s">
        <v>145</v>
      </c>
    </row>
    <row r="372" spans="1:3">
      <c r="A372" s="23" t="s">
        <v>857</v>
      </c>
      <c r="B372" s="24" t="s">
        <v>858</v>
      </c>
      <c r="C372" s="25" t="s">
        <v>145</v>
      </c>
    </row>
    <row r="373" spans="1:3">
      <c r="A373" s="23" t="s">
        <v>859</v>
      </c>
      <c r="B373" s="24" t="s">
        <v>860</v>
      </c>
      <c r="C373" s="25" t="s">
        <v>145</v>
      </c>
    </row>
    <row r="374" spans="1:3">
      <c r="A374" s="23" t="s">
        <v>861</v>
      </c>
      <c r="B374" s="24" t="s">
        <v>862</v>
      </c>
      <c r="C374" s="25" t="s">
        <v>145</v>
      </c>
    </row>
    <row r="375" spans="1:3">
      <c r="A375" s="23" t="s">
        <v>863</v>
      </c>
      <c r="B375" s="24" t="s">
        <v>864</v>
      </c>
      <c r="C375" s="25" t="s">
        <v>145</v>
      </c>
    </row>
    <row r="376" spans="1:3">
      <c r="A376" s="23" t="s">
        <v>865</v>
      </c>
      <c r="B376" s="24" t="s">
        <v>866</v>
      </c>
      <c r="C376" s="25" t="s">
        <v>145</v>
      </c>
    </row>
    <row r="377" spans="1:3">
      <c r="A377" s="23" t="s">
        <v>867</v>
      </c>
      <c r="B377" s="24" t="s">
        <v>868</v>
      </c>
      <c r="C377" s="25" t="s">
        <v>145</v>
      </c>
    </row>
    <row r="378" spans="1:3">
      <c r="A378" s="23" t="s">
        <v>869</v>
      </c>
      <c r="B378" s="24" t="s">
        <v>870</v>
      </c>
      <c r="C378" s="25" t="s">
        <v>145</v>
      </c>
    </row>
    <row r="379" spans="1:3">
      <c r="A379" s="23" t="s">
        <v>871</v>
      </c>
      <c r="B379" s="24" t="s">
        <v>872</v>
      </c>
      <c r="C379" s="25" t="s">
        <v>145</v>
      </c>
    </row>
    <row r="380" spans="1:3">
      <c r="A380" s="23" t="s">
        <v>873</v>
      </c>
      <c r="B380" s="24" t="s">
        <v>874</v>
      </c>
      <c r="C380" s="25" t="s">
        <v>145</v>
      </c>
    </row>
    <row r="381" spans="1:3">
      <c r="A381" s="23" t="s">
        <v>875</v>
      </c>
      <c r="B381" s="24" t="s">
        <v>876</v>
      </c>
      <c r="C381" s="25" t="s">
        <v>145</v>
      </c>
    </row>
    <row r="382" spans="1:3">
      <c r="A382" s="23" t="s">
        <v>877</v>
      </c>
      <c r="B382" s="24" t="s">
        <v>878</v>
      </c>
      <c r="C382" s="25" t="s">
        <v>145</v>
      </c>
    </row>
    <row r="383" spans="1:3">
      <c r="A383" s="23" t="s">
        <v>879</v>
      </c>
      <c r="B383" s="24" t="s">
        <v>880</v>
      </c>
      <c r="C383" s="25" t="s">
        <v>145</v>
      </c>
    </row>
    <row r="384" spans="1:3">
      <c r="A384" s="23" t="s">
        <v>881</v>
      </c>
      <c r="B384" s="24" t="s">
        <v>882</v>
      </c>
      <c r="C384" s="25" t="s">
        <v>145</v>
      </c>
    </row>
    <row r="385" spans="1:3">
      <c r="A385" s="23" t="s">
        <v>883</v>
      </c>
      <c r="B385" s="24" t="s">
        <v>884</v>
      </c>
      <c r="C385" s="25" t="s">
        <v>145</v>
      </c>
    </row>
    <row r="386" spans="1:3">
      <c r="A386" s="23" t="s">
        <v>885</v>
      </c>
      <c r="B386" s="24" t="s">
        <v>886</v>
      </c>
      <c r="C386" s="25" t="s">
        <v>145</v>
      </c>
    </row>
    <row r="387" spans="1:3">
      <c r="A387" s="23" t="s">
        <v>887</v>
      </c>
      <c r="B387" s="24" t="s">
        <v>888</v>
      </c>
      <c r="C387" s="25" t="s">
        <v>145</v>
      </c>
    </row>
    <row r="388" spans="1:3">
      <c r="A388" s="23" t="s">
        <v>889</v>
      </c>
      <c r="B388" s="24" t="s">
        <v>890</v>
      </c>
      <c r="C388" s="25" t="s">
        <v>145</v>
      </c>
    </row>
    <row r="389" spans="1:3">
      <c r="A389" s="23" t="s">
        <v>891</v>
      </c>
      <c r="B389" s="24" t="s">
        <v>892</v>
      </c>
      <c r="C389" s="25" t="s">
        <v>145</v>
      </c>
    </row>
    <row r="390" spans="1:3">
      <c r="A390" s="23" t="s">
        <v>893</v>
      </c>
      <c r="B390" s="24" t="s">
        <v>894</v>
      </c>
      <c r="C390" s="25" t="s">
        <v>145</v>
      </c>
    </row>
    <row r="391" spans="1:3">
      <c r="A391" s="23" t="s">
        <v>895</v>
      </c>
      <c r="B391" s="24" t="s">
        <v>896</v>
      </c>
      <c r="C391" s="25" t="s">
        <v>145</v>
      </c>
    </row>
    <row r="392" spans="1:3">
      <c r="A392" s="23" t="s">
        <v>897</v>
      </c>
      <c r="B392" s="24" t="s">
        <v>898</v>
      </c>
      <c r="C392" s="25" t="s">
        <v>145</v>
      </c>
    </row>
    <row r="393" spans="1:3">
      <c r="A393" s="23" t="s">
        <v>899</v>
      </c>
      <c r="B393" s="24" t="s">
        <v>900</v>
      </c>
      <c r="C393" s="25" t="s">
        <v>145</v>
      </c>
    </row>
    <row r="394" spans="1:3">
      <c r="A394" s="23" t="s">
        <v>901</v>
      </c>
      <c r="B394" s="24" t="s">
        <v>902</v>
      </c>
      <c r="C394" s="25" t="s">
        <v>145</v>
      </c>
    </row>
    <row r="395" spans="1:3">
      <c r="A395" s="23" t="s">
        <v>903</v>
      </c>
      <c r="B395" s="24" t="s">
        <v>904</v>
      </c>
      <c r="C395" s="25" t="s">
        <v>145</v>
      </c>
    </row>
    <row r="396" spans="1:3">
      <c r="A396" s="23" t="s">
        <v>905</v>
      </c>
      <c r="B396" s="24" t="s">
        <v>906</v>
      </c>
      <c r="C396" s="25" t="s">
        <v>145</v>
      </c>
    </row>
    <row r="397" spans="1:3">
      <c r="A397" s="23" t="s">
        <v>907</v>
      </c>
      <c r="B397" s="24" t="s">
        <v>908</v>
      </c>
      <c r="C397" s="25" t="s">
        <v>145</v>
      </c>
    </row>
    <row r="398" spans="1:3">
      <c r="A398" s="23" t="s">
        <v>909</v>
      </c>
      <c r="B398" s="24" t="s">
        <v>910</v>
      </c>
      <c r="C398" s="25" t="s">
        <v>145</v>
      </c>
    </row>
    <row r="399" spans="1:3">
      <c r="A399" s="23" t="s">
        <v>911</v>
      </c>
      <c r="B399" s="24" t="s">
        <v>912</v>
      </c>
      <c r="C399" s="25" t="s">
        <v>145</v>
      </c>
    </row>
    <row r="400" spans="1:3">
      <c r="A400" s="23" t="s">
        <v>913</v>
      </c>
      <c r="B400" s="24" t="s">
        <v>914</v>
      </c>
      <c r="C400" s="25" t="s">
        <v>145</v>
      </c>
    </row>
    <row r="401" spans="1:3">
      <c r="A401" s="23" t="s">
        <v>915</v>
      </c>
      <c r="B401" s="24" t="s">
        <v>916</v>
      </c>
      <c r="C401" s="25" t="s">
        <v>145</v>
      </c>
    </row>
    <row r="402" spans="1:3">
      <c r="A402" s="23" t="s">
        <v>917</v>
      </c>
      <c r="B402" s="24" t="s">
        <v>918</v>
      </c>
      <c r="C402" s="25" t="s">
        <v>145</v>
      </c>
    </row>
    <row r="403" spans="1:3">
      <c r="A403" s="23" t="s">
        <v>919</v>
      </c>
      <c r="B403" s="24" t="s">
        <v>920</v>
      </c>
      <c r="C403" s="25" t="s">
        <v>145</v>
      </c>
    </row>
    <row r="404" spans="1:3">
      <c r="A404" s="23" t="s">
        <v>921</v>
      </c>
      <c r="B404" s="24" t="s">
        <v>922</v>
      </c>
      <c r="C404" s="25" t="s">
        <v>145</v>
      </c>
    </row>
    <row r="405" spans="1:3">
      <c r="A405" s="23" t="s">
        <v>923</v>
      </c>
      <c r="B405" s="24" t="s">
        <v>924</v>
      </c>
      <c r="C405" s="25" t="s">
        <v>145</v>
      </c>
    </row>
    <row r="406" spans="1:3">
      <c r="A406" s="23" t="s">
        <v>925</v>
      </c>
      <c r="B406" s="24" t="s">
        <v>926</v>
      </c>
      <c r="C406" s="25" t="s">
        <v>145</v>
      </c>
    </row>
    <row r="407" spans="1:3">
      <c r="A407" s="23" t="s">
        <v>927</v>
      </c>
      <c r="B407" s="24" t="s">
        <v>928</v>
      </c>
      <c r="C407" s="25" t="s">
        <v>145</v>
      </c>
    </row>
    <row r="408" spans="1:3">
      <c r="A408" s="23" t="s">
        <v>929</v>
      </c>
      <c r="B408" s="24" t="s">
        <v>930</v>
      </c>
      <c r="C408" s="25" t="s">
        <v>145</v>
      </c>
    </row>
    <row r="409" spans="1:3">
      <c r="A409" s="23" t="s">
        <v>931</v>
      </c>
      <c r="B409" s="24" t="s">
        <v>932</v>
      </c>
      <c r="C409" s="25" t="s">
        <v>145</v>
      </c>
    </row>
    <row r="410" spans="1:3">
      <c r="A410" s="23" t="s">
        <v>933</v>
      </c>
      <c r="B410" s="24" t="s">
        <v>934</v>
      </c>
      <c r="C410" s="25" t="s">
        <v>145</v>
      </c>
    </row>
    <row r="411" spans="1:3">
      <c r="A411" s="23" t="s">
        <v>935</v>
      </c>
      <c r="B411" s="24" t="s">
        <v>936</v>
      </c>
      <c r="C411" s="25" t="s">
        <v>145</v>
      </c>
    </row>
    <row r="412" spans="1:3">
      <c r="A412" s="23" t="s">
        <v>937</v>
      </c>
      <c r="B412" s="24" t="s">
        <v>938</v>
      </c>
      <c r="C412" s="25" t="s">
        <v>145</v>
      </c>
    </row>
    <row r="413" spans="1:3">
      <c r="A413" s="23" t="s">
        <v>939</v>
      </c>
      <c r="B413" s="24" t="s">
        <v>940</v>
      </c>
      <c r="C413" s="25" t="s">
        <v>145</v>
      </c>
    </row>
    <row r="414" spans="1:3">
      <c r="A414" s="23" t="s">
        <v>941</v>
      </c>
      <c r="B414" s="24" t="s">
        <v>942</v>
      </c>
      <c r="C414" s="25" t="s">
        <v>145</v>
      </c>
    </row>
    <row r="415" spans="1:3">
      <c r="A415" s="23" t="s">
        <v>943</v>
      </c>
      <c r="B415" s="24" t="s">
        <v>944</v>
      </c>
      <c r="C415" s="25" t="s">
        <v>145</v>
      </c>
    </row>
    <row r="416" spans="1:3">
      <c r="A416" s="23" t="s">
        <v>945</v>
      </c>
      <c r="B416" s="24" t="s">
        <v>946</v>
      </c>
      <c r="C416" s="25" t="s">
        <v>145</v>
      </c>
    </row>
    <row r="417" spans="1:3">
      <c r="A417" s="23" t="s">
        <v>947</v>
      </c>
      <c r="B417" s="24" t="s">
        <v>948</v>
      </c>
      <c r="C417" s="25" t="s">
        <v>145</v>
      </c>
    </row>
    <row r="418" spans="1:3">
      <c r="A418" s="23" t="s">
        <v>949</v>
      </c>
      <c r="B418" s="24" t="s">
        <v>950</v>
      </c>
      <c r="C418" s="25" t="s">
        <v>145</v>
      </c>
    </row>
    <row r="419" spans="1:3">
      <c r="A419" s="23" t="s">
        <v>951</v>
      </c>
      <c r="B419" s="24" t="s">
        <v>952</v>
      </c>
      <c r="C419" s="25" t="s">
        <v>145</v>
      </c>
    </row>
    <row r="420" spans="1:3">
      <c r="A420" s="23" t="s">
        <v>953</v>
      </c>
      <c r="B420" s="24" t="s">
        <v>954</v>
      </c>
      <c r="C420" s="25" t="s">
        <v>145</v>
      </c>
    </row>
    <row r="421" spans="1:3">
      <c r="A421" s="23" t="s">
        <v>955</v>
      </c>
      <c r="B421" s="24" t="s">
        <v>956</v>
      </c>
      <c r="C421" s="25" t="s">
        <v>145</v>
      </c>
    </row>
    <row r="422" spans="1:3">
      <c r="A422" s="23" t="s">
        <v>957</v>
      </c>
      <c r="B422" s="24" t="s">
        <v>958</v>
      </c>
      <c r="C422" s="25" t="s">
        <v>145</v>
      </c>
    </row>
    <row r="423" spans="1:3">
      <c r="A423" s="23" t="s">
        <v>959</v>
      </c>
      <c r="B423" s="24" t="s">
        <v>960</v>
      </c>
      <c r="C423" s="25" t="s">
        <v>145</v>
      </c>
    </row>
    <row r="424" spans="1:3">
      <c r="A424" s="23" t="s">
        <v>961</v>
      </c>
      <c r="B424" s="24" t="s">
        <v>962</v>
      </c>
      <c r="C424" s="25" t="s">
        <v>145</v>
      </c>
    </row>
    <row r="425" spans="1:3">
      <c r="A425" s="23" t="s">
        <v>963</v>
      </c>
      <c r="B425" s="24" t="s">
        <v>964</v>
      </c>
      <c r="C425" s="25" t="s">
        <v>145</v>
      </c>
    </row>
    <row r="426" spans="1:3">
      <c r="A426" s="23" t="s">
        <v>2</v>
      </c>
      <c r="B426" s="24" t="s">
        <v>965</v>
      </c>
      <c r="C426" s="25" t="s">
        <v>145</v>
      </c>
    </row>
    <row r="427" spans="1:3">
      <c r="A427" s="23" t="s">
        <v>3</v>
      </c>
      <c r="B427" s="24" t="s">
        <v>966</v>
      </c>
      <c r="C427" s="25" t="s">
        <v>145</v>
      </c>
    </row>
    <row r="428" spans="1:3">
      <c r="A428" s="23" t="s">
        <v>967</v>
      </c>
      <c r="B428" s="24" t="s">
        <v>968</v>
      </c>
      <c r="C428" s="25" t="s">
        <v>145</v>
      </c>
    </row>
    <row r="429" spans="1:3">
      <c r="A429" s="23" t="s">
        <v>969</v>
      </c>
      <c r="B429" s="24" t="s">
        <v>970</v>
      </c>
      <c r="C429" s="25" t="s">
        <v>145</v>
      </c>
    </row>
    <row r="430" spans="1:3">
      <c r="A430" s="23" t="s">
        <v>971</v>
      </c>
      <c r="B430" s="24" t="s">
        <v>972</v>
      </c>
      <c r="C430" s="25" t="s">
        <v>145</v>
      </c>
    </row>
    <row r="431" spans="1:3">
      <c r="A431" s="23" t="s">
        <v>973</v>
      </c>
      <c r="B431" s="24" t="s">
        <v>974</v>
      </c>
      <c r="C431" s="25" t="s">
        <v>145</v>
      </c>
    </row>
    <row r="432" spans="1:3">
      <c r="A432" s="23" t="s">
        <v>975</v>
      </c>
      <c r="B432" s="24" t="s">
        <v>976</v>
      </c>
      <c r="C432" s="25" t="s">
        <v>145</v>
      </c>
    </row>
    <row r="433" spans="1:3">
      <c r="A433" s="23" t="s">
        <v>977</v>
      </c>
      <c r="B433" s="24" t="s">
        <v>978</v>
      </c>
      <c r="C433" s="25" t="s">
        <v>145</v>
      </c>
    </row>
    <row r="434" spans="1:3">
      <c r="A434" s="23" t="s">
        <v>979</v>
      </c>
      <c r="B434" s="24" t="s">
        <v>980</v>
      </c>
      <c r="C434" s="25" t="s">
        <v>145</v>
      </c>
    </row>
    <row r="435" spans="1:3">
      <c r="A435" s="23" t="s">
        <v>981</v>
      </c>
      <c r="B435" s="24" t="s">
        <v>982</v>
      </c>
      <c r="C435" s="25" t="s">
        <v>145</v>
      </c>
    </row>
    <row r="436" spans="1:3">
      <c r="A436" s="23" t="s">
        <v>983</v>
      </c>
      <c r="B436" s="24" t="s">
        <v>984</v>
      </c>
      <c r="C436" s="25" t="s">
        <v>145</v>
      </c>
    </row>
    <row r="437" spans="1:3">
      <c r="A437" s="23" t="s">
        <v>985</v>
      </c>
      <c r="B437" s="24" t="s">
        <v>986</v>
      </c>
      <c r="C437" s="25" t="s">
        <v>145</v>
      </c>
    </row>
    <row r="438" spans="1:3">
      <c r="A438" s="23" t="s">
        <v>987</v>
      </c>
      <c r="B438" s="24" t="s">
        <v>988</v>
      </c>
      <c r="C438" s="25" t="s">
        <v>145</v>
      </c>
    </row>
    <row r="439" spans="1:3">
      <c r="A439" s="23" t="s">
        <v>989</v>
      </c>
      <c r="B439" s="24" t="s">
        <v>990</v>
      </c>
      <c r="C439" s="25" t="s">
        <v>145</v>
      </c>
    </row>
    <row r="440" spans="1:3">
      <c r="A440" s="23" t="s">
        <v>991</v>
      </c>
      <c r="B440" s="24" t="s">
        <v>992</v>
      </c>
      <c r="C440" s="25" t="s">
        <v>145</v>
      </c>
    </row>
    <row r="441" spans="1:3">
      <c r="A441" s="23" t="s">
        <v>993</v>
      </c>
      <c r="B441" s="24" t="s">
        <v>994</v>
      </c>
      <c r="C441" s="25" t="s">
        <v>145</v>
      </c>
    </row>
    <row r="442" spans="1:3">
      <c r="A442" s="23" t="s">
        <v>995</v>
      </c>
      <c r="B442" s="24" t="s">
        <v>996</v>
      </c>
      <c r="C442" s="25" t="s">
        <v>145</v>
      </c>
    </row>
    <row r="443" spans="1:3">
      <c r="A443" s="23" t="s">
        <v>997</v>
      </c>
      <c r="B443" s="24" t="s">
        <v>998</v>
      </c>
      <c r="C443" s="25" t="s">
        <v>145</v>
      </c>
    </row>
    <row r="444" spans="1:3">
      <c r="A444" s="23" t="s">
        <v>999</v>
      </c>
      <c r="B444" s="24" t="s">
        <v>1000</v>
      </c>
      <c r="C444" s="25" t="s">
        <v>145</v>
      </c>
    </row>
    <row r="445" spans="1:3">
      <c r="A445" s="23" t="s">
        <v>1001</v>
      </c>
      <c r="B445" s="24" t="s">
        <v>1002</v>
      </c>
      <c r="C445" s="25" t="s">
        <v>145</v>
      </c>
    </row>
    <row r="446" spans="1:3">
      <c r="A446" s="23" t="s">
        <v>1003</v>
      </c>
      <c r="B446" s="24" t="s">
        <v>1004</v>
      </c>
      <c r="C446" s="25" t="s">
        <v>145</v>
      </c>
    </row>
    <row r="447" spans="1:3">
      <c r="A447" s="23" t="s">
        <v>1005</v>
      </c>
      <c r="B447" s="24" t="s">
        <v>1006</v>
      </c>
      <c r="C447" s="25" t="s">
        <v>145</v>
      </c>
    </row>
    <row r="448" spans="1:3">
      <c r="A448" s="23" t="s">
        <v>1007</v>
      </c>
      <c r="B448" s="24" t="s">
        <v>1008</v>
      </c>
      <c r="C448" s="25" t="s">
        <v>145</v>
      </c>
    </row>
    <row r="449" spans="1:3">
      <c r="A449" s="23" t="s">
        <v>1009</v>
      </c>
      <c r="B449" s="24" t="s">
        <v>1010</v>
      </c>
      <c r="C449" s="25" t="s">
        <v>145</v>
      </c>
    </row>
    <row r="450" spans="1:3">
      <c r="A450" s="23" t="s">
        <v>1011</v>
      </c>
      <c r="B450" s="24" t="s">
        <v>1012</v>
      </c>
      <c r="C450" s="25" t="s">
        <v>145</v>
      </c>
    </row>
    <row r="451" spans="1:3">
      <c r="A451" s="23" t="s">
        <v>1013</v>
      </c>
      <c r="B451" s="24" t="s">
        <v>1014</v>
      </c>
      <c r="C451" s="25" t="s">
        <v>145</v>
      </c>
    </row>
    <row r="452" spans="1:3">
      <c r="A452" s="23" t="s">
        <v>1015</v>
      </c>
      <c r="B452" s="24" t="s">
        <v>1016</v>
      </c>
      <c r="C452" s="25" t="s">
        <v>145</v>
      </c>
    </row>
    <row r="453" spans="1:3">
      <c r="A453" s="23" t="s">
        <v>1017</v>
      </c>
      <c r="B453" s="24" t="s">
        <v>1018</v>
      </c>
      <c r="C453" s="25" t="s">
        <v>145</v>
      </c>
    </row>
    <row r="454" spans="1:3">
      <c r="A454" s="23" t="s">
        <v>1019</v>
      </c>
      <c r="B454" s="24" t="s">
        <v>1020</v>
      </c>
      <c r="C454" s="25" t="s">
        <v>145</v>
      </c>
    </row>
    <row r="455" spans="1:3">
      <c r="A455" s="23" t="s">
        <v>1021</v>
      </c>
      <c r="B455" s="24" t="s">
        <v>1022</v>
      </c>
      <c r="C455" s="25" t="s">
        <v>145</v>
      </c>
    </row>
    <row r="456" spans="1:3">
      <c r="A456" s="23" t="s">
        <v>1023</v>
      </c>
      <c r="B456" s="24" t="s">
        <v>1024</v>
      </c>
      <c r="C456" s="25" t="s">
        <v>145</v>
      </c>
    </row>
    <row r="457" spans="1:3">
      <c r="A457" s="23" t="s">
        <v>1025</v>
      </c>
      <c r="B457" s="24" t="s">
        <v>1026</v>
      </c>
      <c r="C457" s="25" t="s">
        <v>145</v>
      </c>
    </row>
    <row r="458" spans="1:3">
      <c r="A458" s="23" t="s">
        <v>1027</v>
      </c>
      <c r="B458" s="24" t="s">
        <v>1028</v>
      </c>
      <c r="C458" s="25" t="s">
        <v>145</v>
      </c>
    </row>
    <row r="459" spans="1:3">
      <c r="A459" s="23" t="s">
        <v>1029</v>
      </c>
      <c r="B459" s="24" t="s">
        <v>1030</v>
      </c>
      <c r="C459" s="25" t="s">
        <v>145</v>
      </c>
    </row>
    <row r="460" spans="1:3">
      <c r="A460" s="23" t="s">
        <v>1031</v>
      </c>
      <c r="B460" s="24" t="s">
        <v>1032</v>
      </c>
      <c r="C460" s="25" t="s">
        <v>145</v>
      </c>
    </row>
    <row r="461" spans="1:3">
      <c r="A461" s="23" t="s">
        <v>1033</v>
      </c>
      <c r="B461" s="24" t="s">
        <v>1034</v>
      </c>
      <c r="C461" s="25" t="s">
        <v>145</v>
      </c>
    </row>
    <row r="462" spans="1:3">
      <c r="A462" s="23" t="s">
        <v>1035</v>
      </c>
      <c r="B462" s="24" t="s">
        <v>1036</v>
      </c>
      <c r="C462" s="25" t="s">
        <v>145</v>
      </c>
    </row>
    <row r="463" spans="1:3">
      <c r="A463" s="23" t="s">
        <v>1037</v>
      </c>
      <c r="B463" s="24" t="s">
        <v>1038</v>
      </c>
      <c r="C463" s="25" t="s">
        <v>145</v>
      </c>
    </row>
    <row r="464" spans="1:3">
      <c r="A464" s="23" t="s">
        <v>1039</v>
      </c>
      <c r="B464" s="24" t="s">
        <v>1040</v>
      </c>
      <c r="C464" s="25" t="s">
        <v>145</v>
      </c>
    </row>
    <row r="465" spans="1:3">
      <c r="A465" s="23" t="s">
        <v>1041</v>
      </c>
      <c r="B465" s="24" t="s">
        <v>1042</v>
      </c>
      <c r="C465" s="25" t="s">
        <v>145</v>
      </c>
    </row>
    <row r="466" spans="1:3">
      <c r="A466" s="23" t="s">
        <v>1043</v>
      </c>
      <c r="B466" s="24" t="s">
        <v>1044</v>
      </c>
      <c r="C466" s="25" t="s">
        <v>145</v>
      </c>
    </row>
    <row r="467" spans="1:3">
      <c r="A467" s="23" t="s">
        <v>1045</v>
      </c>
      <c r="B467" s="24" t="s">
        <v>1046</v>
      </c>
      <c r="C467" s="25" t="s">
        <v>145</v>
      </c>
    </row>
    <row r="468" spans="1:3">
      <c r="A468" s="23" t="s">
        <v>1047</v>
      </c>
      <c r="B468" s="24" t="s">
        <v>1048</v>
      </c>
      <c r="C468" s="25" t="s">
        <v>145</v>
      </c>
    </row>
    <row r="469" spans="1:3">
      <c r="A469" s="23" t="s">
        <v>1049</v>
      </c>
      <c r="B469" s="24" t="s">
        <v>1050</v>
      </c>
      <c r="C469" s="25" t="s">
        <v>145</v>
      </c>
    </row>
    <row r="470" spans="1:3">
      <c r="A470" s="23" t="s">
        <v>1051</v>
      </c>
      <c r="B470" s="24" t="s">
        <v>1052</v>
      </c>
      <c r="C470" s="25" t="s">
        <v>145</v>
      </c>
    </row>
    <row r="471" spans="1:3">
      <c r="A471" s="23" t="s">
        <v>1053</v>
      </c>
      <c r="B471" s="24" t="s">
        <v>1054</v>
      </c>
      <c r="C471" s="25" t="s">
        <v>145</v>
      </c>
    </row>
    <row r="472" spans="1:3">
      <c r="A472" s="23" t="s">
        <v>1055</v>
      </c>
      <c r="B472" s="24" t="s">
        <v>1056</v>
      </c>
      <c r="C472" s="25" t="s">
        <v>145</v>
      </c>
    </row>
    <row r="473" spans="1:3">
      <c r="A473" s="23" t="s">
        <v>1057</v>
      </c>
      <c r="B473" s="24" t="s">
        <v>1058</v>
      </c>
      <c r="C473" s="25" t="s">
        <v>145</v>
      </c>
    </row>
    <row r="474" spans="1:3">
      <c r="A474" s="23" t="s">
        <v>1059</v>
      </c>
      <c r="B474" s="24" t="s">
        <v>1060</v>
      </c>
      <c r="C474" s="25" t="s">
        <v>145</v>
      </c>
    </row>
    <row r="475" spans="1:3">
      <c r="A475" s="23" t="s">
        <v>1061</v>
      </c>
      <c r="B475" s="24" t="s">
        <v>1062</v>
      </c>
      <c r="C475" s="25" t="s">
        <v>145</v>
      </c>
    </row>
    <row r="476" spans="1:3">
      <c r="A476" s="23" t="s">
        <v>1063</v>
      </c>
      <c r="B476" s="24" t="s">
        <v>1064</v>
      </c>
      <c r="C476" s="25" t="s">
        <v>145</v>
      </c>
    </row>
    <row r="477" spans="1:3">
      <c r="A477" s="23" t="s">
        <v>1065</v>
      </c>
      <c r="B477" s="24" t="s">
        <v>1066</v>
      </c>
      <c r="C477" s="25" t="s">
        <v>145</v>
      </c>
    </row>
    <row r="478" spans="1:3">
      <c r="A478" s="23" t="s">
        <v>1067</v>
      </c>
      <c r="B478" s="24" t="s">
        <v>1068</v>
      </c>
      <c r="C478" s="25" t="s">
        <v>145</v>
      </c>
    </row>
    <row r="479" spans="1:3">
      <c r="A479" s="23" t="s">
        <v>1069</v>
      </c>
      <c r="B479" s="24" t="s">
        <v>1070</v>
      </c>
      <c r="C479" s="25" t="s">
        <v>145</v>
      </c>
    </row>
    <row r="480" spans="1:3">
      <c r="A480" s="23" t="s">
        <v>1071</v>
      </c>
      <c r="B480" s="24" t="s">
        <v>1072</v>
      </c>
      <c r="C480" s="25" t="s">
        <v>145</v>
      </c>
    </row>
    <row r="481" spans="1:3">
      <c r="A481" s="23" t="s">
        <v>1073</v>
      </c>
      <c r="B481" s="24" t="s">
        <v>1074</v>
      </c>
      <c r="C481" s="25" t="s">
        <v>145</v>
      </c>
    </row>
    <row r="482" spans="1:3">
      <c r="A482" s="23" t="s">
        <v>1075</v>
      </c>
      <c r="B482" s="24" t="s">
        <v>1076</v>
      </c>
      <c r="C482" s="25" t="s">
        <v>145</v>
      </c>
    </row>
    <row r="483" spans="1:3">
      <c r="A483" s="23" t="s">
        <v>1077</v>
      </c>
      <c r="B483" s="24" t="s">
        <v>1078</v>
      </c>
      <c r="C483" s="25" t="s">
        <v>145</v>
      </c>
    </row>
    <row r="484" spans="1:3">
      <c r="A484" s="23" t="s">
        <v>1079</v>
      </c>
      <c r="B484" s="24" t="s">
        <v>1080</v>
      </c>
      <c r="C484" s="25" t="s">
        <v>145</v>
      </c>
    </row>
    <row r="485" spans="1:3">
      <c r="A485" s="23" t="s">
        <v>1081</v>
      </c>
      <c r="B485" s="24" t="s">
        <v>1082</v>
      </c>
      <c r="C485" s="25" t="s">
        <v>145</v>
      </c>
    </row>
    <row r="486" spans="1:3">
      <c r="A486" s="23" t="s">
        <v>1083</v>
      </c>
      <c r="B486" s="24" t="s">
        <v>1084</v>
      </c>
      <c r="C486" s="25" t="s">
        <v>145</v>
      </c>
    </row>
    <row r="487" spans="1:3">
      <c r="A487" s="23" t="s">
        <v>1085</v>
      </c>
      <c r="B487" s="24" t="s">
        <v>1086</v>
      </c>
      <c r="C487" s="25" t="s">
        <v>145</v>
      </c>
    </row>
    <row r="488" spans="1:3">
      <c r="A488" s="23" t="s">
        <v>1087</v>
      </c>
      <c r="B488" s="24" t="s">
        <v>1088</v>
      </c>
      <c r="C488" s="25" t="s">
        <v>145</v>
      </c>
    </row>
    <row r="489" spans="1:3">
      <c r="A489" s="23" t="s">
        <v>1089</v>
      </c>
      <c r="B489" s="24" t="s">
        <v>1090</v>
      </c>
      <c r="C489" s="25" t="s">
        <v>145</v>
      </c>
    </row>
    <row r="490" spans="1:3">
      <c r="A490" s="23" t="s">
        <v>1091</v>
      </c>
      <c r="B490" s="24" t="s">
        <v>1092</v>
      </c>
      <c r="C490" s="25" t="s">
        <v>145</v>
      </c>
    </row>
    <row r="491" spans="1:3">
      <c r="A491" s="23" t="s">
        <v>1093</v>
      </c>
      <c r="B491" s="24" t="s">
        <v>1094</v>
      </c>
      <c r="C491" s="25" t="s">
        <v>145</v>
      </c>
    </row>
    <row r="492" spans="1:3">
      <c r="A492" s="23" t="s">
        <v>1095</v>
      </c>
      <c r="B492" s="24" t="s">
        <v>1096</v>
      </c>
      <c r="C492" s="25" t="s">
        <v>145</v>
      </c>
    </row>
    <row r="493" spans="1:3">
      <c r="A493" s="23" t="s">
        <v>1097</v>
      </c>
      <c r="B493" s="24" t="s">
        <v>1098</v>
      </c>
      <c r="C493" s="25" t="s">
        <v>145</v>
      </c>
    </row>
    <row r="494" spans="1:3">
      <c r="A494" s="23" t="s">
        <v>1099</v>
      </c>
      <c r="B494" s="24" t="s">
        <v>1100</v>
      </c>
      <c r="C494" s="25" t="s">
        <v>145</v>
      </c>
    </row>
    <row r="495" spans="1:3">
      <c r="A495" s="23" t="s">
        <v>1101</v>
      </c>
      <c r="B495" s="24" t="s">
        <v>1102</v>
      </c>
      <c r="C495" s="25" t="s">
        <v>145</v>
      </c>
    </row>
    <row r="496" spans="1:3">
      <c r="A496" s="23" t="s">
        <v>1103</v>
      </c>
      <c r="B496" s="24" t="s">
        <v>1104</v>
      </c>
      <c r="C496" s="25" t="s">
        <v>145</v>
      </c>
    </row>
    <row r="497" spans="1:3">
      <c r="A497" s="23" t="s">
        <v>1105</v>
      </c>
      <c r="B497" s="24" t="s">
        <v>1106</v>
      </c>
      <c r="C497" s="25" t="s">
        <v>145</v>
      </c>
    </row>
    <row r="498" spans="1:3">
      <c r="A498" s="23" t="s">
        <v>1107</v>
      </c>
      <c r="B498" s="24" t="s">
        <v>1108</v>
      </c>
      <c r="C498" s="25" t="s">
        <v>145</v>
      </c>
    </row>
    <row r="499" spans="1:3">
      <c r="A499" s="23" t="s">
        <v>1109</v>
      </c>
      <c r="B499" s="24" t="s">
        <v>1110</v>
      </c>
      <c r="C499" s="25" t="s">
        <v>145</v>
      </c>
    </row>
    <row r="500" spans="1:3">
      <c r="A500" s="23" t="s">
        <v>1111</v>
      </c>
      <c r="B500" s="24" t="s">
        <v>1112</v>
      </c>
      <c r="C500" s="25" t="s">
        <v>145</v>
      </c>
    </row>
    <row r="501" spans="1:3">
      <c r="A501" s="23" t="s">
        <v>1113</v>
      </c>
      <c r="B501" s="24" t="s">
        <v>1114</v>
      </c>
      <c r="C501" s="25" t="s">
        <v>145</v>
      </c>
    </row>
    <row r="502" spans="1:3">
      <c r="A502" s="23" t="s">
        <v>1115</v>
      </c>
      <c r="B502" s="24" t="s">
        <v>1116</v>
      </c>
      <c r="C502" s="25" t="s">
        <v>145</v>
      </c>
    </row>
    <row r="503" spans="1:3">
      <c r="A503" s="23" t="s">
        <v>1117</v>
      </c>
      <c r="B503" s="24" t="s">
        <v>1118</v>
      </c>
      <c r="C503" s="25" t="s">
        <v>145</v>
      </c>
    </row>
    <row r="504" spans="1:3">
      <c r="A504" s="23" t="s">
        <v>1119</v>
      </c>
      <c r="B504" s="24" t="s">
        <v>1120</v>
      </c>
      <c r="C504" s="25" t="s">
        <v>145</v>
      </c>
    </row>
    <row r="505" spans="1:3">
      <c r="A505" s="23" t="s">
        <v>1121</v>
      </c>
      <c r="B505" s="24" t="s">
        <v>1122</v>
      </c>
      <c r="C505" s="25" t="s">
        <v>145</v>
      </c>
    </row>
    <row r="506" spans="1:3">
      <c r="A506" s="23" t="s">
        <v>1123</v>
      </c>
      <c r="B506" s="24" t="s">
        <v>1124</v>
      </c>
      <c r="C506" s="25" t="s">
        <v>145</v>
      </c>
    </row>
    <row r="507" spans="1:3">
      <c r="A507" s="23" t="s">
        <v>1125</v>
      </c>
      <c r="B507" s="24" t="s">
        <v>1126</v>
      </c>
      <c r="C507" s="25" t="s">
        <v>145</v>
      </c>
    </row>
    <row r="508" spans="1:3">
      <c r="A508" s="23" t="s">
        <v>1127</v>
      </c>
      <c r="B508" s="24" t="s">
        <v>1128</v>
      </c>
      <c r="C508" s="25" t="s">
        <v>145</v>
      </c>
    </row>
    <row r="509" spans="1:3">
      <c r="A509" s="23" t="s">
        <v>1129</v>
      </c>
      <c r="B509" s="24" t="s">
        <v>1130</v>
      </c>
      <c r="C509" s="25" t="s">
        <v>145</v>
      </c>
    </row>
    <row r="510" spans="1:3">
      <c r="A510" s="23" t="s">
        <v>1131</v>
      </c>
      <c r="B510" s="24" t="s">
        <v>1132</v>
      </c>
      <c r="C510" s="25" t="s">
        <v>145</v>
      </c>
    </row>
    <row r="511" spans="1:3">
      <c r="A511" s="23" t="s">
        <v>1133</v>
      </c>
      <c r="B511" s="24" t="s">
        <v>1134</v>
      </c>
      <c r="C511" s="25" t="s">
        <v>145</v>
      </c>
    </row>
    <row r="512" spans="1:3">
      <c r="A512" s="23" t="s">
        <v>1135</v>
      </c>
      <c r="B512" s="24" t="s">
        <v>1136</v>
      </c>
      <c r="C512" s="25" t="s">
        <v>145</v>
      </c>
    </row>
    <row r="513" spans="1:3">
      <c r="A513" s="23" t="s">
        <v>1137</v>
      </c>
      <c r="B513" s="24" t="s">
        <v>1138</v>
      </c>
      <c r="C513" s="25" t="s">
        <v>145</v>
      </c>
    </row>
    <row r="514" spans="1:3">
      <c r="A514" s="23" t="s">
        <v>1139</v>
      </c>
      <c r="B514" s="24" t="s">
        <v>1140</v>
      </c>
      <c r="C514" s="25" t="s">
        <v>145</v>
      </c>
    </row>
    <row r="515" spans="1:3">
      <c r="A515" s="23" t="s">
        <v>1141</v>
      </c>
      <c r="B515" s="24" t="s">
        <v>1142</v>
      </c>
      <c r="C515" s="25" t="s">
        <v>145</v>
      </c>
    </row>
  </sheetData>
  <autoFilter ref="A20:C515" xr:uid="{00000000-0009-0000-0000-00000D000000}"/>
  <mergeCells count="8">
    <mergeCell ref="A6:G6"/>
    <mergeCell ref="B7:C7"/>
    <mergeCell ref="D7:E7"/>
    <mergeCell ref="F7:G7"/>
    <mergeCell ref="A19:C19"/>
    <mergeCell ref="B13:C13"/>
    <mergeCell ref="D13:E13"/>
    <mergeCell ref="F13:G13"/>
  </mergeCells>
  <dataValidations count="1">
    <dataValidation type="list" allowBlank="1" showInputMessage="1" showErrorMessage="1" sqref="C21:C515" xr:uid="{00000000-0002-0000-0D00-000000000000}">
      <formula1>"Manufacturero,Servicio,Comercio"</formula1>
    </dataValidation>
  </dataValidation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76ddc973-6f3e-458c-98dc-616d12e59db2">
      <Terms xmlns="http://schemas.microsoft.com/office/infopath/2007/PartnerControls"/>
    </lcf76f155ced4ddcb4097134ff3c332f>
    <TaxCatchAll xmlns="07df56aa-f336-4b80-aa61-75267864e9e7"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CBAB2D1B7E1D91439D22BD14EE047FE5" ma:contentTypeVersion="17" ma:contentTypeDescription="Crear nuevo documento." ma:contentTypeScope="" ma:versionID="9e005cf33e53696601c8285bbe232dc4">
  <xsd:schema xmlns:xsd="http://www.w3.org/2001/XMLSchema" xmlns:xs="http://www.w3.org/2001/XMLSchema" xmlns:p="http://schemas.microsoft.com/office/2006/metadata/properties" xmlns:ns2="76ddc973-6f3e-458c-98dc-616d12e59db2" xmlns:ns3="07df56aa-f336-4b80-aa61-75267864e9e7" targetNamespace="http://schemas.microsoft.com/office/2006/metadata/properties" ma:root="true" ma:fieldsID="8470abb01d9011d2fcc7d8f5432ba17f" ns2:_="" ns3:_="">
    <xsd:import namespace="76ddc973-6f3e-458c-98dc-616d12e59db2"/>
    <xsd:import namespace="07df56aa-f336-4b80-aa61-75267864e9e7"/>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lcf76f155ced4ddcb4097134ff3c332f" minOccurs="0"/>
                <xsd:element ref="ns3:TaxCatchAll" minOccurs="0"/>
                <xsd:element ref="ns2:MediaServiceLocation"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6ddc973-6f3e-458c-98dc-616d12e59db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Length (seconds)" ma:internalName="MediaLengthInSeconds" ma:readOnly="true">
      <xsd:simpleType>
        <xsd:restriction base="dms:Unknow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lcf76f155ced4ddcb4097134ff3c332f" ma:index="21" nillable="true" ma:taxonomy="true" ma:internalName="lcf76f155ced4ddcb4097134ff3c332f" ma:taxonomyFieldName="MediaServiceImageTags" ma:displayName="Etiquetas de imagen" ma:readOnly="false" ma:fieldId="{5cf76f15-5ced-4ddc-b409-7134ff3c332f}" ma:taxonomyMulti="true" ma:sspId="2a639bc6-dc8c-43a0-baeb-edbb56d427be" ma:termSetId="09814cd3-568e-fe90-9814-8d621ff8fb84" ma:anchorId="fba54fb3-c3e1-fe81-a776-ca4b69148c4d" ma:open="true" ma:isKeyword="false">
      <xsd:complexType>
        <xsd:sequence>
          <xsd:element ref="pc:Terms" minOccurs="0" maxOccurs="1"/>
        </xsd:sequence>
      </xsd:complexType>
    </xsd:element>
    <xsd:element name="MediaServiceLocation" ma:index="23" nillable="true" ma:displayName="Location" ma:description="" ma:indexed="true" ma:internalName="MediaServiceLocation" ma:readOnly="true">
      <xsd:simpleType>
        <xsd:restriction base="dms:Text"/>
      </xsd:simple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7df56aa-f336-4b80-aa61-75267864e9e7"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element name="TaxCatchAll" ma:index="22" nillable="true" ma:displayName="Taxonomy Catch All Column" ma:hidden="true" ma:list="{7d4497d0-85c4-42db-a314-a724548820ae}" ma:internalName="TaxCatchAll" ma:showField="CatchAllData" ma:web="07df56aa-f336-4b80-aa61-75267864e9e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565D79B-DE00-46FC-BD0F-DAD7DA4E7DC0}">
  <ds:schemaRefs>
    <ds:schemaRef ds:uri="http://schemas.microsoft.com/office/2006/metadata/properties"/>
    <ds:schemaRef ds:uri="http://schemas.microsoft.com/office/infopath/2007/PartnerControls"/>
    <ds:schemaRef ds:uri="76ddc973-6f3e-458c-98dc-616d12e59db2"/>
    <ds:schemaRef ds:uri="07df56aa-f336-4b80-aa61-75267864e9e7"/>
  </ds:schemaRefs>
</ds:datastoreItem>
</file>

<file path=customXml/itemProps2.xml><?xml version="1.0" encoding="utf-8"?>
<ds:datastoreItem xmlns:ds="http://schemas.openxmlformats.org/officeDocument/2006/customXml" ds:itemID="{68070EBA-576C-4954-82FF-4DA1AA9822DF}">
  <ds:schemaRefs>
    <ds:schemaRef ds:uri="http://schemas.microsoft.com/sharepoint/v3/contenttype/forms"/>
  </ds:schemaRefs>
</ds:datastoreItem>
</file>

<file path=customXml/itemProps3.xml><?xml version="1.0" encoding="utf-8"?>
<ds:datastoreItem xmlns:ds="http://schemas.openxmlformats.org/officeDocument/2006/customXml" ds:itemID="{C205D4B5-8846-4E04-9E3B-7D7AAA8CDEE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6ddc973-6f3e-458c-98dc-616d12e59db2"/>
    <ds:schemaRef ds:uri="07df56aa-f336-4b80-aa61-75267864e9e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18</vt:i4>
      </vt:variant>
      <vt:variant>
        <vt:lpstr>Rangos con nombre</vt:lpstr>
      </vt:variant>
      <vt:variant>
        <vt:i4>13</vt:i4>
      </vt:variant>
    </vt:vector>
  </HeadingPairs>
  <TitlesOfParts>
    <vt:vector size="31" baseType="lpstr">
      <vt:lpstr>FCT ANTERIOR</vt:lpstr>
      <vt:lpstr>CDC</vt:lpstr>
      <vt:lpstr>RESUMEN CIRCULAR_DEC_RESOLUCION</vt:lpstr>
      <vt:lpstr>1 Nápoles</vt:lpstr>
      <vt:lpstr>2 Visan</vt:lpstr>
      <vt:lpstr>3 Libertadora</vt:lpstr>
      <vt:lpstr>4 Del sur</vt:lpstr>
      <vt:lpstr>5 Squadra</vt:lpstr>
      <vt:lpstr>6 Nueva Era</vt:lpstr>
      <vt:lpstr>7 Pegaso</vt:lpstr>
      <vt:lpstr>8 Buho</vt:lpstr>
      <vt:lpstr>9 Azimut</vt:lpstr>
      <vt:lpstr>10 Seracis</vt:lpstr>
      <vt:lpstr>11 Acosta</vt:lpstr>
      <vt:lpstr>12 Vipcol 2 turnos</vt:lpstr>
      <vt:lpstr>12 VipcolMedios</vt:lpstr>
      <vt:lpstr>ENCUESTA</vt:lpstr>
      <vt:lpstr>OCULTAR</vt:lpstr>
      <vt:lpstr>ENCUESTA!APLICA</vt:lpstr>
      <vt:lpstr>ENCUESTA!APLICA.</vt:lpstr>
      <vt:lpstr>ENCUESTA!Área_de_impresión</vt:lpstr>
      <vt:lpstr>Comercio</vt:lpstr>
      <vt:lpstr>ENCUESTA!GRUPO</vt:lpstr>
      <vt:lpstr>M</vt:lpstr>
      <vt:lpstr>Manufacturero</vt:lpstr>
      <vt:lpstr>ENCUESTA!NO_APLICA</vt:lpstr>
      <vt:lpstr>O</vt:lpstr>
      <vt:lpstr>S</vt:lpstr>
      <vt:lpstr>Servicio</vt:lpstr>
      <vt:lpstr>Tamaño</vt:lpstr>
      <vt:lpstr>ENCUESTA!Títulos_a_imprimir</vt:lpstr>
    </vt:vector>
  </TitlesOfParts>
  <Manager/>
  <Company>ICBF</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Diego A Quintanilla</dc:creator>
  <cp:keywords/>
  <dc:description/>
  <cp:lastModifiedBy>Camila Gutierrez</cp:lastModifiedBy>
  <cp:revision/>
  <dcterms:created xsi:type="dcterms:W3CDTF">2013-08-22T20:49:37Z</dcterms:created>
  <dcterms:modified xsi:type="dcterms:W3CDTF">2026-08-13T01:18:23Z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0x010100CBAB2D1B7E1D91439D22BD14EE047FE5</vt:lpwstr>
  </property>
  <property fmtid="{D5CDD505-2E9C-101B-9397-08002B2CF9AE}" pid="3" name="Order">
    <vt:r8>2296000</vt:r8>
  </property>
  <property fmtid="{D5CDD505-2E9C-101B-9397-08002B2CF9AE}" pid="4" name="MediaServiceImageTags">
    <vt:lpwstr/>
  </property>
</Properties>
</file>