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5"/>
  <workbookPr filterPrivacy="1" defaultThemeVersion="202300"/>
  <xr:revisionPtr revIDLastSave="1089" documentId="13_ncr:1_{18FD0DCB-66BD-4319-9C89-4200F1D8A5D5}" xr6:coauthVersionLast="47" xr6:coauthVersionMax="47" xr10:uidLastSave="{F8213964-74D7-4F7E-896B-F095810BE98F}"/>
  <bookViews>
    <workbookView xWindow="0" yWindow="780" windowWidth="29040" windowHeight="15720" tabRatio="590" xr2:uid="{5122195D-27CB-4FA6-9CF3-E468EC0AC8BB}"/>
  </bookViews>
  <sheets>
    <sheet name="PRECIOS TECHO" sheetId="8" r:id="rId1"/>
    <sheet name="CONSOLIDADO" sheetId="12" r:id="rId2"/>
    <sheet name="COTIZACION COT-201-2026-HOMIL" sheetId="11" r:id="rId3"/>
    <sheet name="HISTORICIO" sheetId="10" r:id="rId4"/>
  </sheets>
  <definedNames>
    <definedName name="_xlnm._FilterDatabase" localSheetId="1" hidden="1">CONSOLIDADO!$B$2:$Y$24</definedName>
    <definedName name="_xlnm._FilterDatabase" localSheetId="3" hidden="1">HISTORICIO!$B$2:$L$24</definedName>
    <definedName name="_Hlk31791033" localSheetId="1">CONSOLIDADO!#REF!</definedName>
    <definedName name="_Hlk31791033" localSheetId="2">'COTIZACION COT-201-2026-HOMIL'!#REF!</definedName>
    <definedName name="_Hlk31791033" localSheetId="3">HISTORICIO!#REF!</definedName>
    <definedName name="_Hlk31791033" localSheetId="0">'PRECIOS TECHO'!#REF!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10" l="1"/>
  <c r="L12" i="10"/>
  <c r="K14" i="10"/>
  <c r="K12" i="10"/>
  <c r="J24" i="10"/>
  <c r="J14" i="10"/>
  <c r="J12" i="10"/>
  <c r="V12" i="12"/>
  <c r="U12" i="12"/>
  <c r="T12" i="12"/>
  <c r="S12" i="12"/>
  <c r="R12" i="12"/>
  <c r="Y7" i="12"/>
  <c r="Y5" i="12"/>
  <c r="Y4" i="12"/>
  <c r="Y3" i="12"/>
  <c r="G4" i="8"/>
  <c r="G5" i="8"/>
  <c r="G6" i="8"/>
  <c r="G7" i="8"/>
  <c r="G8" i="8"/>
  <c r="G9" i="8"/>
  <c r="G10" i="8"/>
  <c r="G11" i="8"/>
  <c r="G13" i="8"/>
  <c r="G14" i="8"/>
  <c r="G15" i="8"/>
  <c r="G16" i="8"/>
  <c r="G17" i="8"/>
  <c r="G18" i="8"/>
  <c r="G19" i="8"/>
  <c r="G20" i="8"/>
  <c r="G21" i="8"/>
  <c r="G22" i="8"/>
  <c r="G23" i="8"/>
  <c r="G24" i="8"/>
  <c r="G3" i="8"/>
  <c r="Y9" i="12"/>
  <c r="P7" i="12"/>
  <c r="Q7" i="12"/>
  <c r="R7" i="12"/>
  <c r="S7" i="12"/>
  <c r="T7" i="12"/>
  <c r="U7" i="12"/>
  <c r="V7" i="12"/>
  <c r="P8" i="12"/>
  <c r="Q8" i="12"/>
  <c r="R8" i="12"/>
  <c r="S8" i="12"/>
  <c r="T8" i="12"/>
  <c r="U8" i="12"/>
  <c r="V8" i="12"/>
  <c r="V6" i="12"/>
  <c r="U6" i="12"/>
  <c r="T6" i="12"/>
  <c r="S6" i="12"/>
  <c r="R6" i="12"/>
  <c r="Q6" i="12"/>
  <c r="P6" i="12"/>
  <c r="V24" i="12"/>
  <c r="U24" i="12"/>
  <c r="T24" i="12"/>
  <c r="S24" i="12"/>
  <c r="R24" i="12"/>
  <c r="Q24" i="12"/>
  <c r="P24" i="12"/>
  <c r="P19" i="12"/>
  <c r="Q19" i="12"/>
  <c r="R19" i="12"/>
  <c r="S19" i="12"/>
  <c r="T19" i="12"/>
  <c r="U19" i="12"/>
  <c r="V19" i="12"/>
  <c r="P20" i="12"/>
  <c r="Q20" i="12"/>
  <c r="R20" i="12"/>
  <c r="S20" i="12"/>
  <c r="T20" i="12"/>
  <c r="U20" i="12"/>
  <c r="V20" i="12"/>
  <c r="V18" i="12"/>
  <c r="U18" i="12"/>
  <c r="T18" i="12"/>
  <c r="S18" i="12"/>
  <c r="R18" i="12"/>
  <c r="Q18" i="12"/>
  <c r="P18" i="12"/>
  <c r="P14" i="12"/>
  <c r="Q14" i="12"/>
  <c r="R14" i="12"/>
  <c r="S14" i="12"/>
  <c r="T14" i="12"/>
  <c r="U14" i="12"/>
  <c r="V14" i="12"/>
  <c r="P15" i="12"/>
  <c r="Q15" i="12"/>
  <c r="R15" i="12"/>
  <c r="S15" i="12"/>
  <c r="T15" i="12"/>
  <c r="U15" i="12"/>
  <c r="V15" i="12"/>
  <c r="V13" i="12"/>
  <c r="U13" i="12"/>
  <c r="T13" i="12"/>
  <c r="S13" i="12"/>
  <c r="R13" i="12"/>
  <c r="Q13" i="12"/>
  <c r="P13" i="12"/>
  <c r="V11" i="12"/>
  <c r="U11" i="12"/>
  <c r="T11" i="12"/>
  <c r="S11" i="12"/>
  <c r="R11" i="12"/>
  <c r="Q11" i="12"/>
  <c r="P11" i="12"/>
  <c r="P5" i="12"/>
  <c r="Q5" i="12"/>
  <c r="R5" i="12"/>
  <c r="S5" i="12"/>
  <c r="T5" i="12"/>
  <c r="U5" i="12"/>
  <c r="V5" i="12"/>
  <c r="P9" i="12"/>
  <c r="Q9" i="12"/>
  <c r="R9" i="12"/>
  <c r="S9" i="12"/>
  <c r="T9" i="12"/>
  <c r="U9" i="12"/>
  <c r="V9" i="12"/>
  <c r="P10" i="12"/>
  <c r="Q10" i="12"/>
  <c r="R10" i="12"/>
  <c r="S10" i="12"/>
  <c r="T10" i="12"/>
  <c r="U10" i="12"/>
  <c r="V10" i="12"/>
  <c r="P12" i="12"/>
  <c r="Q12" i="12"/>
  <c r="P16" i="12"/>
  <c r="Q16" i="12"/>
  <c r="R16" i="12"/>
  <c r="S16" i="12"/>
  <c r="T16" i="12"/>
  <c r="U16" i="12"/>
  <c r="V16" i="12"/>
  <c r="P17" i="12"/>
  <c r="Q17" i="12"/>
  <c r="R17" i="12"/>
  <c r="S17" i="12"/>
  <c r="T17" i="12"/>
  <c r="U17" i="12"/>
  <c r="V17" i="12"/>
  <c r="P21" i="12"/>
  <c r="Q21" i="12"/>
  <c r="R21" i="12"/>
  <c r="S21" i="12"/>
  <c r="T21" i="12"/>
  <c r="U21" i="12"/>
  <c r="V21" i="12"/>
  <c r="P22" i="12"/>
  <c r="Q22" i="12"/>
  <c r="R22" i="12"/>
  <c r="S22" i="12"/>
  <c r="T22" i="12"/>
  <c r="U22" i="12"/>
  <c r="V22" i="12"/>
  <c r="P23" i="12"/>
  <c r="Q23" i="12"/>
  <c r="R23" i="12"/>
  <c r="S23" i="12"/>
  <c r="T23" i="12"/>
  <c r="U23" i="12"/>
  <c r="V23" i="12"/>
  <c r="V4" i="12"/>
  <c r="U4" i="12"/>
  <c r="T4" i="12"/>
  <c r="S4" i="12"/>
  <c r="R4" i="12"/>
  <c r="Q4" i="12"/>
  <c r="W10" i="12"/>
  <c r="W22" i="12"/>
  <c r="P3" i="12"/>
  <c r="V3" i="12"/>
  <c r="U3" i="12"/>
  <c r="T3" i="12"/>
  <c r="S3" i="12"/>
  <c r="R3" i="12"/>
  <c r="Q3" i="12"/>
  <c r="J4" i="10"/>
  <c r="J5" i="10"/>
  <c r="J6" i="10"/>
  <c r="K6" i="10"/>
  <c r="L6" i="10"/>
  <c r="J7" i="10"/>
  <c r="K7" i="10"/>
  <c r="L7" i="10"/>
  <c r="J8" i="10"/>
  <c r="K8" i="10"/>
  <c r="L8" i="10"/>
  <c r="J9" i="10"/>
  <c r="J10" i="10"/>
  <c r="J11" i="10"/>
  <c r="K11" i="10"/>
  <c r="L11" i="10"/>
  <c r="J13" i="10"/>
  <c r="K13" i="10"/>
  <c r="L13" i="10"/>
  <c r="J15" i="10"/>
  <c r="K15" i="10"/>
  <c r="L15" i="10"/>
  <c r="J16" i="10"/>
  <c r="J17" i="10"/>
  <c r="J18" i="10"/>
  <c r="J19" i="10"/>
  <c r="J20" i="10"/>
  <c r="J21" i="10"/>
  <c r="J22" i="10"/>
  <c r="J23" i="10"/>
  <c r="K24" i="12"/>
  <c r="H24" i="12"/>
  <c r="K23" i="12"/>
  <c r="H23" i="12"/>
  <c r="K22" i="12"/>
  <c r="H22" i="12"/>
  <c r="K21" i="12"/>
  <c r="H21" i="12"/>
  <c r="K20" i="12"/>
  <c r="H20" i="12"/>
  <c r="K19" i="12"/>
  <c r="H19" i="12"/>
  <c r="K18" i="12"/>
  <c r="H18" i="12"/>
  <c r="K17" i="12"/>
  <c r="H17" i="12"/>
  <c r="K16" i="12"/>
  <c r="H16" i="12"/>
  <c r="K15" i="12"/>
  <c r="H15" i="12"/>
  <c r="K14" i="12"/>
  <c r="H14" i="12"/>
  <c r="K13" i="12"/>
  <c r="H13" i="12"/>
  <c r="K12" i="12"/>
  <c r="H12" i="12"/>
  <c r="K11" i="12"/>
  <c r="H11" i="12"/>
  <c r="K10" i="12"/>
  <c r="H10" i="12"/>
  <c r="K9" i="12"/>
  <c r="H9" i="12"/>
  <c r="K8" i="12"/>
  <c r="H8" i="12"/>
  <c r="K7" i="12"/>
  <c r="H7" i="12"/>
  <c r="K6" i="12"/>
  <c r="H6" i="12"/>
  <c r="K5" i="12"/>
  <c r="H5" i="12"/>
  <c r="K4" i="12"/>
  <c r="H4" i="12"/>
  <c r="K3" i="12"/>
  <c r="H3" i="12"/>
  <c r="K3" i="10"/>
  <c r="L3" i="10"/>
  <c r="J3" i="10"/>
  <c r="H4" i="10"/>
  <c r="H5" i="10"/>
  <c r="H10" i="10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H4" i="11"/>
  <c r="H3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5" i="11"/>
  <c r="K4" i="11"/>
  <c r="K3" i="11"/>
  <c r="H9" i="10"/>
  <c r="H18" i="10"/>
  <c r="H19" i="10"/>
  <c r="H20" i="10"/>
  <c r="H21" i="10"/>
  <c r="H22" i="10"/>
  <c r="H23" i="10"/>
  <c r="H17" i="10"/>
  <c r="H16" i="10"/>
  <c r="J25" i="11"/>
  <c r="K25" i="11" s="1"/>
  <c r="L25" i="11" s="1"/>
  <c r="G25" i="11"/>
  <c r="W12" i="12" l="1"/>
  <c r="Y12" i="12"/>
  <c r="G12" i="8" s="1"/>
  <c r="H4" i="8"/>
  <c r="H5" i="8"/>
  <c r="I5" i="8"/>
  <c r="H6" i="8"/>
  <c r="I6" i="8"/>
  <c r="H7" i="8"/>
  <c r="I7" i="8"/>
  <c r="H8" i="8"/>
  <c r="I8" i="8"/>
  <c r="H9" i="8"/>
  <c r="I9" i="8"/>
  <c r="H10" i="8"/>
  <c r="I10" i="8"/>
  <c r="H13" i="8"/>
  <c r="H15" i="8"/>
  <c r="H20" i="8"/>
  <c r="I20" i="8" s="1"/>
  <c r="H22" i="8"/>
  <c r="H24" i="8"/>
  <c r="H11" i="8"/>
  <c r="I13" i="8"/>
  <c r="H14" i="8"/>
  <c r="I15" i="8"/>
  <c r="H16" i="8"/>
  <c r="I16" i="8"/>
  <c r="H17" i="8"/>
  <c r="I17" i="8" s="1"/>
  <c r="H18" i="8"/>
  <c r="H19" i="8"/>
  <c r="I19" i="8"/>
  <c r="H21" i="8"/>
  <c r="H23" i="8"/>
  <c r="I23" i="8" s="1"/>
  <c r="H3" i="8"/>
  <c r="I3" i="8" s="1"/>
  <c r="I24" i="8"/>
  <c r="W17" i="12"/>
  <c r="Y23" i="12"/>
  <c r="Y21" i="12"/>
  <c r="Y18" i="12"/>
  <c r="Y17" i="12"/>
  <c r="Y16" i="12"/>
  <c r="Y15" i="12"/>
  <c r="W16" i="12"/>
  <c r="Y10" i="12"/>
  <c r="Y24" i="12"/>
  <c r="Y22" i="12"/>
  <c r="Y20" i="12"/>
  <c r="Y19" i="12"/>
  <c r="Y14" i="12"/>
  <c r="Y13" i="12"/>
  <c r="Y11" i="12"/>
  <c r="Y8" i="12"/>
  <c r="Y6" i="12"/>
  <c r="W13" i="12"/>
  <c r="W9" i="12"/>
  <c r="W21" i="12"/>
  <c r="W23" i="12"/>
  <c r="W7" i="12"/>
  <c r="W8" i="12"/>
  <c r="W6" i="12"/>
  <c r="I18" i="10"/>
  <c r="W24" i="12"/>
  <c r="W20" i="12"/>
  <c r="W19" i="12"/>
  <c r="W18" i="12"/>
  <c r="W15" i="12"/>
  <c r="W14" i="12"/>
  <c r="W11" i="12"/>
  <c r="W5" i="12"/>
  <c r="W4" i="12"/>
  <c r="W3" i="12"/>
  <c r="K4" i="10"/>
  <c r="K5" i="10"/>
  <c r="I10" i="10"/>
  <c r="L10" i="10" s="1"/>
  <c r="K9" i="10"/>
  <c r="K10" i="10"/>
  <c r="K22" i="10"/>
  <c r="K16" i="10"/>
  <c r="K17" i="10"/>
  <c r="K18" i="10"/>
  <c r="K19" i="10"/>
  <c r="K20" i="10"/>
  <c r="K21" i="10"/>
  <c r="K23" i="10"/>
  <c r="P4" i="12"/>
  <c r="L18" i="12"/>
  <c r="I18" i="12"/>
  <c r="L17" i="12"/>
  <c r="I17" i="12"/>
  <c r="L16" i="12"/>
  <c r="I16" i="12"/>
  <c r="L15" i="12"/>
  <c r="I15" i="12"/>
  <c r="L14" i="12"/>
  <c r="I14" i="12"/>
  <c r="L13" i="12"/>
  <c r="I13" i="12"/>
  <c r="L12" i="12"/>
  <c r="I12" i="12"/>
  <c r="L11" i="12"/>
  <c r="I11" i="12"/>
  <c r="L10" i="12"/>
  <c r="I10" i="12"/>
  <c r="L9" i="12"/>
  <c r="I9" i="12"/>
  <c r="L8" i="12"/>
  <c r="I8" i="12"/>
  <c r="L7" i="12"/>
  <c r="I7" i="12"/>
  <c r="L6" i="12"/>
  <c r="I6" i="12"/>
  <c r="L5" i="12"/>
  <c r="I5" i="12"/>
  <c r="L4" i="12"/>
  <c r="I4" i="12"/>
  <c r="L3" i="12"/>
  <c r="I3" i="12"/>
  <c r="L24" i="12"/>
  <c r="I24" i="12"/>
  <c r="L23" i="12"/>
  <c r="I23" i="12"/>
  <c r="L22" i="12"/>
  <c r="I22" i="12"/>
  <c r="L21" i="12"/>
  <c r="I21" i="12"/>
  <c r="L20" i="12"/>
  <c r="I20" i="12"/>
  <c r="L19" i="12"/>
  <c r="I19" i="12"/>
  <c r="I4" i="10"/>
  <c r="L4" i="10" s="1"/>
  <c r="I5" i="10"/>
  <c r="L5" i="10" s="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3" i="11"/>
  <c r="I24" i="11"/>
  <c r="I23" i="11"/>
  <c r="I22" i="11"/>
  <c r="I21" i="11"/>
  <c r="I20" i="11"/>
  <c r="I19" i="11"/>
  <c r="L24" i="11"/>
  <c r="L23" i="11"/>
  <c r="L22" i="11"/>
  <c r="L21" i="11"/>
  <c r="L20" i="11"/>
  <c r="L19" i="11"/>
  <c r="L18" i="11"/>
  <c r="L17" i="11"/>
  <c r="L16" i="11"/>
  <c r="L15" i="11"/>
  <c r="L14" i="11"/>
  <c r="L13" i="11"/>
  <c r="L12" i="11"/>
  <c r="L11" i="11"/>
  <c r="L10" i="11"/>
  <c r="L9" i="11"/>
  <c r="L8" i="11"/>
  <c r="L7" i="11"/>
  <c r="L6" i="11"/>
  <c r="L5" i="11"/>
  <c r="L4" i="11"/>
  <c r="L3" i="11"/>
  <c r="I9" i="10"/>
  <c r="L9" i="10" s="1"/>
  <c r="I19" i="10"/>
  <c r="L19" i="10" s="1"/>
  <c r="I20" i="10"/>
  <c r="L20" i="10" s="1"/>
  <c r="I21" i="10"/>
  <c r="L21" i="10" s="1"/>
  <c r="I22" i="10"/>
  <c r="L22" i="10" s="1"/>
  <c r="I16" i="10"/>
  <c r="L16" i="10" s="1"/>
  <c r="I23" i="10"/>
  <c r="L23" i="10" s="1"/>
  <c r="I17" i="10"/>
  <c r="L17" i="10" s="1"/>
  <c r="H25" i="11"/>
  <c r="I25" i="11" s="1"/>
  <c r="I18" i="8" l="1"/>
  <c r="I4" i="8"/>
  <c r="L18" i="10"/>
  <c r="H12" i="8"/>
  <c r="I12" i="8"/>
  <c r="I22" i="8"/>
  <c r="I11" i="8"/>
  <c r="I14" i="8"/>
  <c r="I21" i="8"/>
</calcChain>
</file>

<file path=xl/sharedStrings.xml><?xml version="1.0" encoding="utf-8"?>
<sst xmlns="http://schemas.openxmlformats.org/spreadsheetml/2006/main" count="349" uniqueCount="76">
  <si>
    <t>CANTIDAD</t>
  </si>
  <si>
    <t>VALOR TOTAL</t>
  </si>
  <si>
    <t>VALOR TOTAL UNITARIO</t>
  </si>
  <si>
    <t>IVA
(Si Aplica)</t>
  </si>
  <si>
    <t>ÍTEM</t>
  </si>
  <si>
    <t>BIEN O SERVICIO</t>
  </si>
  <si>
    <t>ESPECIFICACIONES</t>
  </si>
  <si>
    <t>1. Material: 25% fibra de vidrio 75% PVC.
2. Peso 522 ±5 g/m2 
3. Calibre: 0.42 
4. Nivel Privación: Black / Opacidad
5. Numero de colores : 4
6. Retardante al fuego : Certificación antiflama NFPA 701-2004 TM #1 (small scale)
7. Bloque de Rayos UV 100%
8. Libre de plomo
9. Tela compuesta de 4 capas, que proveen absoluta privacidad.
10. Material del tubo: Aluminio ranurado (resistente a la corrosión y a las roturas).
11. Tratamiento anti ácaros
12. Tratamiento para evitar aparición de hongos 
13. Resistencia a la tracción
14. Resistencia al desgarre</t>
  </si>
  <si>
    <t>TAPETES ANTIBACTERIANO, ANTIDESLIZANTES PARA DUCHA.</t>
  </si>
  <si>
    <t>1. Con ventosas y puntos de masajes.
2. Estera de caucho natural.
3. Dimensiones: 64 cm largo x 43 cm de ancho.</t>
  </si>
  <si>
    <t xml:space="preserve">CORTINAS EN VINILO ANTIBACTERIAL TRANSPARENTE PARA BAÑO </t>
  </si>
  <si>
    <t>UNIDAD</t>
  </si>
  <si>
    <t>M2</t>
  </si>
  <si>
    <t>ML</t>
  </si>
  <si>
    <t>1. Material: 25% poliester 75% PVC
2. Peso 295 gr/m2 ± 3 % 
3. Espesor +/- 0.70mm +/- 0.02
4. Ancho 2.50m y 3.00m
5. Número de colores : 4
6. Retardante al fuego : Certificación antiflama NFPA 701-2004 
7: Bloqueo de Rayos UV 81%
8. Resistencia a la luz:  clase 8
9. Libre de plomo
10. Tratamiento antiacaros
11. Tratamiento para evitar aparición de hongos</t>
  </si>
  <si>
    <t>RIEL FLEXIRIEL</t>
  </si>
  <si>
    <t>SOPORTE DE INSTALACION A TECHO PARA RIEL</t>
  </si>
  <si>
    <t xml:space="preserve"> TAPON O TAPA LATERAL PARA RIEL</t>
  </si>
  <si>
    <t>De alta resistencia.</t>
  </si>
  <si>
    <t>RODACHINES</t>
  </si>
  <si>
    <t>GANCHOS</t>
  </si>
  <si>
    <t>CAMBIO DE CADENA Y CAMBIO DE FRENOS</t>
  </si>
  <si>
    <t>CORTINA ENROLLABLE</t>
  </si>
  <si>
    <t>LAVADO Y DESINFECCIÓN</t>
  </si>
  <si>
    <t>MECANISMO CORTINA ENROLLABLE</t>
  </si>
  <si>
    <t>CORTE LATERAL CORTINA BLACK OUT</t>
  </si>
  <si>
    <t>UNIDAD
DE MEDIDA</t>
  </si>
  <si>
    <t>1. Material: Plastico de alta resistencia.</t>
  </si>
  <si>
    <t>1. Material: Plastico de alta resistencia.
2. Longitud: 8 cm</t>
  </si>
  <si>
    <t>Mantenimiento pegue de CORTINA ENROLLABLE</t>
  </si>
  <si>
    <t xml:space="preserve">De BLACK OUT, SOLAR SCREEN Y SHEER ELEGENCE. </t>
  </si>
  <si>
    <t>1. R-8 
2. Con cadenilla incluída.</t>
  </si>
  <si>
    <t>1. R-16
2. Con cadenilla incluída.</t>
  </si>
  <si>
    <t>1. R-24
2. Con cadenilla incluída.</t>
  </si>
  <si>
    <t>TOTAL</t>
  </si>
  <si>
    <t>1. Repelente al agua
2. De secado rápido.
3. Resistente al moho.
4. Debe tener el logo del Hospital Militar Central.
5. Dimensiones: Entre 1.80 y 2.00 de alto x 1.50 ancho.
6. Calibre: 20</t>
  </si>
  <si>
    <t xml:space="preserve">TUBO PARA CORTINA REDONDO FABRICADO EN ACERO INOXIDABLE </t>
  </si>
  <si>
    <t>Incluye soporte riel/techo, terminales de riel.
El ítem contempla:
•Suministro de riel suizo flexible 
•Soportes de fijación a techo o estructura (riel/techo) 
•Terminales o topes de riel 
•Accesorios de instalación necesarios 
•Desmonte y retiro de cortinas existentes, cuando aplique
•Montaje y adecuación de cortinas existentes o nuevas sobre el sistema instalado, según requerimiento de la entidad</t>
  </si>
  <si>
    <t>Mantenimiento cambio de CADENA hasta 3 cm y cambio de frenos. (Hace referencia a candados o mecanismos de bloqueo propios de cortinas convencionales.)</t>
  </si>
  <si>
    <t>Servicio de corte y ajuste de lateral de cortina tipo Black Out, consistente en la adecuación dimensional del borde lateral de la cortina para garantizar su correcta instalación, alineación y funcionamiento dentro del sistema existente.</t>
  </si>
  <si>
    <t xml:space="preserve">CORTINA HOSPITALARIA        INCLUYE EL RETIRO DE LAS CORTINAS INSTALADAS. </t>
  </si>
  <si>
    <t>CORTINAS BLACK OUT ENROLLABLES                       INCLUYE EL RETIRO DE LAS CORTINAS Y/O BLACK OUT INSTALADOS.</t>
  </si>
  <si>
    <t xml:space="preserve">CORTINAS SOLAR SCREEN ENROLLABLES                                                                        INLCLUYE RETIRO DE CORTINAS ENRROLARSE INSTALADAS                        </t>
  </si>
  <si>
    <t>CORTINAS SHEER ELEGANCE SCREEN  INCLUYE EL RETIRO DE LAS CORTINAS ENRROLLABLES INSTALADAS.</t>
  </si>
  <si>
    <t>RIEL SUIZO FLEXIBLE        INCLUYE EL RETIRO DE LAS CORTINAS ENRROLLABLES INSTALADAS.</t>
  </si>
  <si>
    <t>RIEL SUIZO CURVO              INCLUYE EL RETIRO DE LAS CORTINAS ENRROLLABLES INSTALADAS.</t>
  </si>
  <si>
    <t>SIO SAS</t>
  </si>
  <si>
    <t>PROVEEDOR INSTITUCIONAL S.A.S</t>
  </si>
  <si>
    <t xml:space="preserve">CORTINA HOSPITALARIA </t>
  </si>
  <si>
    <t>Especificaciones cortina:
1. Ancho 150± 3 cm
2. Peso: (masa/unidad de área) (*A): 133 ± 7g/m2 ASTM D3776- 20OPC.C.
3. Bloqueo UVA (SECO): Min 96.00 %AATCC 183. 
4. Bloqueo UVB (SECO): Min 99.00% AATCC 183. 
5. Factor protección UPF (HUMEDO): Min 50.00 UPF AATCC 183. 
6. Factor de protección UPF (SECO): Min 50.00 UPF AATCC 183. 
7. Repelencia agua (*A): Min 90.00 e AATCC 22-2017. 
8. Repelencia agua (50 LAV): Min 80.00 e AATCC 22/AATCC 124. 2
9. Pasadas (*A): 30.5± 1 hilo/cm ASTM D3775-17E1DERECHO TELA. 
10. Composición: 100.00% Filamento de poliéster. 
11. Tecnología Cloro resistente / Norma AATCC 61. 
12. Tecnología Antifluido / Norma 22 / AATCC 124 / AATCC 22-2017.
13. Peso 133 ± 7 g/m2
Tela tipo malla:
1. Ancho 300 ± 2 cm
2. Peso  (masa /unidad de área) 129.5 ± 6.5 g/m2
3. 100% Filamento de poliéster
Riel:
1. Material: aleación de aluminio.
2. Perfil (ancho * alto) de 18*20.
3. Color blanco.
4. Pistas doble individual:
4.1. Recubrimiento de alta tecnología con resistencia al impacto, cada pista debe estar equipada con imán de plástico y ganchos Pera Plástico.</t>
  </si>
  <si>
    <t>CORTINAS BLACK OUT ENROLLABLES</t>
  </si>
  <si>
    <t>CORTINAS SOLAR SCREEN ENROLLABLES</t>
  </si>
  <si>
    <t>Fibras
1. Recubiertas en PVC en su exterior
2. Resistencia: alta densidad y elasticidad.
3. Acabado de color: Debe permitir una relación visual con el exterior y evitar tanto el sobre – exposición lumínico y como reflejos al interior del espacio
4. Bloqueo de Rayos UV 95%.
5.Libre de plomo.
6. Resistencia: La tela debe estar esterilizada contra acaros, virus, hongos, y bacterias.
7. Retardante al fuego.
8. Composición: 35% PES + 65% PVC
9. Peso: 420gr/m2+- 3%
10. Espesor: 0.55mm+- 0.02mm
11. Factor de apertura: 5%
12. Bloqueo UV: 95%
13. Resistencia a la luz: Clase 4 – 5
14. Retardante al fuego: NFPA 701
15. Resistencia a la tracción
16. Resistencia al cambio de color
17. Resistencia a la abrasión
18. Resistencia al desgarre</t>
  </si>
  <si>
    <t>1. Repelente al agua
2. De secado rápido.
3. Resistente al moho.
4. Debe tener el logo del Hospital Militar Central.
5. Dimensiones: Entre 1.80 y 1.90 m de alto x 1.50 m ancho.
6. Calibre: 20</t>
  </si>
  <si>
    <t>Tubo:
1. Diámetro:1”(pulgada).
2. Calibre: 18.
Anclajes
1. A muros, redondos de 2”  (pulgadas).
2.  Tres (3) anclajes, en acero inoxidable.
3. Incluye curvas, cortes y adecuaciones necesarios para su instalación.</t>
  </si>
  <si>
    <t>RIEL SUIZO FLEXIBLE</t>
  </si>
  <si>
    <t>CORTINAS SHEER ELEGANCE SCREEN                                  (INCLUYE EL RETIRO DE LAS CORTINAS ENRROLLABLES INSTALADAS.)</t>
  </si>
  <si>
    <t>Incluye soporte riel/techo, terminales de riel, desmonte y montaje de cortinas existentes.</t>
  </si>
  <si>
    <t>RIEL SUIZO CURVO              Suministro e instalación</t>
  </si>
  <si>
    <t>Suministro e instalación de RIEL FLEXIRIEL. Incluye desmonte y montaje de cortinas existentes</t>
  </si>
  <si>
    <t>RIEL FLEXIRIEL                               Suministro e instalación</t>
  </si>
  <si>
    <t>MANTENIMIENTO CORTINA ENROLLABLE</t>
  </si>
  <si>
    <t xml:space="preserve">CONTRATO NO. 315-2025 -SIO SAS </t>
  </si>
  <si>
    <t>CONTRATO NO. 315-2025 -SIO SAS  INDEXADO IPC 2025 5,10%</t>
  </si>
  <si>
    <t xml:space="preserve">MINIMO </t>
  </si>
  <si>
    <t>MAXIMO</t>
  </si>
  <si>
    <t>MEDIANA</t>
  </si>
  <si>
    <t>MEDIA ARMONICA</t>
  </si>
  <si>
    <t>PROMEDIO</t>
  </si>
  <si>
    <t>MEDIA GEOMETRICA</t>
  </si>
  <si>
    <t>DESVIACION</t>
  </si>
  <si>
    <t>DISPERSION</t>
  </si>
  <si>
    <t>METRICA</t>
  </si>
  <si>
    <t>PRECIO TECHO ANTES DE IVA</t>
  </si>
  <si>
    <t>MENOR VALOR</t>
  </si>
  <si>
    <t>PRECIO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</si>
</sst>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 [$$-240A]\ * #,##0.00_ ;_ [$$-240A]\ * \-#,##0.00_ ;_ [$$-240A]\ * &quot;-&quot;??_ ;_ @_ "/>
    <numFmt numFmtId="166" formatCode="&quot;$&quot;\ #,##0.00"/>
    <numFmt numFmtId="167" formatCode="&quot;$&quot;\ #,##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2"/>
      <color theme="4" tint="-0.249977111117893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16"/>
      <color theme="1"/>
      <name val="Aptos Narrow"/>
      <family val="2"/>
      <scheme val="minor"/>
    </font>
    <font>
      <sz val="11"/>
      <color rgb="FFFF0000"/>
      <name val="Arial Narrow"/>
      <family val="2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165" fontId="1" fillId="0" borderId="0"/>
    <xf numFmtId="165" fontId="2" fillId="0" borderId="0"/>
    <xf numFmtId="165" fontId="2" fillId="0" borderId="0" applyFont="0" applyFill="0" applyBorder="0" applyAlignment="0" applyProtection="0"/>
    <xf numFmtId="165" fontId="2" fillId="0" borderId="0"/>
    <xf numFmtId="165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6" fontId="5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7" fontId="7" fillId="3" borderId="1" xfId="0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7" fontId="0" fillId="0" borderId="0" xfId="0" applyNumberFormat="1"/>
    <xf numFmtId="167" fontId="5" fillId="0" borderId="0" xfId="0" applyNumberFormat="1" applyFont="1"/>
    <xf numFmtId="0" fontId="7" fillId="0" borderId="1" xfId="0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11" fillId="0" borderId="1" xfId="17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67" fontId="8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18">
    <cellStyle name="Moneda 2" xfId="3" xr:uid="{75E7357E-798D-48BC-BD80-29A9F43E981D}"/>
    <cellStyle name="Moneda 3" xfId="6" xr:uid="{6A3565D3-97F5-47FB-A475-7E49ECF9E483}"/>
    <cellStyle name="Moneda 4" xfId="14" xr:uid="{F9F6E8DC-EC29-4E2B-AAF1-A8647FA99135}"/>
    <cellStyle name="Normal" xfId="0" builtinId="0"/>
    <cellStyle name="Normal 2" xfId="2" xr:uid="{B19B1516-123D-4A52-BFCF-DF813CD80D15}"/>
    <cellStyle name="Normal 2 2" xfId="4" xr:uid="{628EDED4-D49D-41D6-8F48-E51CF0E236C5}"/>
    <cellStyle name="Normal 2 2 2" xfId="9" xr:uid="{8E541894-3971-403A-B32D-E13D8FF641C5}"/>
    <cellStyle name="Normal 2 3" xfId="8" xr:uid="{3EB38A63-73CE-44B0-A196-C1E4097137B3}"/>
    <cellStyle name="Normal 2 3 2" xfId="11" xr:uid="{F257537F-49FB-4432-ABD2-7E96B72939C6}"/>
    <cellStyle name="Normal 3" xfId="7" xr:uid="{DA6418EA-C0A3-4E1D-98A6-A6323754BCAA}"/>
    <cellStyle name="Normal 3 3" xfId="5" xr:uid="{F279B5AA-1884-42A0-8181-88E71EF48D8B}"/>
    <cellStyle name="Normal 4" xfId="10" xr:uid="{C6476578-DC7A-4998-A575-927B393367E1}"/>
    <cellStyle name="Normal 5" xfId="12" xr:uid="{41914CA7-F1CD-405E-AB7D-F72A703AC825}"/>
    <cellStyle name="Normal 6" xfId="13" xr:uid="{54765053-BCE8-4F8C-A4C0-DC1530DCF674}"/>
    <cellStyle name="Normal 7" xfId="15" xr:uid="{459FE6AA-25EC-4084-ABF0-D638574F3338}"/>
    <cellStyle name="Normal 8" xfId="16" xr:uid="{5B7028E3-2375-4835-872C-48A1123A7CFC}"/>
    <cellStyle name="Normal 9" xfId="1" xr:uid="{EA9B0BE7-DA65-48BE-AA87-9C08834CBD38}"/>
    <cellStyle name="Porcentaje" xfId="1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24</xdr:row>
      <xdr:rowOff>165653</xdr:rowOff>
    </xdr:from>
    <xdr:to>
      <xdr:col>23</xdr:col>
      <xdr:colOff>855869</xdr:colOff>
      <xdr:row>35</xdr:row>
      <xdr:rowOff>124240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9999BA-B26E-46D0-8559-A50D1EEFD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465761" y="32757718"/>
          <a:ext cx="7164456" cy="2236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7A07F-19E6-42DD-AA6C-CEEFB9F49F83}">
  <dimension ref="B1:I24"/>
  <sheetViews>
    <sheetView showGridLines="0" tabSelected="1" topLeftCell="A11" zoomScale="69" zoomScaleNormal="100" workbookViewId="0">
      <selection activeCell="I24" sqref="B1:I24"/>
    </sheetView>
  </sheetViews>
  <sheetFormatPr baseColWidth="10" defaultColWidth="11.5" defaultRowHeight="15" x14ac:dyDescent="0.2"/>
  <cols>
    <col min="1" max="1" width="2.33203125" customWidth="1"/>
    <col min="2" max="2" width="29.33203125" style="2" customWidth="1"/>
    <col min="3" max="3" width="34.5" style="2" customWidth="1"/>
    <col min="4" max="4" width="81" style="2" customWidth="1"/>
    <col min="5" max="5" width="13" style="5" customWidth="1"/>
    <col min="6" max="6" width="20.5" style="2" customWidth="1"/>
    <col min="7" max="7" width="15" style="2" bestFit="1" customWidth="1"/>
    <col min="8" max="8" width="12.5" style="2" bestFit="1" customWidth="1"/>
    <col min="9" max="9" width="15" style="2" bestFit="1" customWidth="1"/>
  </cols>
  <sheetData>
    <row r="1" spans="2:9" ht="20" x14ac:dyDescent="0.2">
      <c r="G1" s="23" t="s">
        <v>75</v>
      </c>
      <c r="H1" s="23"/>
      <c r="I1" s="23"/>
    </row>
    <row r="2" spans="2:9" s="1" customFormat="1" ht="78.75" customHeight="1" x14ac:dyDescent="0.2">
      <c r="B2" s="6" t="s">
        <v>4</v>
      </c>
      <c r="C2" s="6" t="s">
        <v>5</v>
      </c>
      <c r="D2" s="6" t="s">
        <v>6</v>
      </c>
      <c r="E2" s="6" t="s">
        <v>0</v>
      </c>
      <c r="F2" s="6" t="s">
        <v>26</v>
      </c>
      <c r="G2" s="6" t="s">
        <v>2</v>
      </c>
      <c r="H2" s="6" t="s">
        <v>3</v>
      </c>
      <c r="I2" s="6" t="s">
        <v>1</v>
      </c>
    </row>
    <row r="3" spans="2:9" s="1" customFormat="1" ht="409.5" customHeight="1" x14ac:dyDescent="0.2">
      <c r="B3" s="7">
        <v>1</v>
      </c>
      <c r="C3" s="7" t="s">
        <v>40</v>
      </c>
      <c r="D3" s="10" t="s">
        <v>49</v>
      </c>
      <c r="E3" s="4">
        <v>1</v>
      </c>
      <c r="F3" s="3" t="s">
        <v>12</v>
      </c>
      <c r="G3" s="8">
        <f>ROUND(CONSOLIDADO!Y3,0)</f>
        <v>180000</v>
      </c>
      <c r="H3" s="8">
        <f>+G3*0.19</f>
        <v>34200</v>
      </c>
      <c r="I3" s="8">
        <f>G3+H3</f>
        <v>214200</v>
      </c>
    </row>
    <row r="4" spans="2:9" s="1" customFormat="1" ht="246.75" customHeight="1" x14ac:dyDescent="0.2">
      <c r="B4" s="7">
        <v>2</v>
      </c>
      <c r="C4" s="7" t="s">
        <v>41</v>
      </c>
      <c r="D4" s="10" t="s">
        <v>7</v>
      </c>
      <c r="E4" s="4">
        <v>1</v>
      </c>
      <c r="F4" s="3" t="s">
        <v>12</v>
      </c>
      <c r="G4" s="8">
        <f>ROUND(CONSOLIDADO!Y4,0)</f>
        <v>71468</v>
      </c>
      <c r="H4" s="8">
        <f t="shared" ref="H4:H24" si="0">+G4*0.19</f>
        <v>13578.92</v>
      </c>
      <c r="I4" s="8">
        <f t="shared" ref="I4:I24" si="1">G4+H4</f>
        <v>85046.92</v>
      </c>
    </row>
    <row r="5" spans="2:9" s="1" customFormat="1" ht="356.25" customHeight="1" x14ac:dyDescent="0.2">
      <c r="B5" s="7">
        <v>3</v>
      </c>
      <c r="C5" s="7" t="s">
        <v>42</v>
      </c>
      <c r="D5" s="10" t="s">
        <v>52</v>
      </c>
      <c r="E5" s="4">
        <v>1</v>
      </c>
      <c r="F5" s="3" t="s">
        <v>12</v>
      </c>
      <c r="G5" s="8">
        <f>ROUND(CONSOLIDADO!Y5,0)</f>
        <v>119693</v>
      </c>
      <c r="H5" s="8">
        <f t="shared" si="0"/>
        <v>22741.670000000002</v>
      </c>
      <c r="I5" s="8">
        <f t="shared" si="1"/>
        <v>142434.67000000001</v>
      </c>
    </row>
    <row r="6" spans="2:9" s="1" customFormat="1" ht="76.5" customHeight="1" x14ac:dyDescent="0.2">
      <c r="B6" s="7">
        <v>4</v>
      </c>
      <c r="C6" s="7" t="s">
        <v>8</v>
      </c>
      <c r="D6" s="10" t="s">
        <v>9</v>
      </c>
      <c r="E6" s="4">
        <v>1</v>
      </c>
      <c r="F6" s="3" t="s">
        <v>11</v>
      </c>
      <c r="G6" s="8">
        <f>ROUND(CONSOLIDADO!Y6,0)</f>
        <v>69000</v>
      </c>
      <c r="H6" s="8">
        <f t="shared" si="0"/>
        <v>13110</v>
      </c>
      <c r="I6" s="8">
        <f t="shared" si="1"/>
        <v>82110</v>
      </c>
    </row>
    <row r="7" spans="2:9" s="1" customFormat="1" ht="111" customHeight="1" x14ac:dyDescent="0.2">
      <c r="B7" s="7">
        <v>5</v>
      </c>
      <c r="C7" s="7" t="s">
        <v>10</v>
      </c>
      <c r="D7" s="10" t="s">
        <v>53</v>
      </c>
      <c r="E7" s="4">
        <v>1</v>
      </c>
      <c r="F7" s="4" t="s">
        <v>11</v>
      </c>
      <c r="G7" s="8">
        <f>ROUND(CONSOLIDADO!Y7,0)</f>
        <v>178000</v>
      </c>
      <c r="H7" s="8">
        <f t="shared" si="0"/>
        <v>33820</v>
      </c>
      <c r="I7" s="8">
        <f t="shared" si="1"/>
        <v>211820</v>
      </c>
    </row>
    <row r="8" spans="2:9" s="1" customFormat="1" ht="103.5" customHeight="1" x14ac:dyDescent="0.2">
      <c r="B8" s="7">
        <v>6</v>
      </c>
      <c r="C8" s="7" t="s">
        <v>10</v>
      </c>
      <c r="D8" s="10" t="s">
        <v>35</v>
      </c>
      <c r="E8" s="4">
        <v>1</v>
      </c>
      <c r="F8" s="4" t="s">
        <v>11</v>
      </c>
      <c r="G8" s="8">
        <f>ROUND(CONSOLIDADO!Y8,0)</f>
        <v>210000</v>
      </c>
      <c r="H8" s="8">
        <f t="shared" si="0"/>
        <v>39900</v>
      </c>
      <c r="I8" s="8">
        <f t="shared" si="1"/>
        <v>249900</v>
      </c>
    </row>
    <row r="9" spans="2:9" s="1" customFormat="1" ht="135" customHeight="1" x14ac:dyDescent="0.2">
      <c r="B9" s="7">
        <v>7</v>
      </c>
      <c r="C9" s="7" t="s">
        <v>36</v>
      </c>
      <c r="D9" s="10" t="s">
        <v>54</v>
      </c>
      <c r="E9" s="4">
        <v>1</v>
      </c>
      <c r="F9" s="4" t="s">
        <v>13</v>
      </c>
      <c r="G9" s="8">
        <f>ROUND(CONSOLIDADO!Y9,0)</f>
        <v>56364</v>
      </c>
      <c r="H9" s="8">
        <f t="shared" si="0"/>
        <v>10709.16</v>
      </c>
      <c r="I9" s="8">
        <f t="shared" si="1"/>
        <v>67073.16</v>
      </c>
    </row>
    <row r="10" spans="2:9" s="1" customFormat="1" ht="198.75" customHeight="1" x14ac:dyDescent="0.2">
      <c r="B10" s="7">
        <v>8</v>
      </c>
      <c r="C10" s="7" t="s">
        <v>43</v>
      </c>
      <c r="D10" s="10" t="s">
        <v>14</v>
      </c>
      <c r="E10" s="4">
        <v>1</v>
      </c>
      <c r="F10" s="4" t="s">
        <v>12</v>
      </c>
      <c r="G10" s="8">
        <f>ROUND(CONSOLIDADO!Y10,0)</f>
        <v>115610</v>
      </c>
      <c r="H10" s="8">
        <f t="shared" si="0"/>
        <v>21965.9</v>
      </c>
      <c r="I10" s="8">
        <f t="shared" si="1"/>
        <v>137575.9</v>
      </c>
    </row>
    <row r="11" spans="2:9" s="1" customFormat="1" ht="162" customHeight="1" x14ac:dyDescent="0.2">
      <c r="B11" s="7">
        <v>9</v>
      </c>
      <c r="C11" s="7" t="s">
        <v>44</v>
      </c>
      <c r="D11" s="10" t="s">
        <v>37</v>
      </c>
      <c r="E11" s="4">
        <v>1</v>
      </c>
      <c r="F11" s="4" t="s">
        <v>13</v>
      </c>
      <c r="G11" s="8">
        <f>ROUND(CONSOLIDADO!Y11,0)</f>
        <v>65000</v>
      </c>
      <c r="H11" s="8">
        <f t="shared" si="0"/>
        <v>12350</v>
      </c>
      <c r="I11" s="8">
        <f t="shared" si="1"/>
        <v>77350</v>
      </c>
    </row>
    <row r="12" spans="2:9" s="1" customFormat="1" ht="80.25" customHeight="1" x14ac:dyDescent="0.2">
      <c r="B12" s="7">
        <v>10</v>
      </c>
      <c r="C12" s="7" t="s">
        <v>45</v>
      </c>
      <c r="D12" s="10" t="s">
        <v>57</v>
      </c>
      <c r="E12" s="4">
        <v>1</v>
      </c>
      <c r="F12" s="4" t="s">
        <v>13</v>
      </c>
      <c r="G12" s="8">
        <f>ROUND(CONSOLIDADO!Y12,0)</f>
        <v>110526</v>
      </c>
      <c r="H12" s="8">
        <f t="shared" si="0"/>
        <v>20999.94</v>
      </c>
      <c r="I12" s="8">
        <f t="shared" si="1"/>
        <v>131525.94</v>
      </c>
    </row>
    <row r="13" spans="2:9" s="1" customFormat="1" ht="55.5" customHeight="1" x14ac:dyDescent="0.2">
      <c r="B13" s="7">
        <v>11</v>
      </c>
      <c r="C13" s="7" t="s">
        <v>15</v>
      </c>
      <c r="D13" s="10" t="s">
        <v>59</v>
      </c>
      <c r="E13" s="4">
        <v>1</v>
      </c>
      <c r="F13" s="4" t="s">
        <v>13</v>
      </c>
      <c r="G13" s="8">
        <f>ROUND(CONSOLIDADO!Y13,0)</f>
        <v>85000</v>
      </c>
      <c r="H13" s="8">
        <f t="shared" si="0"/>
        <v>16150</v>
      </c>
      <c r="I13" s="8">
        <f t="shared" si="1"/>
        <v>101150</v>
      </c>
    </row>
    <row r="14" spans="2:9" s="1" customFormat="1" ht="41.25" customHeight="1" x14ac:dyDescent="0.2">
      <c r="B14" s="7">
        <v>12</v>
      </c>
      <c r="C14" s="7" t="s">
        <v>16</v>
      </c>
      <c r="D14" s="10" t="s">
        <v>18</v>
      </c>
      <c r="E14" s="4">
        <v>1</v>
      </c>
      <c r="F14" s="4" t="s">
        <v>11</v>
      </c>
      <c r="G14" s="8">
        <f>ROUND(CONSOLIDADO!Y14,0)</f>
        <v>8000</v>
      </c>
      <c r="H14" s="8">
        <f t="shared" si="0"/>
        <v>1520</v>
      </c>
      <c r="I14" s="8">
        <f t="shared" si="1"/>
        <v>9520</v>
      </c>
    </row>
    <row r="15" spans="2:9" s="1" customFormat="1" ht="41.25" customHeight="1" x14ac:dyDescent="0.2">
      <c r="B15" s="7">
        <v>13</v>
      </c>
      <c r="C15" s="7" t="s">
        <v>17</v>
      </c>
      <c r="D15" s="10" t="s">
        <v>18</v>
      </c>
      <c r="E15" s="4">
        <v>1</v>
      </c>
      <c r="F15" s="4" t="s">
        <v>11</v>
      </c>
      <c r="G15" s="8">
        <f>ROUND(CONSOLIDADO!Y15,0)</f>
        <v>4250</v>
      </c>
      <c r="H15" s="8">
        <f t="shared" si="0"/>
        <v>807.5</v>
      </c>
      <c r="I15" s="8">
        <f t="shared" si="1"/>
        <v>5057.5</v>
      </c>
    </row>
    <row r="16" spans="2:9" s="1" customFormat="1" ht="41.25" customHeight="1" x14ac:dyDescent="0.2">
      <c r="B16" s="7">
        <v>14</v>
      </c>
      <c r="C16" s="7" t="s">
        <v>19</v>
      </c>
      <c r="D16" s="10" t="s">
        <v>27</v>
      </c>
      <c r="E16" s="4">
        <v>1</v>
      </c>
      <c r="F16" s="4" t="s">
        <v>11</v>
      </c>
      <c r="G16" s="8">
        <f>ROUND(CONSOLIDADO!Y16,0)</f>
        <v>3051</v>
      </c>
      <c r="H16" s="8">
        <f t="shared" si="0"/>
        <v>579.69000000000005</v>
      </c>
      <c r="I16" s="8">
        <f t="shared" si="1"/>
        <v>3630.69</v>
      </c>
    </row>
    <row r="17" spans="2:9" s="1" customFormat="1" ht="41.25" customHeight="1" x14ac:dyDescent="0.2">
      <c r="B17" s="7">
        <v>15</v>
      </c>
      <c r="C17" s="7" t="s">
        <v>20</v>
      </c>
      <c r="D17" s="10" t="s">
        <v>28</v>
      </c>
      <c r="E17" s="4">
        <v>1</v>
      </c>
      <c r="F17" s="4" t="s">
        <v>11</v>
      </c>
      <c r="G17" s="8">
        <f>ROUND(CONSOLIDADO!Y17,0)</f>
        <v>3051</v>
      </c>
      <c r="H17" s="8">
        <f t="shared" si="0"/>
        <v>579.69000000000005</v>
      </c>
      <c r="I17" s="8">
        <f t="shared" si="1"/>
        <v>3630.69</v>
      </c>
    </row>
    <row r="18" spans="2:9" s="1" customFormat="1" ht="50.25" customHeight="1" x14ac:dyDescent="0.2">
      <c r="B18" s="7">
        <v>16</v>
      </c>
      <c r="C18" s="7" t="s">
        <v>21</v>
      </c>
      <c r="D18" s="10" t="s">
        <v>38</v>
      </c>
      <c r="E18" s="4">
        <v>1</v>
      </c>
      <c r="F18" s="4" t="s">
        <v>11</v>
      </c>
      <c r="G18" s="8">
        <f>ROUND(CONSOLIDADO!Y18,0)</f>
        <v>25000</v>
      </c>
      <c r="H18" s="8">
        <f t="shared" si="0"/>
        <v>4750</v>
      </c>
      <c r="I18" s="8">
        <f t="shared" si="1"/>
        <v>29750</v>
      </c>
    </row>
    <row r="19" spans="2:9" ht="39.75" customHeight="1" x14ac:dyDescent="0.2">
      <c r="B19" s="7">
        <v>17</v>
      </c>
      <c r="C19" s="7" t="s">
        <v>22</v>
      </c>
      <c r="D19" s="10" t="s">
        <v>29</v>
      </c>
      <c r="E19" s="4">
        <v>1</v>
      </c>
      <c r="F19" s="4" t="s">
        <v>11</v>
      </c>
      <c r="G19" s="8">
        <f>ROUND(CONSOLIDADO!Y19,0)</f>
        <v>40000</v>
      </c>
      <c r="H19" s="8">
        <f t="shared" si="0"/>
        <v>7600</v>
      </c>
      <c r="I19" s="8">
        <f t="shared" si="1"/>
        <v>47600</v>
      </c>
    </row>
    <row r="20" spans="2:9" ht="33.75" customHeight="1" x14ac:dyDescent="0.2">
      <c r="B20" s="7">
        <v>18</v>
      </c>
      <c r="C20" s="7" t="s">
        <v>23</v>
      </c>
      <c r="D20" s="10" t="s">
        <v>30</v>
      </c>
      <c r="E20" s="4">
        <v>1</v>
      </c>
      <c r="F20" s="4" t="s">
        <v>11</v>
      </c>
      <c r="G20" s="8">
        <f>ROUND(CONSOLIDADO!Y20,0)</f>
        <v>90000</v>
      </c>
      <c r="H20" s="8">
        <f t="shared" si="0"/>
        <v>17100</v>
      </c>
      <c r="I20" s="8">
        <f t="shared" si="1"/>
        <v>107100</v>
      </c>
    </row>
    <row r="21" spans="2:9" ht="30" x14ac:dyDescent="0.2">
      <c r="B21" s="7">
        <v>19</v>
      </c>
      <c r="C21" s="7" t="s">
        <v>24</v>
      </c>
      <c r="D21" s="10" t="s">
        <v>31</v>
      </c>
      <c r="E21" s="4">
        <v>1</v>
      </c>
      <c r="F21" s="4" t="s">
        <v>11</v>
      </c>
      <c r="G21" s="8">
        <f>ROUND(CONSOLIDADO!Y21,0)</f>
        <v>31340</v>
      </c>
      <c r="H21" s="8">
        <f t="shared" si="0"/>
        <v>5954.6</v>
      </c>
      <c r="I21" s="8">
        <f t="shared" si="1"/>
        <v>37294.6</v>
      </c>
    </row>
    <row r="22" spans="2:9" ht="30" x14ac:dyDescent="0.2">
      <c r="B22" s="7">
        <v>20</v>
      </c>
      <c r="C22" s="7" t="s">
        <v>24</v>
      </c>
      <c r="D22" s="10" t="s">
        <v>32</v>
      </c>
      <c r="E22" s="4">
        <v>1</v>
      </c>
      <c r="F22" s="4" t="s">
        <v>11</v>
      </c>
      <c r="G22" s="8">
        <f>ROUND(CONSOLIDADO!Y22,0)</f>
        <v>28000</v>
      </c>
      <c r="H22" s="8">
        <f t="shared" si="0"/>
        <v>5320</v>
      </c>
      <c r="I22" s="8">
        <f t="shared" si="1"/>
        <v>33320</v>
      </c>
    </row>
    <row r="23" spans="2:9" ht="30" x14ac:dyDescent="0.2">
      <c r="B23" s="7">
        <v>21</v>
      </c>
      <c r="C23" s="7" t="s">
        <v>24</v>
      </c>
      <c r="D23" s="10" t="s">
        <v>33</v>
      </c>
      <c r="E23" s="4">
        <v>1</v>
      </c>
      <c r="F23" s="4" t="s">
        <v>11</v>
      </c>
      <c r="G23" s="8">
        <f>ROUND(CONSOLIDADO!Y23,0)</f>
        <v>48765</v>
      </c>
      <c r="H23" s="8">
        <f t="shared" si="0"/>
        <v>9265.35</v>
      </c>
      <c r="I23" s="8">
        <f t="shared" si="1"/>
        <v>58030.35</v>
      </c>
    </row>
    <row r="24" spans="2:9" ht="72.5" customHeight="1" x14ac:dyDescent="0.2">
      <c r="B24" s="7">
        <v>22</v>
      </c>
      <c r="C24" s="7" t="s">
        <v>25</v>
      </c>
      <c r="D24" s="10" t="s">
        <v>39</v>
      </c>
      <c r="E24" s="4">
        <v>1</v>
      </c>
      <c r="F24" s="4" t="s">
        <v>11</v>
      </c>
      <c r="G24" s="8">
        <f>ROUND(CONSOLIDADO!Y24,0)</f>
        <v>55000</v>
      </c>
      <c r="H24" s="8">
        <f t="shared" si="0"/>
        <v>10450</v>
      </c>
      <c r="I24" s="8">
        <f t="shared" si="1"/>
        <v>65450</v>
      </c>
    </row>
  </sheetData>
  <mergeCells count="1">
    <mergeCell ref="G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1005-3BEB-421B-8207-59377C9BC378}">
  <dimension ref="B1:Y24"/>
  <sheetViews>
    <sheetView showGridLines="0" topLeftCell="M15" zoomScale="69" zoomScaleNormal="100" workbookViewId="0">
      <selection activeCell="Y24" sqref="B1:Y24"/>
    </sheetView>
  </sheetViews>
  <sheetFormatPr baseColWidth="10" defaultColWidth="11.5" defaultRowHeight="15" x14ac:dyDescent="0.2"/>
  <cols>
    <col min="1" max="1" width="2.33203125" customWidth="1"/>
    <col min="2" max="2" width="29.33203125" style="2" customWidth="1"/>
    <col min="3" max="3" width="34.5" style="2" customWidth="1"/>
    <col min="4" max="4" width="87.83203125" style="2" customWidth="1"/>
    <col min="5" max="5" width="13" style="5" customWidth="1"/>
    <col min="6" max="6" width="20.5" style="2" customWidth="1"/>
    <col min="7" max="7" width="21.6640625" style="2" customWidth="1"/>
    <col min="8" max="8" width="18" style="2" customWidth="1"/>
    <col min="9" max="9" width="23.1640625" style="2" customWidth="1"/>
    <col min="10" max="10" width="22.6640625" customWidth="1"/>
    <col min="11" max="11" width="23.1640625" customWidth="1"/>
    <col min="12" max="12" width="24.83203125" customWidth="1"/>
    <col min="13" max="13" width="18.6640625" customWidth="1"/>
    <col min="14" max="14" width="13.83203125" customWidth="1"/>
    <col min="15" max="15" width="23.1640625" customWidth="1"/>
    <col min="16" max="16" width="15.5" customWidth="1"/>
    <col min="18" max="18" width="11" bestFit="1" customWidth="1"/>
    <col min="19" max="19" width="11.1640625" bestFit="1" customWidth="1"/>
    <col min="22" max="23" width="11.33203125" bestFit="1" customWidth="1"/>
    <col min="24" max="24" width="19" bestFit="1" customWidth="1"/>
    <col min="25" max="25" width="18.5" customWidth="1"/>
  </cols>
  <sheetData>
    <row r="1" spans="2:25" ht="61.5" customHeight="1" x14ac:dyDescent="0.2">
      <c r="B1" s="11"/>
      <c r="C1" s="11"/>
      <c r="D1" s="11"/>
      <c r="E1" s="11"/>
      <c r="F1" s="11"/>
      <c r="G1" s="24" t="s">
        <v>46</v>
      </c>
      <c r="H1" s="24"/>
      <c r="I1" s="24"/>
      <c r="J1" s="25" t="s">
        <v>47</v>
      </c>
      <c r="K1" s="25"/>
      <c r="L1" s="25"/>
      <c r="M1" s="26" t="s">
        <v>63</v>
      </c>
      <c r="N1" s="26"/>
      <c r="O1" s="26"/>
    </row>
    <row r="2" spans="2:25" s="1" customFormat="1" ht="78.75" customHeight="1" x14ac:dyDescent="0.2">
      <c r="B2" s="17" t="s">
        <v>4</v>
      </c>
      <c r="C2" s="17" t="s">
        <v>5</v>
      </c>
      <c r="D2" s="17" t="s">
        <v>6</v>
      </c>
      <c r="E2" s="17" t="s">
        <v>0</v>
      </c>
      <c r="F2" s="17" t="s">
        <v>26</v>
      </c>
      <c r="G2" s="17" t="s">
        <v>2</v>
      </c>
      <c r="H2" s="17" t="s">
        <v>3</v>
      </c>
      <c r="I2" s="17" t="s">
        <v>1</v>
      </c>
      <c r="J2" s="17" t="s">
        <v>2</v>
      </c>
      <c r="K2" s="17" t="s">
        <v>3</v>
      </c>
      <c r="L2" s="17" t="s">
        <v>1</v>
      </c>
      <c r="M2" s="18" t="s">
        <v>2</v>
      </c>
      <c r="N2" s="18" t="s">
        <v>3</v>
      </c>
      <c r="O2" s="18" t="s">
        <v>1</v>
      </c>
      <c r="P2" s="18" t="s">
        <v>64</v>
      </c>
      <c r="Q2" s="18" t="s">
        <v>65</v>
      </c>
      <c r="R2" s="18" t="s">
        <v>67</v>
      </c>
      <c r="S2" s="18" t="s">
        <v>68</v>
      </c>
      <c r="T2" s="18" t="s">
        <v>69</v>
      </c>
      <c r="U2" s="18" t="s">
        <v>66</v>
      </c>
      <c r="V2" s="18" t="s">
        <v>70</v>
      </c>
      <c r="W2" s="18" t="s">
        <v>71</v>
      </c>
      <c r="X2" s="18" t="s">
        <v>72</v>
      </c>
      <c r="Y2" s="18" t="s">
        <v>73</v>
      </c>
    </row>
    <row r="3" spans="2:25" s="1" customFormat="1" ht="409.5" customHeight="1" x14ac:dyDescent="0.2">
      <c r="B3" s="7">
        <v>1</v>
      </c>
      <c r="C3" s="7" t="s">
        <v>40</v>
      </c>
      <c r="D3" s="10" t="s">
        <v>49</v>
      </c>
      <c r="E3" s="4">
        <v>1</v>
      </c>
      <c r="F3" s="3" t="s">
        <v>12</v>
      </c>
      <c r="G3" s="14">
        <v>225000</v>
      </c>
      <c r="H3" s="14">
        <f t="shared" ref="H3:H24" si="0">G3*0.19</f>
        <v>42750</v>
      </c>
      <c r="I3" s="14">
        <f>G3+H3</f>
        <v>267750</v>
      </c>
      <c r="J3" s="14">
        <v>180000</v>
      </c>
      <c r="K3" s="14">
        <f>+J3*19%</f>
        <v>34200</v>
      </c>
      <c r="L3" s="14">
        <f>J3+K3</f>
        <v>214200</v>
      </c>
      <c r="M3" s="14">
        <v>0</v>
      </c>
      <c r="N3" s="14">
        <v>0</v>
      </c>
      <c r="O3" s="14">
        <v>0</v>
      </c>
      <c r="P3" s="19">
        <f>MIN(G3,J3)</f>
        <v>180000</v>
      </c>
      <c r="Q3" s="19">
        <f>MAX(G3,J3)</f>
        <v>225000</v>
      </c>
      <c r="R3" s="19">
        <f>HARMEAN(G3,J3)</f>
        <v>200000.00000000003</v>
      </c>
      <c r="S3" s="19">
        <f>AVERAGE(G3,J3)</f>
        <v>202500</v>
      </c>
      <c r="T3" s="20">
        <f>GEOMEAN(G3,J3)</f>
        <v>201246.11797498108</v>
      </c>
      <c r="U3" s="19">
        <f>MEDIAN(G3,J3)</f>
        <v>202500</v>
      </c>
      <c r="V3" s="20">
        <f>_xlfn.STDEV.P(G3,J3)</f>
        <v>22500</v>
      </c>
      <c r="W3" s="21">
        <f>V3/U3</f>
        <v>0.1111111111111111</v>
      </c>
      <c r="X3" s="20" t="s">
        <v>74</v>
      </c>
      <c r="Y3" s="19">
        <f>+P3</f>
        <v>180000</v>
      </c>
    </row>
    <row r="4" spans="2:25" s="1" customFormat="1" ht="292.5" customHeight="1" x14ac:dyDescent="0.2">
      <c r="B4" s="7">
        <v>2</v>
      </c>
      <c r="C4" s="7" t="s">
        <v>41</v>
      </c>
      <c r="D4" s="10" t="s">
        <v>7</v>
      </c>
      <c r="E4" s="4">
        <v>1</v>
      </c>
      <c r="F4" s="3" t="s">
        <v>12</v>
      </c>
      <c r="G4" s="14">
        <v>80000</v>
      </c>
      <c r="H4" s="14">
        <f t="shared" si="0"/>
        <v>15200</v>
      </c>
      <c r="I4" s="14">
        <f t="shared" ref="I4:I18" si="1">G4+H4</f>
        <v>95200</v>
      </c>
      <c r="J4" s="14">
        <v>97000</v>
      </c>
      <c r="K4" s="14">
        <f t="shared" ref="K4:K24" si="2">+J4*19%</f>
        <v>18430</v>
      </c>
      <c r="L4" s="14">
        <f t="shared" ref="L4:L24" si="3">J4+K4</f>
        <v>115430</v>
      </c>
      <c r="M4" s="14">
        <v>71468</v>
      </c>
      <c r="N4" s="14">
        <v>13578.919999999998</v>
      </c>
      <c r="O4" s="14">
        <v>85046.92</v>
      </c>
      <c r="P4" s="19">
        <f t="shared" ref="P4" si="4">MIN(G4,J4,M4)</f>
        <v>71468</v>
      </c>
      <c r="Q4" s="19">
        <f>MAX(G4,J4,M4)</f>
        <v>97000</v>
      </c>
      <c r="R4" s="19">
        <f>HARMEAN(G4,J4,M4)</f>
        <v>81518.295394436282</v>
      </c>
      <c r="S4" s="19">
        <f>AVERAGE(G4,J4,M4)</f>
        <v>82822.666666666672</v>
      </c>
      <c r="T4" s="20">
        <f>GEOMEAN(G4,J4,M4)</f>
        <v>82159.49919215923</v>
      </c>
      <c r="U4" s="19">
        <f>MEDIAN(G4,J4,M4)</f>
        <v>80000</v>
      </c>
      <c r="V4" s="20">
        <f>_xlfn.STDEV.P(G4,J4,M4)</f>
        <v>10612.770336826394</v>
      </c>
      <c r="W4" s="21">
        <f t="shared" ref="W4:W24" si="5">V4/U4</f>
        <v>0.13265962921032992</v>
      </c>
      <c r="X4" s="20" t="s">
        <v>74</v>
      </c>
      <c r="Y4" s="19">
        <f>+P4</f>
        <v>71468</v>
      </c>
    </row>
    <row r="5" spans="2:25" s="1" customFormat="1" ht="409.5" customHeight="1" x14ac:dyDescent="0.2">
      <c r="B5" s="7">
        <v>3</v>
      </c>
      <c r="C5" s="7" t="s">
        <v>42</v>
      </c>
      <c r="D5" s="10" t="s">
        <v>52</v>
      </c>
      <c r="E5" s="4">
        <v>1</v>
      </c>
      <c r="F5" s="3" t="s">
        <v>12</v>
      </c>
      <c r="G5" s="14">
        <v>165000</v>
      </c>
      <c r="H5" s="14">
        <f t="shared" si="0"/>
        <v>31350</v>
      </c>
      <c r="I5" s="14">
        <f t="shared" si="1"/>
        <v>196350</v>
      </c>
      <c r="J5" s="14">
        <v>110000</v>
      </c>
      <c r="K5" s="14">
        <f t="shared" si="2"/>
        <v>20900</v>
      </c>
      <c r="L5" s="14">
        <f t="shared" si="3"/>
        <v>130900</v>
      </c>
      <c r="M5" s="14">
        <v>84080</v>
      </c>
      <c r="N5" s="14">
        <v>15975.199999999999</v>
      </c>
      <c r="O5" s="14">
        <v>100055.2</v>
      </c>
      <c r="P5" s="19">
        <f t="shared" ref="P5:P23" si="6">MIN(G5,J5,M5)</f>
        <v>84080</v>
      </c>
      <c r="Q5" s="19">
        <f t="shared" ref="Q5:Q23" si="7">MAX(G5,J5,M5)</f>
        <v>165000</v>
      </c>
      <c r="R5" s="19">
        <f t="shared" ref="R5:R23" si="8">HARMEAN(G5,J5,M5)</f>
        <v>110926.43923240936</v>
      </c>
      <c r="S5" s="19">
        <f t="shared" ref="S5:S23" si="9">AVERAGE(G5,J5,M5)</f>
        <v>119693.33333333333</v>
      </c>
      <c r="T5" s="20">
        <f t="shared" ref="T5:T23" si="10">GEOMEAN(G5,J5,M5)</f>
        <v>115130.33741601396</v>
      </c>
      <c r="U5" s="19">
        <f t="shared" ref="U5:U23" si="11">MEDIAN(G5,J5,M5)</f>
        <v>110000</v>
      </c>
      <c r="V5" s="20">
        <f t="shared" ref="V5:V23" si="12">_xlfn.STDEV.P(G5,J5,M5)</f>
        <v>33739.019283645786</v>
      </c>
      <c r="W5" s="21">
        <f t="shared" si="5"/>
        <v>0.3067183571240526</v>
      </c>
      <c r="X5" s="20" t="s">
        <v>68</v>
      </c>
      <c r="Y5" s="19">
        <f>++S5</f>
        <v>119693.33333333333</v>
      </c>
    </row>
    <row r="6" spans="2:25" s="1" customFormat="1" ht="99" customHeight="1" x14ac:dyDescent="0.2">
      <c r="B6" s="7">
        <v>4</v>
      </c>
      <c r="C6" s="7" t="s">
        <v>8</v>
      </c>
      <c r="D6" s="10" t="s">
        <v>9</v>
      </c>
      <c r="E6" s="4">
        <v>1</v>
      </c>
      <c r="F6" s="22" t="s">
        <v>11</v>
      </c>
      <c r="G6" s="14">
        <v>90000</v>
      </c>
      <c r="H6" s="14">
        <f t="shared" si="0"/>
        <v>17100</v>
      </c>
      <c r="I6" s="14">
        <f t="shared" si="1"/>
        <v>107100</v>
      </c>
      <c r="J6" s="14">
        <v>69000</v>
      </c>
      <c r="K6" s="14">
        <f t="shared" si="2"/>
        <v>13110</v>
      </c>
      <c r="L6" s="14">
        <f t="shared" si="3"/>
        <v>82110</v>
      </c>
      <c r="M6" s="14">
        <v>0</v>
      </c>
      <c r="N6" s="14">
        <v>0</v>
      </c>
      <c r="O6" s="14">
        <v>0</v>
      </c>
      <c r="P6" s="19">
        <f>MIN(G6,J6)</f>
        <v>69000</v>
      </c>
      <c r="Q6" s="19">
        <f>MAX(G6,J6)</f>
        <v>90000</v>
      </c>
      <c r="R6" s="19">
        <f>HARMEAN(G6)</f>
        <v>90000</v>
      </c>
      <c r="S6" s="19">
        <f>AVERAGE(G6,J6)</f>
        <v>79500</v>
      </c>
      <c r="T6" s="20">
        <f>GEOMEAN(G6,J6)</f>
        <v>78803.553219382185</v>
      </c>
      <c r="U6" s="19">
        <f>MEDIAN(G6,J6)</f>
        <v>79500</v>
      </c>
      <c r="V6" s="20">
        <f>_xlfn.STDEV.P(G6,J6)</f>
        <v>10500</v>
      </c>
      <c r="W6" s="21">
        <f t="shared" si="5"/>
        <v>0.13207547169811321</v>
      </c>
      <c r="X6" s="20" t="s">
        <v>74</v>
      </c>
      <c r="Y6" s="19">
        <f>+P6</f>
        <v>69000</v>
      </c>
    </row>
    <row r="7" spans="2:25" s="1" customFormat="1" ht="144.75" customHeight="1" x14ac:dyDescent="0.2">
      <c r="B7" s="7">
        <v>5</v>
      </c>
      <c r="C7" s="7" t="s">
        <v>10</v>
      </c>
      <c r="D7" s="10" t="s">
        <v>53</v>
      </c>
      <c r="E7" s="4">
        <v>1</v>
      </c>
      <c r="F7" s="4" t="s">
        <v>11</v>
      </c>
      <c r="G7" s="14">
        <v>214000</v>
      </c>
      <c r="H7" s="14">
        <f t="shared" si="0"/>
        <v>40660</v>
      </c>
      <c r="I7" s="14">
        <f t="shared" si="1"/>
        <v>254660</v>
      </c>
      <c r="J7" s="14">
        <v>178000</v>
      </c>
      <c r="K7" s="14">
        <f t="shared" si="2"/>
        <v>33820</v>
      </c>
      <c r="L7" s="14">
        <f t="shared" si="3"/>
        <v>211820</v>
      </c>
      <c r="M7" s="14">
        <v>0</v>
      </c>
      <c r="N7" s="14">
        <v>0</v>
      </c>
      <c r="O7" s="14">
        <v>0</v>
      </c>
      <c r="P7" s="19">
        <f t="shared" ref="P7:P8" si="13">MIN(G7,J7)</f>
        <v>178000</v>
      </c>
      <c r="Q7" s="19">
        <f t="shared" ref="Q7:Q8" si="14">MAX(G7,J7)</f>
        <v>214000</v>
      </c>
      <c r="R7" s="19">
        <f t="shared" ref="R7:R8" si="15">HARMEAN(G7)</f>
        <v>214000</v>
      </c>
      <c r="S7" s="19">
        <f t="shared" ref="S7:S8" si="16">AVERAGE(G7,J7)</f>
        <v>196000</v>
      </c>
      <c r="T7" s="20">
        <f t="shared" ref="T7:T8" si="17">GEOMEAN(G7,J7)</f>
        <v>195171.71926280714</v>
      </c>
      <c r="U7" s="19">
        <f t="shared" ref="U7:U8" si="18">MEDIAN(G7,J7)</f>
        <v>196000</v>
      </c>
      <c r="V7" s="20">
        <f t="shared" ref="V7:V8" si="19">_xlfn.STDEV.P(G7,J7)</f>
        <v>18000</v>
      </c>
      <c r="W7" s="21">
        <f t="shared" si="5"/>
        <v>9.1836734693877556E-2</v>
      </c>
      <c r="X7" s="20" t="s">
        <v>74</v>
      </c>
      <c r="Y7" s="19">
        <f>+P7</f>
        <v>178000</v>
      </c>
    </row>
    <row r="8" spans="2:25" s="1" customFormat="1" ht="138" customHeight="1" x14ac:dyDescent="0.2">
      <c r="B8" s="7">
        <v>6</v>
      </c>
      <c r="C8" s="7" t="s">
        <v>10</v>
      </c>
      <c r="D8" s="10" t="s">
        <v>35</v>
      </c>
      <c r="E8" s="4">
        <v>1</v>
      </c>
      <c r="F8" s="4" t="s">
        <v>11</v>
      </c>
      <c r="G8" s="14">
        <v>214000</v>
      </c>
      <c r="H8" s="14">
        <f t="shared" si="0"/>
        <v>40660</v>
      </c>
      <c r="I8" s="14">
        <f t="shared" si="1"/>
        <v>254660</v>
      </c>
      <c r="J8" s="14">
        <v>210000</v>
      </c>
      <c r="K8" s="14">
        <f t="shared" si="2"/>
        <v>39900</v>
      </c>
      <c r="L8" s="14">
        <f t="shared" si="3"/>
        <v>249900</v>
      </c>
      <c r="M8" s="14">
        <v>0</v>
      </c>
      <c r="N8" s="14">
        <v>0</v>
      </c>
      <c r="O8" s="14">
        <v>0</v>
      </c>
      <c r="P8" s="19">
        <f t="shared" si="13"/>
        <v>210000</v>
      </c>
      <c r="Q8" s="19">
        <f t="shared" si="14"/>
        <v>214000</v>
      </c>
      <c r="R8" s="19">
        <f t="shared" si="15"/>
        <v>214000</v>
      </c>
      <c r="S8" s="19">
        <f t="shared" si="16"/>
        <v>212000</v>
      </c>
      <c r="T8" s="20">
        <f t="shared" si="17"/>
        <v>211990.5658278217</v>
      </c>
      <c r="U8" s="19">
        <f t="shared" si="18"/>
        <v>212000</v>
      </c>
      <c r="V8" s="20">
        <f t="shared" si="19"/>
        <v>2000</v>
      </c>
      <c r="W8" s="21">
        <f t="shared" si="5"/>
        <v>9.433962264150943E-3</v>
      </c>
      <c r="X8" s="20" t="s">
        <v>74</v>
      </c>
      <c r="Y8" s="19">
        <f>+P8</f>
        <v>210000</v>
      </c>
    </row>
    <row r="9" spans="2:25" s="1" customFormat="1" ht="157.5" customHeight="1" x14ac:dyDescent="0.2">
      <c r="B9" s="7">
        <v>7</v>
      </c>
      <c r="C9" s="7" t="s">
        <v>36</v>
      </c>
      <c r="D9" s="10" t="s">
        <v>54</v>
      </c>
      <c r="E9" s="4">
        <v>1</v>
      </c>
      <c r="F9" s="4" t="s">
        <v>13</v>
      </c>
      <c r="G9" s="14">
        <v>65000</v>
      </c>
      <c r="H9" s="14">
        <f t="shared" si="0"/>
        <v>12350</v>
      </c>
      <c r="I9" s="14">
        <f t="shared" si="1"/>
        <v>77350</v>
      </c>
      <c r="J9" s="14">
        <v>130000</v>
      </c>
      <c r="K9" s="14">
        <f t="shared" si="2"/>
        <v>24700</v>
      </c>
      <c r="L9" s="14">
        <f t="shared" si="3"/>
        <v>154700</v>
      </c>
      <c r="M9" s="14">
        <v>33169.56</v>
      </c>
      <c r="N9" s="14">
        <v>6302.2163999999993</v>
      </c>
      <c r="O9" s="14">
        <v>39471.776400000002</v>
      </c>
      <c r="P9" s="19">
        <f t="shared" si="6"/>
        <v>33169.56</v>
      </c>
      <c r="Q9" s="19">
        <f t="shared" si="7"/>
        <v>130000</v>
      </c>
      <c r="R9" s="19">
        <f t="shared" si="8"/>
        <v>56364.44076973472</v>
      </c>
      <c r="S9" s="19">
        <f t="shared" si="9"/>
        <v>76056.52</v>
      </c>
      <c r="T9" s="20">
        <f t="shared" si="10"/>
        <v>65443.342571665322</v>
      </c>
      <c r="U9" s="19">
        <f t="shared" si="11"/>
        <v>65000</v>
      </c>
      <c r="V9" s="20">
        <f t="shared" si="12"/>
        <v>40296.554886087564</v>
      </c>
      <c r="W9" s="21">
        <f t="shared" si="5"/>
        <v>0.61994699824750099</v>
      </c>
      <c r="X9" s="20" t="s">
        <v>67</v>
      </c>
      <c r="Y9" s="19">
        <f>+R9</f>
        <v>56364.44076973472</v>
      </c>
    </row>
    <row r="10" spans="2:25" s="1" customFormat="1" ht="208.5" customHeight="1" x14ac:dyDescent="0.2">
      <c r="B10" s="7">
        <v>8</v>
      </c>
      <c r="C10" s="7" t="s">
        <v>43</v>
      </c>
      <c r="D10" s="10" t="s">
        <v>14</v>
      </c>
      <c r="E10" s="4">
        <v>1</v>
      </c>
      <c r="F10" s="4" t="s">
        <v>12</v>
      </c>
      <c r="G10" s="14">
        <v>185000</v>
      </c>
      <c r="H10" s="14">
        <f t="shared" si="0"/>
        <v>35150</v>
      </c>
      <c r="I10" s="14">
        <f t="shared" si="1"/>
        <v>220150</v>
      </c>
      <c r="J10" s="14">
        <v>170000</v>
      </c>
      <c r="K10" s="14">
        <f t="shared" si="2"/>
        <v>32300</v>
      </c>
      <c r="L10" s="14">
        <f t="shared" si="3"/>
        <v>202300</v>
      </c>
      <c r="M10" s="14">
        <v>115610</v>
      </c>
      <c r="N10" s="14">
        <v>21965.899999999998</v>
      </c>
      <c r="O10" s="14">
        <v>137575.9</v>
      </c>
      <c r="P10" s="19">
        <f t="shared" si="6"/>
        <v>115610</v>
      </c>
      <c r="Q10" s="19">
        <f t="shared" si="7"/>
        <v>185000</v>
      </c>
      <c r="R10" s="19">
        <f t="shared" si="8"/>
        <v>150469.99960685073</v>
      </c>
      <c r="S10" s="19">
        <f t="shared" si="9"/>
        <v>156870</v>
      </c>
      <c r="T10" s="20">
        <f t="shared" si="10"/>
        <v>153770.14255679952</v>
      </c>
      <c r="U10" s="19">
        <f t="shared" si="11"/>
        <v>170000</v>
      </c>
      <c r="V10" s="20">
        <f t="shared" si="12"/>
        <v>29810.967780332125</v>
      </c>
      <c r="W10" s="21">
        <f t="shared" si="5"/>
        <v>0.17535863400195367</v>
      </c>
      <c r="X10" s="20" t="s">
        <v>74</v>
      </c>
      <c r="Y10" s="19">
        <f>+P10</f>
        <v>115610</v>
      </c>
    </row>
    <row r="11" spans="2:25" s="1" customFormat="1" ht="221.25" customHeight="1" x14ac:dyDescent="0.2">
      <c r="B11" s="7">
        <v>9</v>
      </c>
      <c r="C11" s="7" t="s">
        <v>44</v>
      </c>
      <c r="D11" s="10" t="s">
        <v>37</v>
      </c>
      <c r="E11" s="4">
        <v>1</v>
      </c>
      <c r="F11" s="4" t="s">
        <v>13</v>
      </c>
      <c r="G11" s="14">
        <v>65000</v>
      </c>
      <c r="H11" s="14">
        <f t="shared" si="0"/>
        <v>12350</v>
      </c>
      <c r="I11" s="14">
        <f t="shared" si="1"/>
        <v>77350</v>
      </c>
      <c r="J11" s="14">
        <v>75000</v>
      </c>
      <c r="K11" s="14">
        <f t="shared" si="2"/>
        <v>14250</v>
      </c>
      <c r="L11" s="14">
        <f t="shared" si="3"/>
        <v>89250</v>
      </c>
      <c r="M11" s="14">
        <v>0</v>
      </c>
      <c r="N11" s="14">
        <v>0</v>
      </c>
      <c r="O11" s="14">
        <v>0</v>
      </c>
      <c r="P11" s="19">
        <f>MIN(G11,J11)</f>
        <v>65000</v>
      </c>
      <c r="Q11" s="19">
        <f>MAX(G11,J11)</f>
        <v>75000</v>
      </c>
      <c r="R11" s="19">
        <f>HARMEAN(G11,J11)</f>
        <v>69642.857142857145</v>
      </c>
      <c r="S11" s="19">
        <f>AVERAGE(G11,J11)</f>
        <v>70000</v>
      </c>
      <c r="T11" s="20">
        <f>GEOMEAN(G11,J11)</f>
        <v>69821.200218844708</v>
      </c>
      <c r="U11" s="19">
        <f>MEDIAN(G11,J11)</f>
        <v>70000</v>
      </c>
      <c r="V11" s="20">
        <f>_xlfn.STDEV.P(G11,J11)</f>
        <v>5000</v>
      </c>
      <c r="W11" s="21">
        <f t="shared" si="5"/>
        <v>7.1428571428571425E-2</v>
      </c>
      <c r="X11" s="20" t="s">
        <v>74</v>
      </c>
      <c r="Y11" s="19">
        <f>+P11</f>
        <v>65000</v>
      </c>
    </row>
    <row r="12" spans="2:25" s="1" customFormat="1" ht="80.25" customHeight="1" x14ac:dyDescent="0.2">
      <c r="B12" s="7">
        <v>10</v>
      </c>
      <c r="C12" s="7" t="s">
        <v>45</v>
      </c>
      <c r="D12" s="10" t="s">
        <v>57</v>
      </c>
      <c r="E12" s="4">
        <v>1</v>
      </c>
      <c r="F12" s="4" t="s">
        <v>13</v>
      </c>
      <c r="G12" s="14">
        <v>75000</v>
      </c>
      <c r="H12" s="14">
        <f t="shared" si="0"/>
        <v>14250</v>
      </c>
      <c r="I12" s="14">
        <f t="shared" si="1"/>
        <v>89250</v>
      </c>
      <c r="J12" s="14">
        <v>210000</v>
      </c>
      <c r="K12" s="14">
        <f t="shared" si="2"/>
        <v>39900</v>
      </c>
      <c r="L12" s="14">
        <f t="shared" si="3"/>
        <v>249900</v>
      </c>
      <c r="M12" s="14">
        <v>0</v>
      </c>
      <c r="N12" s="14">
        <v>0</v>
      </c>
      <c r="O12" s="14">
        <v>0</v>
      </c>
      <c r="P12" s="19">
        <f t="shared" si="6"/>
        <v>0</v>
      </c>
      <c r="Q12" s="19">
        <f t="shared" si="7"/>
        <v>210000</v>
      </c>
      <c r="R12" s="19">
        <f>HARMEAN(G12,J12)</f>
        <v>110526.31578947369</v>
      </c>
      <c r="S12" s="19">
        <f>AVERAGE(G12,J12)</f>
        <v>142500</v>
      </c>
      <c r="T12" s="20">
        <f>GEOMEAN(G12,J12)</f>
        <v>125499.00398011133</v>
      </c>
      <c r="U12" s="19">
        <f>MEDIAN(G12,J12)</f>
        <v>142500</v>
      </c>
      <c r="V12" s="20">
        <f>_xlfn.STDEV.P(G12,J12)</f>
        <v>67500</v>
      </c>
      <c r="W12" s="21">
        <f>V12/U12</f>
        <v>0.47368421052631576</v>
      </c>
      <c r="X12" s="20" t="s">
        <v>68</v>
      </c>
      <c r="Y12" s="19">
        <f>+R12</f>
        <v>110526.31578947369</v>
      </c>
    </row>
    <row r="13" spans="2:25" s="1" customFormat="1" ht="55.5" customHeight="1" x14ac:dyDescent="0.2">
      <c r="B13" s="7">
        <v>11</v>
      </c>
      <c r="C13" s="7" t="s">
        <v>15</v>
      </c>
      <c r="D13" s="10" t="s">
        <v>59</v>
      </c>
      <c r="E13" s="4">
        <v>1</v>
      </c>
      <c r="F13" s="4" t="s">
        <v>13</v>
      </c>
      <c r="G13" s="14">
        <v>85000</v>
      </c>
      <c r="H13" s="14">
        <f t="shared" si="0"/>
        <v>16150</v>
      </c>
      <c r="I13" s="14">
        <f t="shared" si="1"/>
        <v>101150</v>
      </c>
      <c r="J13" s="14">
        <v>95000</v>
      </c>
      <c r="K13" s="14">
        <f t="shared" si="2"/>
        <v>18050</v>
      </c>
      <c r="L13" s="14">
        <f t="shared" si="3"/>
        <v>113050</v>
      </c>
      <c r="M13" s="14">
        <v>0</v>
      </c>
      <c r="N13" s="14">
        <v>0</v>
      </c>
      <c r="O13" s="14">
        <v>0</v>
      </c>
      <c r="P13" s="19">
        <f>MIN(G13,J13)</f>
        <v>85000</v>
      </c>
      <c r="Q13" s="19">
        <f>MAX(G13,J13)</f>
        <v>95000</v>
      </c>
      <c r="R13" s="19">
        <f>HARMEAN(G13,J13)</f>
        <v>89722.222222222219</v>
      </c>
      <c r="S13" s="19">
        <f>AVERAGE(G13,J13)</f>
        <v>90000</v>
      </c>
      <c r="T13" s="20">
        <f>GEOMEAN(G13,J13)</f>
        <v>89861.003778057144</v>
      </c>
      <c r="U13" s="19">
        <f>MEDIAN(G13,J13)</f>
        <v>90000</v>
      </c>
      <c r="V13" s="20">
        <f>_xlfn.STDEV.P(G13,J13)</f>
        <v>5000</v>
      </c>
      <c r="W13" s="21">
        <f>V13/U13</f>
        <v>5.5555555555555552E-2</v>
      </c>
      <c r="X13" s="20" t="s">
        <v>74</v>
      </c>
      <c r="Y13" s="19">
        <f>+P13</f>
        <v>85000</v>
      </c>
    </row>
    <row r="14" spans="2:25" s="1" customFormat="1" ht="68.25" customHeight="1" x14ac:dyDescent="0.2">
      <c r="B14" s="7">
        <v>12</v>
      </c>
      <c r="C14" s="7" t="s">
        <v>16</v>
      </c>
      <c r="D14" s="10" t="s">
        <v>18</v>
      </c>
      <c r="E14" s="4">
        <v>1</v>
      </c>
      <c r="F14" s="4" t="s">
        <v>11</v>
      </c>
      <c r="G14" s="14">
        <v>8000</v>
      </c>
      <c r="H14" s="14">
        <f t="shared" si="0"/>
        <v>1520</v>
      </c>
      <c r="I14" s="14">
        <f t="shared" si="1"/>
        <v>9520</v>
      </c>
      <c r="J14" s="14">
        <v>12000</v>
      </c>
      <c r="K14" s="14">
        <f t="shared" si="2"/>
        <v>2280</v>
      </c>
      <c r="L14" s="14">
        <f t="shared" si="3"/>
        <v>14280</v>
      </c>
      <c r="M14" s="14">
        <v>0</v>
      </c>
      <c r="N14" s="14">
        <v>0</v>
      </c>
      <c r="O14" s="14">
        <v>0</v>
      </c>
      <c r="P14" s="19">
        <f t="shared" ref="P14:P15" si="20">MIN(G14,J14)</f>
        <v>8000</v>
      </c>
      <c r="Q14" s="19">
        <f t="shared" ref="Q14:Q15" si="21">MAX(G14,J14)</f>
        <v>12000</v>
      </c>
      <c r="R14" s="19">
        <f t="shared" ref="R14:R15" si="22">HARMEAN(G14,J14)</f>
        <v>9600</v>
      </c>
      <c r="S14" s="19">
        <f t="shared" ref="S14:S15" si="23">AVERAGE(G14,J14)</f>
        <v>10000</v>
      </c>
      <c r="T14" s="20">
        <f t="shared" ref="T14:T15" si="24">GEOMEAN(G14,J14)</f>
        <v>9797.9589711327117</v>
      </c>
      <c r="U14" s="19">
        <f t="shared" ref="U14:U15" si="25">MEDIAN(G14,J14)</f>
        <v>10000</v>
      </c>
      <c r="V14" s="20">
        <f t="shared" ref="V14:V15" si="26">_xlfn.STDEV.P(G14,J14)</f>
        <v>2000</v>
      </c>
      <c r="W14" s="21">
        <f t="shared" si="5"/>
        <v>0.2</v>
      </c>
      <c r="X14" s="20" t="s">
        <v>74</v>
      </c>
      <c r="Y14" s="19">
        <f>+P14</f>
        <v>8000</v>
      </c>
    </row>
    <row r="15" spans="2:25" s="1" customFormat="1" ht="47.25" customHeight="1" x14ac:dyDescent="0.2">
      <c r="B15" s="7">
        <v>13</v>
      </c>
      <c r="C15" s="7" t="s">
        <v>17</v>
      </c>
      <c r="D15" s="10" t="s">
        <v>18</v>
      </c>
      <c r="E15" s="4">
        <v>1</v>
      </c>
      <c r="F15" s="4" t="s">
        <v>11</v>
      </c>
      <c r="G15" s="14">
        <v>2500</v>
      </c>
      <c r="H15" s="14">
        <f t="shared" si="0"/>
        <v>475</v>
      </c>
      <c r="I15" s="14">
        <f t="shared" si="1"/>
        <v>2975</v>
      </c>
      <c r="J15" s="14">
        <v>6000</v>
      </c>
      <c r="K15" s="14">
        <f t="shared" si="2"/>
        <v>1140</v>
      </c>
      <c r="L15" s="14">
        <f t="shared" si="3"/>
        <v>7140</v>
      </c>
      <c r="M15" s="14">
        <v>0</v>
      </c>
      <c r="N15" s="14">
        <v>0</v>
      </c>
      <c r="O15" s="14">
        <v>0</v>
      </c>
      <c r="P15" s="19">
        <f t="shared" si="20"/>
        <v>2500</v>
      </c>
      <c r="Q15" s="19">
        <f t="shared" si="21"/>
        <v>6000</v>
      </c>
      <c r="R15" s="19">
        <f t="shared" si="22"/>
        <v>3529.411764705882</v>
      </c>
      <c r="S15" s="19">
        <f t="shared" si="23"/>
        <v>4250</v>
      </c>
      <c r="T15" s="20">
        <f t="shared" si="24"/>
        <v>3872.9833462074171</v>
      </c>
      <c r="U15" s="19">
        <f t="shared" si="25"/>
        <v>4250</v>
      </c>
      <c r="V15" s="20">
        <f t="shared" si="26"/>
        <v>1750</v>
      </c>
      <c r="W15" s="21">
        <f t="shared" si="5"/>
        <v>0.41176470588235292</v>
      </c>
      <c r="X15" s="20" t="s">
        <v>68</v>
      </c>
      <c r="Y15" s="19">
        <f>+S15</f>
        <v>4250</v>
      </c>
    </row>
    <row r="16" spans="2:25" s="1" customFormat="1" ht="34.5" customHeight="1" x14ac:dyDescent="0.2">
      <c r="B16" s="7">
        <v>14</v>
      </c>
      <c r="C16" s="7" t="s">
        <v>19</v>
      </c>
      <c r="D16" s="10" t="s">
        <v>27</v>
      </c>
      <c r="E16" s="4">
        <v>1</v>
      </c>
      <c r="F16" s="4" t="s">
        <v>11</v>
      </c>
      <c r="G16" s="14">
        <v>1500</v>
      </c>
      <c r="H16" s="14">
        <f t="shared" si="0"/>
        <v>285</v>
      </c>
      <c r="I16" s="14">
        <f t="shared" si="1"/>
        <v>1785</v>
      </c>
      <c r="J16" s="14">
        <v>4500</v>
      </c>
      <c r="K16" s="14">
        <f t="shared" si="2"/>
        <v>855</v>
      </c>
      <c r="L16" s="14">
        <f t="shared" si="3"/>
        <v>5355</v>
      </c>
      <c r="M16" s="14">
        <v>3153</v>
      </c>
      <c r="N16" s="14">
        <v>599.06999999999994</v>
      </c>
      <c r="O16" s="14">
        <v>3752.0699999999997</v>
      </c>
      <c r="P16" s="19">
        <f t="shared" si="6"/>
        <v>1500</v>
      </c>
      <c r="Q16" s="19">
        <f t="shared" si="7"/>
        <v>4500</v>
      </c>
      <c r="R16" s="19">
        <f t="shared" si="8"/>
        <v>2487.4649368863952</v>
      </c>
      <c r="S16" s="19">
        <f t="shared" si="9"/>
        <v>3051</v>
      </c>
      <c r="T16" s="20">
        <f t="shared" si="10"/>
        <v>2771.2513298328604</v>
      </c>
      <c r="U16" s="19">
        <f t="shared" si="11"/>
        <v>3153</v>
      </c>
      <c r="V16" s="20">
        <f t="shared" si="12"/>
        <v>1226.8667409299187</v>
      </c>
      <c r="W16" s="21">
        <f t="shared" si="5"/>
        <v>0.38911092322547375</v>
      </c>
      <c r="X16" s="20" t="s">
        <v>68</v>
      </c>
      <c r="Y16" s="19">
        <f>+S16</f>
        <v>3051</v>
      </c>
    </row>
    <row r="17" spans="2:25" s="1" customFormat="1" ht="75" customHeight="1" x14ac:dyDescent="0.2">
      <c r="B17" s="7">
        <v>15</v>
      </c>
      <c r="C17" s="7" t="s">
        <v>20</v>
      </c>
      <c r="D17" s="10" t="s">
        <v>28</v>
      </c>
      <c r="E17" s="4">
        <v>1</v>
      </c>
      <c r="F17" s="4" t="s">
        <v>11</v>
      </c>
      <c r="G17" s="14">
        <v>1500</v>
      </c>
      <c r="H17" s="14">
        <f t="shared" si="0"/>
        <v>285</v>
      </c>
      <c r="I17" s="14">
        <f t="shared" si="1"/>
        <v>1785</v>
      </c>
      <c r="J17" s="14">
        <v>4500</v>
      </c>
      <c r="K17" s="14">
        <f t="shared" si="2"/>
        <v>855</v>
      </c>
      <c r="L17" s="14">
        <f t="shared" si="3"/>
        <v>5355</v>
      </c>
      <c r="M17" s="14">
        <v>3153</v>
      </c>
      <c r="N17" s="14">
        <v>599.06999999999994</v>
      </c>
      <c r="O17" s="14">
        <v>3752.0699999999997</v>
      </c>
      <c r="P17" s="19">
        <f t="shared" si="6"/>
        <v>1500</v>
      </c>
      <c r="Q17" s="19">
        <f t="shared" si="7"/>
        <v>4500</v>
      </c>
      <c r="R17" s="19">
        <f t="shared" si="8"/>
        <v>2487.4649368863952</v>
      </c>
      <c r="S17" s="19">
        <f t="shared" si="9"/>
        <v>3051</v>
      </c>
      <c r="T17" s="20">
        <f t="shared" si="10"/>
        <v>2771.2513298328604</v>
      </c>
      <c r="U17" s="19">
        <f t="shared" si="11"/>
        <v>3153</v>
      </c>
      <c r="V17" s="20">
        <f t="shared" si="12"/>
        <v>1226.8667409299187</v>
      </c>
      <c r="W17" s="21">
        <f t="shared" si="5"/>
        <v>0.38911092322547375</v>
      </c>
      <c r="X17" s="20" t="s">
        <v>68</v>
      </c>
      <c r="Y17" s="19">
        <f>+S17</f>
        <v>3051</v>
      </c>
    </row>
    <row r="18" spans="2:25" s="1" customFormat="1" ht="77.25" customHeight="1" x14ac:dyDescent="0.2">
      <c r="B18" s="7">
        <v>16</v>
      </c>
      <c r="C18" s="7" t="s">
        <v>21</v>
      </c>
      <c r="D18" s="10" t="s">
        <v>38</v>
      </c>
      <c r="E18" s="4">
        <v>1</v>
      </c>
      <c r="F18" s="4" t="s">
        <v>11</v>
      </c>
      <c r="G18" s="14">
        <v>15000</v>
      </c>
      <c r="H18" s="14">
        <f t="shared" si="0"/>
        <v>2850</v>
      </c>
      <c r="I18" s="14">
        <f t="shared" si="1"/>
        <v>17850</v>
      </c>
      <c r="J18" s="14">
        <v>35000</v>
      </c>
      <c r="K18" s="14">
        <f t="shared" si="2"/>
        <v>6650</v>
      </c>
      <c r="L18" s="14">
        <f t="shared" si="3"/>
        <v>41650</v>
      </c>
      <c r="M18" s="14">
        <v>0</v>
      </c>
      <c r="N18" s="14">
        <v>0</v>
      </c>
      <c r="O18" s="14">
        <v>0</v>
      </c>
      <c r="P18" s="19">
        <f>MIN(G18,J18)</f>
        <v>15000</v>
      </c>
      <c r="Q18" s="19">
        <f>MAX(G18,J18)</f>
        <v>35000</v>
      </c>
      <c r="R18" s="19">
        <f>HARMEAN(G18,J18)</f>
        <v>21000</v>
      </c>
      <c r="S18" s="19">
        <f>AVERAGE(G18,J18)</f>
        <v>25000</v>
      </c>
      <c r="T18" s="20">
        <f>GEOMEAN(G18,J18)</f>
        <v>22912.878474779201</v>
      </c>
      <c r="U18" s="19">
        <f>MEDIAN(G18,J18)</f>
        <v>25000</v>
      </c>
      <c r="V18" s="20">
        <f>_xlfn.STDEV.P(G18,J18)</f>
        <v>10000</v>
      </c>
      <c r="W18" s="21">
        <f t="shared" si="5"/>
        <v>0.4</v>
      </c>
      <c r="X18" s="20" t="s">
        <v>68</v>
      </c>
      <c r="Y18" s="19">
        <f>+S18</f>
        <v>25000</v>
      </c>
    </row>
    <row r="19" spans="2:25" ht="76.5" customHeight="1" x14ac:dyDescent="0.2">
      <c r="B19" s="7">
        <v>17</v>
      </c>
      <c r="C19" s="7" t="s">
        <v>22</v>
      </c>
      <c r="D19" s="10" t="s">
        <v>29</v>
      </c>
      <c r="E19" s="4">
        <v>1</v>
      </c>
      <c r="F19" s="4" t="s">
        <v>11</v>
      </c>
      <c r="G19" s="14">
        <v>40000</v>
      </c>
      <c r="H19" s="14">
        <f t="shared" si="0"/>
        <v>7600</v>
      </c>
      <c r="I19" s="14">
        <f>G19+H19</f>
        <v>47600</v>
      </c>
      <c r="J19" s="14">
        <v>65000</v>
      </c>
      <c r="K19" s="14">
        <f t="shared" si="2"/>
        <v>12350</v>
      </c>
      <c r="L19" s="14">
        <f t="shared" si="3"/>
        <v>77350</v>
      </c>
      <c r="M19" s="14">
        <v>0</v>
      </c>
      <c r="N19" s="14">
        <v>0</v>
      </c>
      <c r="O19" s="14">
        <v>0</v>
      </c>
      <c r="P19" s="19">
        <f t="shared" ref="P19:P20" si="27">MIN(G19,J19)</f>
        <v>40000</v>
      </c>
      <c r="Q19" s="19">
        <f t="shared" ref="Q19:Q20" si="28">MAX(G19,J19)</f>
        <v>65000</v>
      </c>
      <c r="R19" s="19">
        <f t="shared" ref="R19:R20" si="29">HARMEAN(G19,J19)</f>
        <v>49523.809523809519</v>
      </c>
      <c r="S19" s="19">
        <f t="shared" ref="S19:S20" si="30">AVERAGE(G19,J19)</f>
        <v>52500</v>
      </c>
      <c r="T19" s="20">
        <f t="shared" ref="T19:T20" si="31">GEOMEAN(G19,J19)</f>
        <v>50990.195135927846</v>
      </c>
      <c r="U19" s="19">
        <f t="shared" ref="U19:U20" si="32">MEDIAN(G19,J19)</f>
        <v>52500</v>
      </c>
      <c r="V19" s="20">
        <f t="shared" ref="V19:V20" si="33">_xlfn.STDEV.P(G19,J19)</f>
        <v>12500</v>
      </c>
      <c r="W19" s="21">
        <f t="shared" si="5"/>
        <v>0.23809523809523808</v>
      </c>
      <c r="X19" s="20" t="s">
        <v>74</v>
      </c>
      <c r="Y19" s="19">
        <f>+P19</f>
        <v>40000</v>
      </c>
    </row>
    <row r="20" spans="2:25" ht="33.75" customHeight="1" x14ac:dyDescent="0.2">
      <c r="B20" s="7">
        <v>18</v>
      </c>
      <c r="C20" s="7" t="s">
        <v>23</v>
      </c>
      <c r="D20" s="10" t="s">
        <v>30</v>
      </c>
      <c r="E20" s="4">
        <v>1</v>
      </c>
      <c r="F20" s="4" t="s">
        <v>11</v>
      </c>
      <c r="G20" s="14">
        <v>90000</v>
      </c>
      <c r="H20" s="14">
        <f t="shared" si="0"/>
        <v>17100</v>
      </c>
      <c r="I20" s="14">
        <f t="shared" ref="I20:I23" si="34">G20+H20</f>
        <v>107100</v>
      </c>
      <c r="J20" s="14">
        <v>97000</v>
      </c>
      <c r="K20" s="14">
        <f t="shared" si="2"/>
        <v>18430</v>
      </c>
      <c r="L20" s="14">
        <f t="shared" si="3"/>
        <v>115430</v>
      </c>
      <c r="M20" s="14">
        <v>0</v>
      </c>
      <c r="N20" s="14">
        <v>0</v>
      </c>
      <c r="O20" s="14">
        <v>0</v>
      </c>
      <c r="P20" s="19">
        <f t="shared" si="27"/>
        <v>90000</v>
      </c>
      <c r="Q20" s="19">
        <f t="shared" si="28"/>
        <v>97000</v>
      </c>
      <c r="R20" s="19">
        <f t="shared" si="29"/>
        <v>93368.983957219243</v>
      </c>
      <c r="S20" s="19">
        <f t="shared" si="30"/>
        <v>93500</v>
      </c>
      <c r="T20" s="20">
        <f t="shared" si="31"/>
        <v>93434.469014384624</v>
      </c>
      <c r="U20" s="19">
        <f t="shared" si="32"/>
        <v>93500</v>
      </c>
      <c r="V20" s="20">
        <f t="shared" si="33"/>
        <v>3500</v>
      </c>
      <c r="W20" s="21">
        <f t="shared" si="5"/>
        <v>3.7433155080213901E-2</v>
      </c>
      <c r="X20" s="20" t="s">
        <v>74</v>
      </c>
      <c r="Y20" s="19">
        <f>+P20</f>
        <v>90000</v>
      </c>
    </row>
    <row r="21" spans="2:25" ht="30" x14ac:dyDescent="0.2">
      <c r="B21" s="7">
        <v>19</v>
      </c>
      <c r="C21" s="7" t="s">
        <v>24</v>
      </c>
      <c r="D21" s="10" t="s">
        <v>31</v>
      </c>
      <c r="E21" s="4">
        <v>1</v>
      </c>
      <c r="F21" s="4" t="s">
        <v>11</v>
      </c>
      <c r="G21" s="14">
        <v>25000</v>
      </c>
      <c r="H21" s="14">
        <f t="shared" si="0"/>
        <v>4750</v>
      </c>
      <c r="I21" s="14">
        <f t="shared" si="34"/>
        <v>29750</v>
      </c>
      <c r="J21" s="14">
        <v>48000</v>
      </c>
      <c r="K21" s="14">
        <f t="shared" si="2"/>
        <v>9120</v>
      </c>
      <c r="L21" s="14">
        <f t="shared" si="3"/>
        <v>57120</v>
      </c>
      <c r="M21" s="14">
        <v>21020</v>
      </c>
      <c r="N21" s="14">
        <v>3993.7999999999997</v>
      </c>
      <c r="O21" s="14">
        <v>25013.8</v>
      </c>
      <c r="P21" s="19">
        <f t="shared" si="6"/>
        <v>21020</v>
      </c>
      <c r="Q21" s="19">
        <f t="shared" si="7"/>
        <v>48000</v>
      </c>
      <c r="R21" s="19">
        <f t="shared" si="8"/>
        <v>27673.471178953063</v>
      </c>
      <c r="S21" s="19">
        <f t="shared" si="9"/>
        <v>31340</v>
      </c>
      <c r="T21" s="20">
        <f t="shared" si="10"/>
        <v>29327.248508299694</v>
      </c>
      <c r="U21" s="19">
        <f t="shared" si="11"/>
        <v>25000</v>
      </c>
      <c r="V21" s="20">
        <f t="shared" si="12"/>
        <v>11891.924430749914</v>
      </c>
      <c r="W21" s="21">
        <f t="shared" si="5"/>
        <v>0.47567697722999658</v>
      </c>
      <c r="X21" s="20" t="s">
        <v>68</v>
      </c>
      <c r="Y21" s="19">
        <f>+S21</f>
        <v>31340</v>
      </c>
    </row>
    <row r="22" spans="2:25" ht="30" x14ac:dyDescent="0.2">
      <c r="B22" s="7">
        <v>20</v>
      </c>
      <c r="C22" s="7" t="s">
        <v>24</v>
      </c>
      <c r="D22" s="10" t="s">
        <v>32</v>
      </c>
      <c r="E22" s="4">
        <v>1</v>
      </c>
      <c r="F22" s="4" t="s">
        <v>11</v>
      </c>
      <c r="G22" s="14">
        <v>28000</v>
      </c>
      <c r="H22" s="14">
        <f t="shared" si="0"/>
        <v>5320</v>
      </c>
      <c r="I22" s="14">
        <f t="shared" si="34"/>
        <v>33320</v>
      </c>
      <c r="J22" s="14">
        <v>53000</v>
      </c>
      <c r="K22" s="14">
        <f t="shared" si="2"/>
        <v>10070</v>
      </c>
      <c r="L22" s="14">
        <f t="shared" si="3"/>
        <v>63070</v>
      </c>
      <c r="M22" s="14">
        <v>42040</v>
      </c>
      <c r="N22" s="14">
        <v>7987.5999999999995</v>
      </c>
      <c r="O22" s="14">
        <v>50027.6</v>
      </c>
      <c r="P22" s="19">
        <f t="shared" si="6"/>
        <v>28000</v>
      </c>
      <c r="Q22" s="19">
        <f t="shared" si="7"/>
        <v>53000</v>
      </c>
      <c r="R22" s="19">
        <f t="shared" si="8"/>
        <v>38280.403498294203</v>
      </c>
      <c r="S22" s="19">
        <f t="shared" si="9"/>
        <v>41013.333333333336</v>
      </c>
      <c r="T22" s="20">
        <f t="shared" si="10"/>
        <v>39661.171315392523</v>
      </c>
      <c r="U22" s="19">
        <f t="shared" si="11"/>
        <v>42040</v>
      </c>
      <c r="V22" s="20">
        <f t="shared" si="12"/>
        <v>10231.993397617538</v>
      </c>
      <c r="W22" s="21">
        <f t="shared" si="5"/>
        <v>0.2433870931878577</v>
      </c>
      <c r="X22" s="20" t="s">
        <v>74</v>
      </c>
      <c r="Y22" s="19">
        <f>+P22</f>
        <v>28000</v>
      </c>
    </row>
    <row r="23" spans="2:25" ht="30" x14ac:dyDescent="0.2">
      <c r="B23" s="7">
        <v>21</v>
      </c>
      <c r="C23" s="7" t="s">
        <v>24</v>
      </c>
      <c r="D23" s="10" t="s">
        <v>33</v>
      </c>
      <c r="E23" s="4">
        <v>1</v>
      </c>
      <c r="F23" s="4" t="s">
        <v>11</v>
      </c>
      <c r="G23" s="14">
        <v>32000</v>
      </c>
      <c r="H23" s="14">
        <f t="shared" si="0"/>
        <v>6080</v>
      </c>
      <c r="I23" s="14">
        <f t="shared" si="34"/>
        <v>38080</v>
      </c>
      <c r="J23" s="14">
        <v>67000</v>
      </c>
      <c r="K23" s="14">
        <f t="shared" si="2"/>
        <v>12730</v>
      </c>
      <c r="L23" s="14">
        <f t="shared" si="3"/>
        <v>79730</v>
      </c>
      <c r="M23" s="14">
        <v>47295</v>
      </c>
      <c r="N23" s="14">
        <v>8986.0499999999993</v>
      </c>
      <c r="O23" s="14">
        <v>56281.049999999996</v>
      </c>
      <c r="P23" s="19">
        <f t="shared" si="6"/>
        <v>32000</v>
      </c>
      <c r="Q23" s="19">
        <f t="shared" si="7"/>
        <v>67000</v>
      </c>
      <c r="R23" s="19">
        <f t="shared" si="8"/>
        <v>44563.771524587959</v>
      </c>
      <c r="S23" s="19">
        <f t="shared" si="9"/>
        <v>48765</v>
      </c>
      <c r="T23" s="20">
        <f t="shared" si="10"/>
        <v>46631.566349692155</v>
      </c>
      <c r="U23" s="19">
        <f t="shared" si="11"/>
        <v>47295</v>
      </c>
      <c r="V23" s="20">
        <f t="shared" si="12"/>
        <v>14326.44815251382</v>
      </c>
      <c r="W23" s="21">
        <f t="shared" si="5"/>
        <v>0.30291675975290877</v>
      </c>
      <c r="X23" s="20" t="s">
        <v>68</v>
      </c>
      <c r="Y23" s="19">
        <f>+S23</f>
        <v>48765</v>
      </c>
    </row>
    <row r="24" spans="2:25" ht="72.5" customHeight="1" x14ac:dyDescent="0.2">
      <c r="B24" s="7">
        <v>22</v>
      </c>
      <c r="C24" s="7" t="s">
        <v>25</v>
      </c>
      <c r="D24" s="10" t="s">
        <v>39</v>
      </c>
      <c r="E24" s="4">
        <v>1</v>
      </c>
      <c r="F24" s="4" t="s">
        <v>11</v>
      </c>
      <c r="G24" s="14">
        <v>65000</v>
      </c>
      <c r="H24" s="14">
        <f t="shared" si="0"/>
        <v>12350</v>
      </c>
      <c r="I24" s="14">
        <f>G24+H24</f>
        <v>77350</v>
      </c>
      <c r="J24" s="14">
        <v>55000</v>
      </c>
      <c r="K24" s="14">
        <f t="shared" si="2"/>
        <v>10450</v>
      </c>
      <c r="L24" s="14">
        <f t="shared" si="3"/>
        <v>65450</v>
      </c>
      <c r="M24" s="14">
        <v>0</v>
      </c>
      <c r="N24" s="14">
        <v>0</v>
      </c>
      <c r="O24" s="14">
        <v>0</v>
      </c>
      <c r="P24" s="19">
        <f>MIN(G24,J24)</f>
        <v>55000</v>
      </c>
      <c r="Q24" s="19">
        <f>MAX(G24,J24)</f>
        <v>65000</v>
      </c>
      <c r="R24" s="19">
        <f>HARMEAN(G24,J24)</f>
        <v>59583.333333333336</v>
      </c>
      <c r="S24" s="19">
        <f>AVERAGE(G24,J24)</f>
        <v>60000</v>
      </c>
      <c r="T24" s="20">
        <f>GEOMEAN(G24,J24)</f>
        <v>59791.303715506991</v>
      </c>
      <c r="U24" s="19">
        <f>MEDIAN(G24,J24)</f>
        <v>60000</v>
      </c>
      <c r="V24" s="20">
        <f>_xlfn.STDEV.P(G24,J24)</f>
        <v>5000</v>
      </c>
      <c r="W24" s="21">
        <f t="shared" si="5"/>
        <v>8.3333333333333329E-2</v>
      </c>
      <c r="X24" s="20" t="s">
        <v>74</v>
      </c>
      <c r="Y24" s="19">
        <f>+P24</f>
        <v>55000</v>
      </c>
    </row>
  </sheetData>
  <autoFilter ref="B2:Y24" xr:uid="{FBC51005-3BEB-421B-8207-59377C9BC378}"/>
  <mergeCells count="3">
    <mergeCell ref="G1:I1"/>
    <mergeCell ref="J1:L1"/>
    <mergeCell ref="M1:O1"/>
  </mergeCells>
  <pageMargins left="0.7" right="0.7" top="0.75" bottom="0.75" header="0.3" footer="0.3"/>
  <pageSetup orientation="portrait" r:id="rId1"/>
  <ignoredErrors>
    <ignoredError sqref="R4 S4:V4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1639C-2B37-42AF-85B0-32373D1A9C07}">
  <dimension ref="B1:O25"/>
  <sheetViews>
    <sheetView showGridLines="0" topLeftCell="B15" zoomScale="69" zoomScaleNormal="100" workbookViewId="0">
      <selection activeCell="B2" sqref="B2:L24"/>
    </sheetView>
  </sheetViews>
  <sheetFormatPr baseColWidth="10" defaultColWidth="11.5" defaultRowHeight="15" x14ac:dyDescent="0.2"/>
  <cols>
    <col min="1" max="1" width="2.33203125" customWidth="1"/>
    <col min="2" max="2" width="29.33203125" style="2" customWidth="1"/>
    <col min="3" max="3" width="34.5" style="2" customWidth="1"/>
    <col min="4" max="4" width="84.6640625" style="2" customWidth="1"/>
    <col min="5" max="5" width="13" style="5" customWidth="1"/>
    <col min="6" max="6" width="20.5" style="2" customWidth="1"/>
    <col min="7" max="8" width="21.6640625" style="16" customWidth="1"/>
    <col min="9" max="9" width="26.33203125" style="16" customWidth="1"/>
    <col min="10" max="10" width="23.5" style="15" customWidth="1"/>
    <col min="11" max="11" width="24" style="15" customWidth="1"/>
    <col min="12" max="12" width="34.5" style="15" customWidth="1"/>
    <col min="13" max="13" width="14.5" style="15" bestFit="1" customWidth="1"/>
    <col min="14" max="14" width="13.5" style="15" bestFit="1" customWidth="1"/>
    <col min="15" max="15" width="14.5" style="15" bestFit="1" customWidth="1"/>
  </cols>
  <sheetData>
    <row r="1" spans="2:15" ht="22" hidden="1" x14ac:dyDescent="0.3">
      <c r="G1" s="28" t="s">
        <v>46</v>
      </c>
      <c r="H1" s="28"/>
      <c r="I1" s="28"/>
      <c r="J1" s="29" t="s">
        <v>47</v>
      </c>
      <c r="K1" s="29"/>
      <c r="L1" s="29"/>
      <c r="M1"/>
      <c r="N1"/>
      <c r="O1"/>
    </row>
    <row r="2" spans="2:15" s="1" customFormat="1" ht="78.75" customHeight="1" x14ac:dyDescent="0.2">
      <c r="B2" s="6" t="s">
        <v>4</v>
      </c>
      <c r="C2" s="6" t="s">
        <v>5</v>
      </c>
      <c r="D2" s="6" t="s">
        <v>6</v>
      </c>
      <c r="E2" s="6" t="s">
        <v>0</v>
      </c>
      <c r="F2" s="6" t="s">
        <v>26</v>
      </c>
      <c r="G2" s="13" t="s">
        <v>2</v>
      </c>
      <c r="H2" s="13" t="s">
        <v>3</v>
      </c>
      <c r="I2" s="13" t="s">
        <v>1</v>
      </c>
      <c r="J2" s="13" t="s">
        <v>2</v>
      </c>
      <c r="K2" s="13" t="s">
        <v>3</v>
      </c>
      <c r="L2" s="13" t="s">
        <v>1</v>
      </c>
    </row>
    <row r="3" spans="2:15" s="1" customFormat="1" ht="409.5" customHeight="1" x14ac:dyDescent="0.2">
      <c r="B3" s="7">
        <v>1</v>
      </c>
      <c r="C3" s="7" t="s">
        <v>48</v>
      </c>
      <c r="D3" s="10" t="s">
        <v>49</v>
      </c>
      <c r="E3" s="4">
        <v>1</v>
      </c>
      <c r="F3" s="3" t="s">
        <v>12</v>
      </c>
      <c r="G3" s="14">
        <v>225000</v>
      </c>
      <c r="H3" s="14">
        <f t="shared" ref="H3:H24" si="0">G3*0.19</f>
        <v>42750</v>
      </c>
      <c r="I3" s="14">
        <f>G3+H3</f>
        <v>267750</v>
      </c>
      <c r="J3" s="14">
        <v>180000</v>
      </c>
      <c r="K3" s="14">
        <f>+J3*19%</f>
        <v>34200</v>
      </c>
      <c r="L3" s="14">
        <f>J3+K3</f>
        <v>214200</v>
      </c>
    </row>
    <row r="4" spans="2:15" s="1" customFormat="1" ht="246.75" customHeight="1" x14ac:dyDescent="0.2">
      <c r="B4" s="7">
        <v>2</v>
      </c>
      <c r="C4" s="7" t="s">
        <v>50</v>
      </c>
      <c r="D4" s="10" t="s">
        <v>7</v>
      </c>
      <c r="E4" s="4">
        <v>1</v>
      </c>
      <c r="F4" s="3" t="s">
        <v>12</v>
      </c>
      <c r="G4" s="14">
        <v>80000</v>
      </c>
      <c r="H4" s="14">
        <f t="shared" si="0"/>
        <v>15200</v>
      </c>
      <c r="I4" s="14">
        <f t="shared" ref="I4:I18" si="1">G4+H4</f>
        <v>95200</v>
      </c>
      <c r="J4" s="14">
        <v>97000</v>
      </c>
      <c r="K4" s="14">
        <f t="shared" ref="K4:K24" si="2">+J4*19%</f>
        <v>18430</v>
      </c>
      <c r="L4" s="14">
        <f t="shared" ref="L4:L24" si="3">J4+K4</f>
        <v>115430</v>
      </c>
    </row>
    <row r="5" spans="2:15" s="1" customFormat="1" ht="335.25" customHeight="1" x14ac:dyDescent="0.2">
      <c r="B5" s="7">
        <v>3</v>
      </c>
      <c r="C5" s="7" t="s">
        <v>51</v>
      </c>
      <c r="D5" s="10" t="s">
        <v>52</v>
      </c>
      <c r="E5" s="4">
        <v>1</v>
      </c>
      <c r="F5" s="3" t="s">
        <v>12</v>
      </c>
      <c r="G5" s="14">
        <v>165000</v>
      </c>
      <c r="H5" s="14">
        <f t="shared" si="0"/>
        <v>31350</v>
      </c>
      <c r="I5" s="14">
        <f t="shared" si="1"/>
        <v>196350</v>
      </c>
      <c r="J5" s="14">
        <v>110000</v>
      </c>
      <c r="K5" s="14">
        <f t="shared" si="2"/>
        <v>20900</v>
      </c>
      <c r="L5" s="14">
        <f t="shared" si="3"/>
        <v>130900</v>
      </c>
    </row>
    <row r="6" spans="2:15" s="1" customFormat="1" ht="76.5" customHeight="1" x14ac:dyDescent="0.2">
      <c r="B6" s="7">
        <v>4</v>
      </c>
      <c r="C6" s="7" t="s">
        <v>8</v>
      </c>
      <c r="D6" s="10" t="s">
        <v>9</v>
      </c>
      <c r="E6" s="4">
        <v>1</v>
      </c>
      <c r="F6" s="3" t="s">
        <v>11</v>
      </c>
      <c r="G6" s="14">
        <v>90000</v>
      </c>
      <c r="H6" s="14">
        <f t="shared" si="0"/>
        <v>17100</v>
      </c>
      <c r="I6" s="14">
        <f t="shared" si="1"/>
        <v>107100</v>
      </c>
      <c r="J6" s="14">
        <v>69000</v>
      </c>
      <c r="K6" s="14">
        <f t="shared" si="2"/>
        <v>13110</v>
      </c>
      <c r="L6" s="14">
        <f t="shared" si="3"/>
        <v>82110</v>
      </c>
    </row>
    <row r="7" spans="2:15" s="1" customFormat="1" ht="111" customHeight="1" x14ac:dyDescent="0.2">
      <c r="B7" s="7">
        <v>5</v>
      </c>
      <c r="C7" s="7" t="s">
        <v>10</v>
      </c>
      <c r="D7" s="10" t="s">
        <v>53</v>
      </c>
      <c r="E7" s="4">
        <v>1</v>
      </c>
      <c r="F7" s="4" t="s">
        <v>11</v>
      </c>
      <c r="G7" s="14">
        <v>214000</v>
      </c>
      <c r="H7" s="14">
        <f t="shared" si="0"/>
        <v>40660</v>
      </c>
      <c r="I7" s="14">
        <f t="shared" si="1"/>
        <v>254660</v>
      </c>
      <c r="J7" s="14">
        <v>178000</v>
      </c>
      <c r="K7" s="14">
        <f t="shared" si="2"/>
        <v>33820</v>
      </c>
      <c r="L7" s="14">
        <f t="shared" si="3"/>
        <v>211820</v>
      </c>
    </row>
    <row r="8" spans="2:15" s="1" customFormat="1" ht="103.5" customHeight="1" x14ac:dyDescent="0.2">
      <c r="B8" s="7">
        <v>6</v>
      </c>
      <c r="C8" s="7" t="s">
        <v>10</v>
      </c>
      <c r="D8" s="10" t="s">
        <v>35</v>
      </c>
      <c r="E8" s="4">
        <v>1</v>
      </c>
      <c r="F8" s="4" t="s">
        <v>11</v>
      </c>
      <c r="G8" s="14">
        <v>214000</v>
      </c>
      <c r="H8" s="14">
        <f t="shared" si="0"/>
        <v>40660</v>
      </c>
      <c r="I8" s="14">
        <f t="shared" si="1"/>
        <v>254660</v>
      </c>
      <c r="J8" s="14">
        <v>210000</v>
      </c>
      <c r="K8" s="14">
        <f t="shared" si="2"/>
        <v>39900</v>
      </c>
      <c r="L8" s="14">
        <f t="shared" si="3"/>
        <v>249900</v>
      </c>
    </row>
    <row r="9" spans="2:15" s="1" customFormat="1" ht="135" customHeight="1" x14ac:dyDescent="0.2">
      <c r="B9" s="7">
        <v>7</v>
      </c>
      <c r="C9" s="7" t="s">
        <v>36</v>
      </c>
      <c r="D9" s="10" t="s">
        <v>54</v>
      </c>
      <c r="E9" s="4">
        <v>1</v>
      </c>
      <c r="F9" s="4" t="s">
        <v>13</v>
      </c>
      <c r="G9" s="14">
        <v>65000</v>
      </c>
      <c r="H9" s="14">
        <f t="shared" si="0"/>
        <v>12350</v>
      </c>
      <c r="I9" s="14">
        <f t="shared" si="1"/>
        <v>77350</v>
      </c>
      <c r="J9" s="14">
        <v>130000</v>
      </c>
      <c r="K9" s="14">
        <f t="shared" si="2"/>
        <v>24700</v>
      </c>
      <c r="L9" s="14">
        <f t="shared" si="3"/>
        <v>154700</v>
      </c>
    </row>
    <row r="10" spans="2:15" s="1" customFormat="1" ht="220.5" customHeight="1" x14ac:dyDescent="0.2">
      <c r="B10" s="7">
        <v>8</v>
      </c>
      <c r="C10" s="7" t="s">
        <v>56</v>
      </c>
      <c r="D10" s="10" t="s">
        <v>14</v>
      </c>
      <c r="E10" s="4">
        <v>1</v>
      </c>
      <c r="F10" s="4" t="s">
        <v>12</v>
      </c>
      <c r="G10" s="14">
        <v>185000</v>
      </c>
      <c r="H10" s="14">
        <f t="shared" si="0"/>
        <v>35150</v>
      </c>
      <c r="I10" s="14">
        <f t="shared" si="1"/>
        <v>220150</v>
      </c>
      <c r="J10" s="14">
        <v>170000</v>
      </c>
      <c r="K10" s="14">
        <f t="shared" si="2"/>
        <v>32300</v>
      </c>
      <c r="L10" s="14">
        <f t="shared" si="3"/>
        <v>202300</v>
      </c>
    </row>
    <row r="11" spans="2:15" s="1" customFormat="1" ht="186" customHeight="1" x14ac:dyDescent="0.2">
      <c r="B11" s="7">
        <v>9</v>
      </c>
      <c r="C11" s="7" t="s">
        <v>55</v>
      </c>
      <c r="D11" s="10" t="s">
        <v>37</v>
      </c>
      <c r="E11" s="4">
        <v>1</v>
      </c>
      <c r="F11" s="4" t="s">
        <v>13</v>
      </c>
      <c r="G11" s="14">
        <v>65000</v>
      </c>
      <c r="H11" s="14">
        <f t="shared" si="0"/>
        <v>12350</v>
      </c>
      <c r="I11" s="14">
        <f t="shared" si="1"/>
        <v>77350</v>
      </c>
      <c r="J11" s="14">
        <v>75000</v>
      </c>
      <c r="K11" s="14">
        <f t="shared" si="2"/>
        <v>14250</v>
      </c>
      <c r="L11" s="14">
        <f t="shared" si="3"/>
        <v>89250</v>
      </c>
    </row>
    <row r="12" spans="2:15" s="1" customFormat="1" ht="80.25" customHeight="1" x14ac:dyDescent="0.2">
      <c r="B12" s="7">
        <v>10</v>
      </c>
      <c r="C12" s="7" t="s">
        <v>58</v>
      </c>
      <c r="D12" s="10" t="s">
        <v>57</v>
      </c>
      <c r="E12" s="4">
        <v>1</v>
      </c>
      <c r="F12" s="4" t="s">
        <v>13</v>
      </c>
      <c r="G12" s="14">
        <v>75000</v>
      </c>
      <c r="H12" s="14">
        <f t="shared" si="0"/>
        <v>14250</v>
      </c>
      <c r="I12" s="14">
        <f t="shared" si="1"/>
        <v>89250</v>
      </c>
      <c r="J12" s="14">
        <v>210000</v>
      </c>
      <c r="K12" s="14">
        <f t="shared" si="2"/>
        <v>39900</v>
      </c>
      <c r="L12" s="14">
        <f t="shared" si="3"/>
        <v>249900</v>
      </c>
    </row>
    <row r="13" spans="2:15" s="1" customFormat="1" ht="55.5" customHeight="1" x14ac:dyDescent="0.2">
      <c r="B13" s="7">
        <v>11</v>
      </c>
      <c r="C13" s="7" t="s">
        <v>60</v>
      </c>
      <c r="D13" s="10" t="s">
        <v>59</v>
      </c>
      <c r="E13" s="4">
        <v>1</v>
      </c>
      <c r="F13" s="4" t="s">
        <v>13</v>
      </c>
      <c r="G13" s="14">
        <v>85000</v>
      </c>
      <c r="H13" s="14">
        <f t="shared" si="0"/>
        <v>16150</v>
      </c>
      <c r="I13" s="14">
        <f t="shared" si="1"/>
        <v>101150</v>
      </c>
      <c r="J13" s="14">
        <v>95000</v>
      </c>
      <c r="K13" s="14">
        <f t="shared" si="2"/>
        <v>18050</v>
      </c>
      <c r="L13" s="14">
        <f t="shared" si="3"/>
        <v>113050</v>
      </c>
    </row>
    <row r="14" spans="2:15" s="1" customFormat="1" ht="41.25" customHeight="1" x14ac:dyDescent="0.2">
      <c r="B14" s="7">
        <v>12</v>
      </c>
      <c r="C14" s="7" t="s">
        <v>16</v>
      </c>
      <c r="D14" s="10" t="s">
        <v>18</v>
      </c>
      <c r="E14" s="4">
        <v>1</v>
      </c>
      <c r="F14" s="4" t="s">
        <v>11</v>
      </c>
      <c r="G14" s="14">
        <v>8000</v>
      </c>
      <c r="H14" s="14">
        <f t="shared" si="0"/>
        <v>1520</v>
      </c>
      <c r="I14" s="14">
        <f t="shared" si="1"/>
        <v>9520</v>
      </c>
      <c r="J14" s="14">
        <v>12000</v>
      </c>
      <c r="K14" s="14">
        <f t="shared" si="2"/>
        <v>2280</v>
      </c>
      <c r="L14" s="14">
        <f t="shared" si="3"/>
        <v>14280</v>
      </c>
    </row>
    <row r="15" spans="2:15" s="1" customFormat="1" ht="41.25" customHeight="1" x14ac:dyDescent="0.2">
      <c r="B15" s="7">
        <v>13</v>
      </c>
      <c r="C15" s="7" t="s">
        <v>17</v>
      </c>
      <c r="D15" s="10" t="s">
        <v>18</v>
      </c>
      <c r="E15" s="4">
        <v>1</v>
      </c>
      <c r="F15" s="4" t="s">
        <v>11</v>
      </c>
      <c r="G15" s="14">
        <v>2500</v>
      </c>
      <c r="H15" s="14">
        <f t="shared" si="0"/>
        <v>475</v>
      </c>
      <c r="I15" s="14">
        <f t="shared" si="1"/>
        <v>2975</v>
      </c>
      <c r="J15" s="14">
        <v>6000</v>
      </c>
      <c r="K15" s="14">
        <f t="shared" si="2"/>
        <v>1140</v>
      </c>
      <c r="L15" s="14">
        <f t="shared" si="3"/>
        <v>7140</v>
      </c>
    </row>
    <row r="16" spans="2:15" s="1" customFormat="1" ht="41.25" customHeight="1" x14ac:dyDescent="0.2">
      <c r="B16" s="7">
        <v>14</v>
      </c>
      <c r="C16" s="7" t="s">
        <v>19</v>
      </c>
      <c r="D16" s="10" t="s">
        <v>27</v>
      </c>
      <c r="E16" s="4">
        <v>1</v>
      </c>
      <c r="F16" s="4" t="s">
        <v>11</v>
      </c>
      <c r="G16" s="14">
        <v>1500</v>
      </c>
      <c r="H16" s="14">
        <f t="shared" si="0"/>
        <v>285</v>
      </c>
      <c r="I16" s="14">
        <f t="shared" si="1"/>
        <v>1785</v>
      </c>
      <c r="J16" s="14">
        <v>4500</v>
      </c>
      <c r="K16" s="14">
        <f t="shared" si="2"/>
        <v>855</v>
      </c>
      <c r="L16" s="14">
        <f t="shared" si="3"/>
        <v>5355</v>
      </c>
    </row>
    <row r="17" spans="2:15" s="1" customFormat="1" ht="43.5" customHeight="1" x14ac:dyDescent="0.2">
      <c r="B17" s="7">
        <v>15</v>
      </c>
      <c r="C17" s="7" t="s">
        <v>20</v>
      </c>
      <c r="D17" s="10" t="s">
        <v>28</v>
      </c>
      <c r="E17" s="4">
        <v>1</v>
      </c>
      <c r="F17" s="4" t="s">
        <v>11</v>
      </c>
      <c r="G17" s="14">
        <v>1500</v>
      </c>
      <c r="H17" s="14">
        <f t="shared" si="0"/>
        <v>285</v>
      </c>
      <c r="I17" s="14">
        <f t="shared" si="1"/>
        <v>1785</v>
      </c>
      <c r="J17" s="14">
        <v>4500</v>
      </c>
      <c r="K17" s="14">
        <f t="shared" si="2"/>
        <v>855</v>
      </c>
      <c r="L17" s="14">
        <f t="shared" si="3"/>
        <v>5355</v>
      </c>
    </row>
    <row r="18" spans="2:15" s="1" customFormat="1" ht="50.25" customHeight="1" x14ac:dyDescent="0.2">
      <c r="B18" s="7">
        <v>16</v>
      </c>
      <c r="C18" s="7" t="s">
        <v>21</v>
      </c>
      <c r="D18" s="10" t="s">
        <v>38</v>
      </c>
      <c r="E18" s="4">
        <v>1</v>
      </c>
      <c r="F18" s="4" t="s">
        <v>11</v>
      </c>
      <c r="G18" s="14">
        <v>15000</v>
      </c>
      <c r="H18" s="14">
        <f t="shared" si="0"/>
        <v>2850</v>
      </c>
      <c r="I18" s="14">
        <f t="shared" si="1"/>
        <v>17850</v>
      </c>
      <c r="J18" s="14">
        <v>35000</v>
      </c>
      <c r="K18" s="14">
        <f t="shared" si="2"/>
        <v>6650</v>
      </c>
      <c r="L18" s="14">
        <f t="shared" si="3"/>
        <v>41650</v>
      </c>
    </row>
    <row r="19" spans="2:15" ht="39.75" customHeight="1" x14ac:dyDescent="0.2">
      <c r="B19" s="7">
        <v>17</v>
      </c>
      <c r="C19" s="7" t="s">
        <v>61</v>
      </c>
      <c r="D19" s="10" t="s">
        <v>29</v>
      </c>
      <c r="E19" s="4">
        <v>1</v>
      </c>
      <c r="F19" s="4" t="s">
        <v>11</v>
      </c>
      <c r="G19" s="14">
        <v>40000</v>
      </c>
      <c r="H19" s="14">
        <f t="shared" si="0"/>
        <v>7600</v>
      </c>
      <c r="I19" s="14">
        <f>G19+H19</f>
        <v>47600</v>
      </c>
      <c r="J19" s="14">
        <v>65000</v>
      </c>
      <c r="K19" s="14">
        <f t="shared" si="2"/>
        <v>12350</v>
      </c>
      <c r="L19" s="14">
        <f t="shared" si="3"/>
        <v>77350</v>
      </c>
      <c r="M19"/>
      <c r="N19"/>
      <c r="O19"/>
    </row>
    <row r="20" spans="2:15" ht="33.75" customHeight="1" x14ac:dyDescent="0.2">
      <c r="B20" s="7">
        <v>18</v>
      </c>
      <c r="C20" s="7" t="s">
        <v>23</v>
      </c>
      <c r="D20" s="10" t="s">
        <v>30</v>
      </c>
      <c r="E20" s="4">
        <v>1</v>
      </c>
      <c r="F20" s="4" t="s">
        <v>11</v>
      </c>
      <c r="G20" s="14">
        <v>90000</v>
      </c>
      <c r="H20" s="14">
        <f t="shared" si="0"/>
        <v>17100</v>
      </c>
      <c r="I20" s="14">
        <f t="shared" ref="I20:I23" si="4">G20+H20</f>
        <v>107100</v>
      </c>
      <c r="J20" s="14">
        <v>97000</v>
      </c>
      <c r="K20" s="14">
        <f t="shared" si="2"/>
        <v>18430</v>
      </c>
      <c r="L20" s="14">
        <f t="shared" si="3"/>
        <v>115430</v>
      </c>
      <c r="M20"/>
      <c r="N20"/>
      <c r="O20"/>
    </row>
    <row r="21" spans="2:15" ht="30" x14ac:dyDescent="0.2">
      <c r="B21" s="7">
        <v>19</v>
      </c>
      <c r="C21" s="7" t="s">
        <v>24</v>
      </c>
      <c r="D21" s="10" t="s">
        <v>31</v>
      </c>
      <c r="E21" s="4">
        <v>1</v>
      </c>
      <c r="F21" s="4" t="s">
        <v>11</v>
      </c>
      <c r="G21" s="14">
        <v>25000</v>
      </c>
      <c r="H21" s="14">
        <f t="shared" si="0"/>
        <v>4750</v>
      </c>
      <c r="I21" s="14">
        <f t="shared" si="4"/>
        <v>29750</v>
      </c>
      <c r="J21" s="14">
        <v>48000</v>
      </c>
      <c r="K21" s="14">
        <f t="shared" si="2"/>
        <v>9120</v>
      </c>
      <c r="L21" s="14">
        <f t="shared" si="3"/>
        <v>57120</v>
      </c>
      <c r="M21"/>
      <c r="N21"/>
      <c r="O21"/>
    </row>
    <row r="22" spans="2:15" ht="30" x14ac:dyDescent="0.2">
      <c r="B22" s="7">
        <v>20</v>
      </c>
      <c r="C22" s="7" t="s">
        <v>24</v>
      </c>
      <c r="D22" s="10" t="s">
        <v>32</v>
      </c>
      <c r="E22" s="4">
        <v>1</v>
      </c>
      <c r="F22" s="4" t="s">
        <v>11</v>
      </c>
      <c r="G22" s="14">
        <v>28000</v>
      </c>
      <c r="H22" s="14">
        <f t="shared" si="0"/>
        <v>5320</v>
      </c>
      <c r="I22" s="14">
        <f t="shared" si="4"/>
        <v>33320</v>
      </c>
      <c r="J22" s="14">
        <v>53000</v>
      </c>
      <c r="K22" s="14">
        <f t="shared" si="2"/>
        <v>10070</v>
      </c>
      <c r="L22" s="14">
        <f t="shared" si="3"/>
        <v>63070</v>
      </c>
      <c r="M22"/>
      <c r="N22"/>
      <c r="O22"/>
    </row>
    <row r="23" spans="2:15" ht="30" x14ac:dyDescent="0.2">
      <c r="B23" s="7">
        <v>21</v>
      </c>
      <c r="C23" s="7" t="s">
        <v>24</v>
      </c>
      <c r="D23" s="10" t="s">
        <v>33</v>
      </c>
      <c r="E23" s="4">
        <v>1</v>
      </c>
      <c r="F23" s="4" t="s">
        <v>11</v>
      </c>
      <c r="G23" s="14">
        <v>32000</v>
      </c>
      <c r="H23" s="14">
        <f t="shared" si="0"/>
        <v>6080</v>
      </c>
      <c r="I23" s="14">
        <f t="shared" si="4"/>
        <v>38080</v>
      </c>
      <c r="J23" s="14">
        <v>67000</v>
      </c>
      <c r="K23" s="14">
        <f t="shared" si="2"/>
        <v>12730</v>
      </c>
      <c r="L23" s="14">
        <f t="shared" si="3"/>
        <v>79730</v>
      </c>
      <c r="M23"/>
      <c r="N23"/>
      <c r="O23"/>
    </row>
    <row r="24" spans="2:15" ht="72.5" customHeight="1" x14ac:dyDescent="0.2">
      <c r="B24" s="7">
        <v>22</v>
      </c>
      <c r="C24" s="7" t="s">
        <v>25</v>
      </c>
      <c r="D24" s="10" t="s">
        <v>39</v>
      </c>
      <c r="E24" s="4">
        <v>1</v>
      </c>
      <c r="F24" s="4" t="s">
        <v>11</v>
      </c>
      <c r="G24" s="14">
        <v>65000</v>
      </c>
      <c r="H24" s="14">
        <f t="shared" si="0"/>
        <v>12350</v>
      </c>
      <c r="I24" s="14">
        <f>G24+H24</f>
        <v>77350</v>
      </c>
      <c r="J24" s="14">
        <v>55000</v>
      </c>
      <c r="K24" s="14">
        <f t="shared" si="2"/>
        <v>10450</v>
      </c>
      <c r="L24" s="14">
        <f t="shared" si="3"/>
        <v>65450</v>
      </c>
      <c r="M24"/>
      <c r="N24"/>
      <c r="O24"/>
    </row>
    <row r="25" spans="2:15" ht="16.5" customHeight="1" x14ac:dyDescent="0.2">
      <c r="B25" s="27" t="s">
        <v>34</v>
      </c>
      <c r="C25" s="27"/>
      <c r="D25" s="27"/>
      <c r="E25" s="27"/>
      <c r="F25" s="27"/>
      <c r="G25" s="14">
        <f>SUM(G3:G24)</f>
        <v>1771500</v>
      </c>
      <c r="H25" s="14">
        <f>G25*0.19</f>
        <v>336585</v>
      </c>
      <c r="I25" s="14">
        <f>G25+H25</f>
        <v>2108085</v>
      </c>
      <c r="J25" s="14">
        <f>SUM(J3:J24)</f>
        <v>1971000</v>
      </c>
      <c r="K25" s="14">
        <f>+J25*0.19</f>
        <v>374490</v>
      </c>
      <c r="L25" s="14">
        <f>+K25+J25</f>
        <v>2345490</v>
      </c>
    </row>
  </sheetData>
  <mergeCells count="3">
    <mergeCell ref="B25:F25"/>
    <mergeCell ref="G1:I1"/>
    <mergeCell ref="J1:L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360CD-4D49-4367-848C-BBE712217C3C}">
  <dimension ref="B1:L30"/>
  <sheetViews>
    <sheetView showGridLines="0" zoomScale="69" zoomScaleNormal="100" workbookViewId="0">
      <selection activeCell="B1" sqref="B1:L24"/>
    </sheetView>
  </sheetViews>
  <sheetFormatPr baseColWidth="10" defaultColWidth="11.5" defaultRowHeight="15" x14ac:dyDescent="0.2"/>
  <cols>
    <col min="1" max="1" width="2.33203125" customWidth="1"/>
    <col min="2" max="2" width="29.33203125" style="2" customWidth="1"/>
    <col min="3" max="3" width="34.5" style="2" customWidth="1"/>
    <col min="4" max="4" width="79.1640625" style="2" customWidth="1"/>
    <col min="5" max="5" width="13" style="5" customWidth="1"/>
    <col min="6" max="6" width="20.5" style="2" customWidth="1"/>
    <col min="7" max="8" width="21.6640625" style="2" customWidth="1"/>
    <col min="9" max="9" width="20.33203125" style="2" customWidth="1"/>
    <col min="10" max="10" width="15.5" customWidth="1"/>
    <col min="11" max="11" width="23.5" customWidth="1"/>
    <col min="12" max="12" width="21.5" customWidth="1"/>
  </cols>
  <sheetData>
    <row r="1" spans="2:12" s="12" customFormat="1" ht="60.75" customHeight="1" x14ac:dyDescent="0.2">
      <c r="B1" s="11"/>
      <c r="C1" s="11"/>
      <c r="D1" s="11"/>
      <c r="E1" s="11"/>
      <c r="F1" s="11"/>
      <c r="G1" s="24" t="s">
        <v>62</v>
      </c>
      <c r="H1" s="24"/>
      <c r="I1" s="24"/>
      <c r="J1" s="30" t="s">
        <v>63</v>
      </c>
      <c r="K1" s="30"/>
      <c r="L1" s="30"/>
    </row>
    <row r="2" spans="2:12" s="1" customFormat="1" ht="78.75" customHeight="1" x14ac:dyDescent="0.2">
      <c r="B2" s="6" t="s">
        <v>4</v>
      </c>
      <c r="C2" s="6" t="s">
        <v>5</v>
      </c>
      <c r="D2" s="6" t="s">
        <v>6</v>
      </c>
      <c r="E2" s="6" t="s">
        <v>0</v>
      </c>
      <c r="F2" s="6" t="s">
        <v>26</v>
      </c>
      <c r="G2" s="6" t="s">
        <v>2</v>
      </c>
      <c r="H2" s="6" t="s">
        <v>3</v>
      </c>
      <c r="I2" s="6" t="s">
        <v>1</v>
      </c>
      <c r="J2" s="6" t="s">
        <v>2</v>
      </c>
      <c r="K2" s="6" t="s">
        <v>3</v>
      </c>
      <c r="L2" s="6" t="s">
        <v>1</v>
      </c>
    </row>
    <row r="3" spans="2:12" s="1" customFormat="1" ht="409.5" customHeight="1" x14ac:dyDescent="0.2">
      <c r="B3" s="7">
        <v>1</v>
      </c>
      <c r="C3" s="7" t="s">
        <v>40</v>
      </c>
      <c r="D3" s="10" t="s">
        <v>49</v>
      </c>
      <c r="E3" s="4">
        <v>1</v>
      </c>
      <c r="F3" s="3" t="s">
        <v>12</v>
      </c>
      <c r="G3" s="8">
        <v>0</v>
      </c>
      <c r="H3" s="8">
        <v>0</v>
      </c>
      <c r="I3" s="8">
        <v>0</v>
      </c>
      <c r="J3" s="8">
        <f>+G3*(1+5.1%)</f>
        <v>0</v>
      </c>
      <c r="K3" s="8">
        <f t="shared" ref="K3:L3" si="0">+H3*(1+5.1%)</f>
        <v>0</v>
      </c>
      <c r="L3" s="8">
        <f t="shared" si="0"/>
        <v>0</v>
      </c>
    </row>
    <row r="4" spans="2:12" s="1" customFormat="1" ht="246.75" customHeight="1" x14ac:dyDescent="0.2">
      <c r="B4" s="7">
        <v>2</v>
      </c>
      <c r="C4" s="7" t="s">
        <v>41</v>
      </c>
      <c r="D4" s="10" t="s">
        <v>7</v>
      </c>
      <c r="E4" s="4">
        <v>1</v>
      </c>
      <c r="F4" s="3" t="s">
        <v>12</v>
      </c>
      <c r="G4" s="8">
        <v>68000</v>
      </c>
      <c r="H4" s="8">
        <f>+G4*0.19</f>
        <v>12920</v>
      </c>
      <c r="I4" s="8">
        <f>+H4+G4</f>
        <v>80920</v>
      </c>
      <c r="J4" s="8">
        <f t="shared" ref="J4:J24" si="1">+G4*(1+5.1%)</f>
        <v>71468</v>
      </c>
      <c r="K4" s="8">
        <f t="shared" ref="K4:K23" si="2">+H4*(1+5.1%)</f>
        <v>13578.919999999998</v>
      </c>
      <c r="L4" s="8">
        <f t="shared" ref="L4:L23" si="3">+I4*(1+5.1%)</f>
        <v>85046.92</v>
      </c>
    </row>
    <row r="5" spans="2:12" s="1" customFormat="1" ht="349.5" customHeight="1" x14ac:dyDescent="0.2">
      <c r="B5" s="7">
        <v>3</v>
      </c>
      <c r="C5" s="7" t="s">
        <v>42</v>
      </c>
      <c r="D5" s="10" t="s">
        <v>52</v>
      </c>
      <c r="E5" s="4">
        <v>1</v>
      </c>
      <c r="F5" s="3" t="s">
        <v>12</v>
      </c>
      <c r="G5" s="8">
        <v>80000</v>
      </c>
      <c r="H5" s="8">
        <f>+G5*0.19</f>
        <v>15200</v>
      </c>
      <c r="I5" s="8">
        <f>+H5+G5</f>
        <v>95200</v>
      </c>
      <c r="J5" s="8">
        <f t="shared" si="1"/>
        <v>84080</v>
      </c>
      <c r="K5" s="8">
        <f t="shared" si="2"/>
        <v>15975.199999999999</v>
      </c>
      <c r="L5" s="8">
        <f t="shared" si="3"/>
        <v>100055.2</v>
      </c>
    </row>
    <row r="6" spans="2:12" s="1" customFormat="1" ht="76.5" customHeight="1" x14ac:dyDescent="0.2">
      <c r="B6" s="7">
        <v>4</v>
      </c>
      <c r="C6" s="7" t="s">
        <v>8</v>
      </c>
      <c r="D6" s="10" t="s">
        <v>9</v>
      </c>
      <c r="E6" s="4">
        <v>1</v>
      </c>
      <c r="F6" s="3" t="s">
        <v>11</v>
      </c>
      <c r="G6" s="8">
        <v>0</v>
      </c>
      <c r="H6" s="8">
        <v>0</v>
      </c>
      <c r="I6" s="8">
        <v>0</v>
      </c>
      <c r="J6" s="8">
        <f t="shared" si="1"/>
        <v>0</v>
      </c>
      <c r="K6" s="8">
        <f t="shared" si="2"/>
        <v>0</v>
      </c>
      <c r="L6" s="8">
        <f t="shared" si="3"/>
        <v>0</v>
      </c>
    </row>
    <row r="7" spans="2:12" s="1" customFormat="1" ht="111" customHeight="1" x14ac:dyDescent="0.2">
      <c r="B7" s="7">
        <v>5</v>
      </c>
      <c r="C7" s="7" t="s">
        <v>10</v>
      </c>
      <c r="D7" s="10" t="s">
        <v>53</v>
      </c>
      <c r="E7" s="4">
        <v>1</v>
      </c>
      <c r="F7" s="4" t="s">
        <v>11</v>
      </c>
      <c r="G7" s="8">
        <v>0</v>
      </c>
      <c r="H7" s="8">
        <v>0</v>
      </c>
      <c r="I7" s="8">
        <v>0</v>
      </c>
      <c r="J7" s="8">
        <f t="shared" si="1"/>
        <v>0</v>
      </c>
      <c r="K7" s="8">
        <f t="shared" si="2"/>
        <v>0</v>
      </c>
      <c r="L7" s="8">
        <f t="shared" si="3"/>
        <v>0</v>
      </c>
    </row>
    <row r="8" spans="2:12" s="1" customFormat="1" ht="103.5" customHeight="1" x14ac:dyDescent="0.2">
      <c r="B8" s="7">
        <v>6</v>
      </c>
      <c r="C8" s="7" t="s">
        <v>10</v>
      </c>
      <c r="D8" s="10" t="s">
        <v>35</v>
      </c>
      <c r="E8" s="4">
        <v>1</v>
      </c>
      <c r="F8" s="4" t="s">
        <v>11</v>
      </c>
      <c r="G8" s="8">
        <v>0</v>
      </c>
      <c r="H8" s="8">
        <v>0</v>
      </c>
      <c r="I8" s="8">
        <v>0</v>
      </c>
      <c r="J8" s="8">
        <f t="shared" si="1"/>
        <v>0</v>
      </c>
      <c r="K8" s="8">
        <f t="shared" si="2"/>
        <v>0</v>
      </c>
      <c r="L8" s="8">
        <f t="shared" si="3"/>
        <v>0</v>
      </c>
    </row>
    <row r="9" spans="2:12" s="1" customFormat="1" ht="135" customHeight="1" x14ac:dyDescent="0.2">
      <c r="B9" s="7">
        <v>7</v>
      </c>
      <c r="C9" s="7" t="s">
        <v>36</v>
      </c>
      <c r="D9" s="10" t="s">
        <v>54</v>
      </c>
      <c r="E9" s="4">
        <v>1</v>
      </c>
      <c r="F9" s="4" t="s">
        <v>13</v>
      </c>
      <c r="G9" s="8">
        <v>31560</v>
      </c>
      <c r="H9" s="8">
        <f>+G9*0.19</f>
        <v>5996.4</v>
      </c>
      <c r="I9" s="8">
        <f>+H9+G9</f>
        <v>37556.400000000001</v>
      </c>
      <c r="J9" s="8">
        <f t="shared" si="1"/>
        <v>33169.56</v>
      </c>
      <c r="K9" s="8">
        <f t="shared" si="2"/>
        <v>6302.2163999999993</v>
      </c>
      <c r="L9" s="8">
        <f t="shared" si="3"/>
        <v>39471.776400000002</v>
      </c>
    </row>
    <row r="10" spans="2:12" s="1" customFormat="1" ht="198.75" customHeight="1" x14ac:dyDescent="0.2">
      <c r="B10" s="7">
        <v>8</v>
      </c>
      <c r="C10" s="7" t="s">
        <v>43</v>
      </c>
      <c r="D10" s="10" t="s">
        <v>14</v>
      </c>
      <c r="E10" s="4">
        <v>1</v>
      </c>
      <c r="F10" s="4" t="s">
        <v>12</v>
      </c>
      <c r="G10" s="8">
        <v>110000</v>
      </c>
      <c r="H10" s="8">
        <f>+G10*0.19</f>
        <v>20900</v>
      </c>
      <c r="I10" s="8">
        <f>+H10+G10</f>
        <v>130900</v>
      </c>
      <c r="J10" s="8">
        <f t="shared" si="1"/>
        <v>115610</v>
      </c>
      <c r="K10" s="8">
        <f t="shared" si="2"/>
        <v>21965.899999999998</v>
      </c>
      <c r="L10" s="8">
        <f t="shared" si="3"/>
        <v>137575.9</v>
      </c>
    </row>
    <row r="11" spans="2:12" s="1" customFormat="1" ht="226.5" customHeight="1" x14ac:dyDescent="0.2">
      <c r="B11" s="7">
        <v>9</v>
      </c>
      <c r="C11" s="7" t="s">
        <v>44</v>
      </c>
      <c r="D11" s="10" t="s">
        <v>37</v>
      </c>
      <c r="E11" s="4">
        <v>1</v>
      </c>
      <c r="F11" s="4" t="s">
        <v>13</v>
      </c>
      <c r="G11" s="8">
        <v>0</v>
      </c>
      <c r="H11" s="8">
        <v>0</v>
      </c>
      <c r="I11" s="8">
        <v>0</v>
      </c>
      <c r="J11" s="8">
        <f t="shared" si="1"/>
        <v>0</v>
      </c>
      <c r="K11" s="8">
        <f t="shared" si="2"/>
        <v>0</v>
      </c>
      <c r="L11" s="8">
        <f t="shared" si="3"/>
        <v>0</v>
      </c>
    </row>
    <row r="12" spans="2:12" s="1" customFormat="1" ht="80.25" customHeight="1" x14ac:dyDescent="0.2">
      <c r="B12" s="7">
        <v>10</v>
      </c>
      <c r="C12" s="7" t="s">
        <v>45</v>
      </c>
      <c r="D12" s="10" t="s">
        <v>57</v>
      </c>
      <c r="E12" s="4">
        <v>1</v>
      </c>
      <c r="F12" s="4" t="s">
        <v>13</v>
      </c>
      <c r="G12" s="8">
        <v>0</v>
      </c>
      <c r="H12" s="8">
        <v>0</v>
      </c>
      <c r="I12" s="8">
        <v>0</v>
      </c>
      <c r="J12" s="8">
        <f t="shared" si="1"/>
        <v>0</v>
      </c>
      <c r="K12" s="8">
        <f t="shared" si="2"/>
        <v>0</v>
      </c>
      <c r="L12" s="8">
        <f t="shared" si="3"/>
        <v>0</v>
      </c>
    </row>
    <row r="13" spans="2:12" s="1" customFormat="1" ht="55.5" customHeight="1" x14ac:dyDescent="0.2">
      <c r="B13" s="7">
        <v>11</v>
      </c>
      <c r="C13" s="7" t="s">
        <v>15</v>
      </c>
      <c r="D13" s="10" t="s">
        <v>59</v>
      </c>
      <c r="E13" s="4">
        <v>1</v>
      </c>
      <c r="F13" s="4" t="s">
        <v>13</v>
      </c>
      <c r="G13" s="8">
        <v>0</v>
      </c>
      <c r="H13" s="8">
        <v>0</v>
      </c>
      <c r="I13" s="8">
        <v>0</v>
      </c>
      <c r="J13" s="8">
        <f t="shared" si="1"/>
        <v>0</v>
      </c>
      <c r="K13" s="8">
        <f t="shared" si="2"/>
        <v>0</v>
      </c>
      <c r="L13" s="8">
        <f t="shared" si="3"/>
        <v>0</v>
      </c>
    </row>
    <row r="14" spans="2:12" s="1" customFormat="1" ht="68.25" customHeight="1" x14ac:dyDescent="0.2">
      <c r="B14" s="7">
        <v>12</v>
      </c>
      <c r="C14" s="7" t="s">
        <v>16</v>
      </c>
      <c r="D14" s="10" t="s">
        <v>18</v>
      </c>
      <c r="E14" s="4">
        <v>1</v>
      </c>
      <c r="F14" s="4" t="s">
        <v>11</v>
      </c>
      <c r="G14" s="8">
        <v>0</v>
      </c>
      <c r="H14" s="8">
        <v>0</v>
      </c>
      <c r="I14" s="8">
        <v>0</v>
      </c>
      <c r="J14" s="8">
        <f t="shared" si="1"/>
        <v>0</v>
      </c>
      <c r="K14" s="8">
        <f t="shared" si="2"/>
        <v>0</v>
      </c>
      <c r="L14" s="8">
        <f t="shared" si="3"/>
        <v>0</v>
      </c>
    </row>
    <row r="15" spans="2:12" s="1" customFormat="1" ht="29.25" customHeight="1" x14ac:dyDescent="0.2">
      <c r="B15" s="7">
        <v>13</v>
      </c>
      <c r="C15" s="7" t="s">
        <v>17</v>
      </c>
      <c r="D15" s="10" t="s">
        <v>18</v>
      </c>
      <c r="E15" s="4">
        <v>1</v>
      </c>
      <c r="F15" s="4" t="s">
        <v>11</v>
      </c>
      <c r="G15" s="8">
        <v>0</v>
      </c>
      <c r="H15" s="8">
        <v>0</v>
      </c>
      <c r="I15" s="8">
        <v>0</v>
      </c>
      <c r="J15" s="8">
        <f t="shared" si="1"/>
        <v>0</v>
      </c>
      <c r="K15" s="8">
        <f t="shared" si="2"/>
        <v>0</v>
      </c>
      <c r="L15" s="8">
        <f t="shared" si="3"/>
        <v>0</v>
      </c>
    </row>
    <row r="16" spans="2:12" s="1" customFormat="1" ht="34.5" customHeight="1" x14ac:dyDescent="0.2">
      <c r="B16" s="7">
        <v>14</v>
      </c>
      <c r="C16" s="7" t="s">
        <v>19</v>
      </c>
      <c r="D16" s="10" t="s">
        <v>27</v>
      </c>
      <c r="E16" s="4">
        <v>1</v>
      </c>
      <c r="F16" s="4" t="s">
        <v>11</v>
      </c>
      <c r="G16" s="8">
        <v>3000</v>
      </c>
      <c r="H16" s="8">
        <f>+G16*0.19</f>
        <v>570</v>
      </c>
      <c r="I16" s="8">
        <f>+H16+G16</f>
        <v>3570</v>
      </c>
      <c r="J16" s="8">
        <f t="shared" si="1"/>
        <v>3153</v>
      </c>
      <c r="K16" s="8">
        <f t="shared" si="2"/>
        <v>599.06999999999994</v>
      </c>
      <c r="L16" s="8">
        <f t="shared" si="3"/>
        <v>3752.0699999999997</v>
      </c>
    </row>
    <row r="17" spans="2:12" s="1" customFormat="1" ht="43.5" customHeight="1" x14ac:dyDescent="0.2">
      <c r="B17" s="7">
        <v>15</v>
      </c>
      <c r="C17" s="7" t="s">
        <v>20</v>
      </c>
      <c r="D17" s="10" t="s">
        <v>28</v>
      </c>
      <c r="E17" s="4">
        <v>1</v>
      </c>
      <c r="F17" s="4" t="s">
        <v>11</v>
      </c>
      <c r="G17" s="8">
        <v>3000</v>
      </c>
      <c r="H17" s="8">
        <f>+G17*0.19</f>
        <v>570</v>
      </c>
      <c r="I17" s="8">
        <f>+H17+G17</f>
        <v>3570</v>
      </c>
      <c r="J17" s="8">
        <f t="shared" si="1"/>
        <v>3153</v>
      </c>
      <c r="K17" s="8">
        <f t="shared" si="2"/>
        <v>599.06999999999994</v>
      </c>
      <c r="L17" s="8">
        <f t="shared" si="3"/>
        <v>3752.0699999999997</v>
      </c>
    </row>
    <row r="18" spans="2:12" s="1" customFormat="1" ht="50.25" customHeight="1" x14ac:dyDescent="0.2">
      <c r="B18" s="7">
        <v>16</v>
      </c>
      <c r="C18" s="7" t="s">
        <v>21</v>
      </c>
      <c r="D18" s="10" t="s">
        <v>38</v>
      </c>
      <c r="E18" s="4">
        <v>1</v>
      </c>
      <c r="F18" s="4" t="s">
        <v>11</v>
      </c>
      <c r="G18" s="8">
        <v>0</v>
      </c>
      <c r="H18" s="8">
        <f t="shared" ref="H18:H23" si="4">+G18*0.19</f>
        <v>0</v>
      </c>
      <c r="I18" s="8">
        <f t="shared" ref="I18:I22" si="5">+H18+G18</f>
        <v>0</v>
      </c>
      <c r="J18" s="8">
        <f t="shared" si="1"/>
        <v>0</v>
      </c>
      <c r="K18" s="8">
        <f t="shared" si="2"/>
        <v>0</v>
      </c>
      <c r="L18" s="8">
        <f t="shared" si="3"/>
        <v>0</v>
      </c>
    </row>
    <row r="19" spans="2:12" ht="39.75" customHeight="1" x14ac:dyDescent="0.2">
      <c r="B19" s="7">
        <v>17</v>
      </c>
      <c r="C19" s="7" t="s">
        <v>22</v>
      </c>
      <c r="D19" s="10" t="s">
        <v>29</v>
      </c>
      <c r="E19" s="4">
        <v>1</v>
      </c>
      <c r="F19" s="4" t="s">
        <v>11</v>
      </c>
      <c r="G19" s="8">
        <v>0</v>
      </c>
      <c r="H19" s="8">
        <f t="shared" si="4"/>
        <v>0</v>
      </c>
      <c r="I19" s="8">
        <f t="shared" si="5"/>
        <v>0</v>
      </c>
      <c r="J19" s="8">
        <f t="shared" si="1"/>
        <v>0</v>
      </c>
      <c r="K19" s="8">
        <f t="shared" si="2"/>
        <v>0</v>
      </c>
      <c r="L19" s="8">
        <f t="shared" si="3"/>
        <v>0</v>
      </c>
    </row>
    <row r="20" spans="2:12" ht="33.75" customHeight="1" x14ac:dyDescent="0.2">
      <c r="B20" s="7">
        <v>18</v>
      </c>
      <c r="C20" s="7" t="s">
        <v>23</v>
      </c>
      <c r="D20" s="10" t="s">
        <v>30</v>
      </c>
      <c r="E20" s="4">
        <v>1</v>
      </c>
      <c r="F20" s="4" t="s">
        <v>11</v>
      </c>
      <c r="G20" s="8">
        <v>0</v>
      </c>
      <c r="H20" s="8">
        <f t="shared" si="4"/>
        <v>0</v>
      </c>
      <c r="I20" s="8">
        <f t="shared" si="5"/>
        <v>0</v>
      </c>
      <c r="J20" s="8">
        <f t="shared" si="1"/>
        <v>0</v>
      </c>
      <c r="K20" s="8">
        <f t="shared" si="2"/>
        <v>0</v>
      </c>
      <c r="L20" s="8">
        <f t="shared" si="3"/>
        <v>0</v>
      </c>
    </row>
    <row r="21" spans="2:12" ht="30" x14ac:dyDescent="0.2">
      <c r="B21" s="7">
        <v>19</v>
      </c>
      <c r="C21" s="7" t="s">
        <v>24</v>
      </c>
      <c r="D21" s="10" t="s">
        <v>31</v>
      </c>
      <c r="E21" s="4">
        <v>1</v>
      </c>
      <c r="F21" s="4" t="s">
        <v>11</v>
      </c>
      <c r="G21" s="8">
        <v>20000</v>
      </c>
      <c r="H21" s="8">
        <f t="shared" si="4"/>
        <v>3800</v>
      </c>
      <c r="I21" s="8">
        <f t="shared" si="5"/>
        <v>23800</v>
      </c>
      <c r="J21" s="8">
        <f t="shared" si="1"/>
        <v>21020</v>
      </c>
      <c r="K21" s="8">
        <f t="shared" si="2"/>
        <v>3993.7999999999997</v>
      </c>
      <c r="L21" s="8">
        <f t="shared" si="3"/>
        <v>25013.8</v>
      </c>
    </row>
    <row r="22" spans="2:12" ht="30" x14ac:dyDescent="0.2">
      <c r="B22" s="7">
        <v>20</v>
      </c>
      <c r="C22" s="7" t="s">
        <v>24</v>
      </c>
      <c r="D22" s="10" t="s">
        <v>32</v>
      </c>
      <c r="E22" s="4">
        <v>1</v>
      </c>
      <c r="F22" s="4" t="s">
        <v>11</v>
      </c>
      <c r="G22" s="8">
        <v>40000</v>
      </c>
      <c r="H22" s="8">
        <f t="shared" si="4"/>
        <v>7600</v>
      </c>
      <c r="I22" s="8">
        <f t="shared" si="5"/>
        <v>47600</v>
      </c>
      <c r="J22" s="8">
        <f t="shared" si="1"/>
        <v>42040</v>
      </c>
      <c r="K22" s="8">
        <f t="shared" si="2"/>
        <v>7987.5999999999995</v>
      </c>
      <c r="L22" s="8">
        <f t="shared" si="3"/>
        <v>50027.6</v>
      </c>
    </row>
    <row r="23" spans="2:12" ht="30" x14ac:dyDescent="0.2">
      <c r="B23" s="7">
        <v>21</v>
      </c>
      <c r="C23" s="7" t="s">
        <v>24</v>
      </c>
      <c r="D23" s="10" t="s">
        <v>33</v>
      </c>
      <c r="E23" s="4">
        <v>1</v>
      </c>
      <c r="F23" s="4" t="s">
        <v>11</v>
      </c>
      <c r="G23" s="8">
        <v>45000</v>
      </c>
      <c r="H23" s="8">
        <f t="shared" si="4"/>
        <v>8550</v>
      </c>
      <c r="I23" s="8">
        <f>+H23+G23</f>
        <v>53550</v>
      </c>
      <c r="J23" s="8">
        <f t="shared" si="1"/>
        <v>47295</v>
      </c>
      <c r="K23" s="8">
        <f t="shared" si="2"/>
        <v>8986.0499999999993</v>
      </c>
      <c r="L23" s="8">
        <f t="shared" si="3"/>
        <v>56281.049999999996</v>
      </c>
    </row>
    <row r="24" spans="2:12" ht="72.5" customHeight="1" x14ac:dyDescent="0.2">
      <c r="B24" s="7">
        <v>22</v>
      </c>
      <c r="C24" s="7" t="s">
        <v>25</v>
      </c>
      <c r="D24" s="10" t="s">
        <v>39</v>
      </c>
      <c r="E24" s="4">
        <v>1</v>
      </c>
      <c r="F24" s="4" t="s">
        <v>11</v>
      </c>
      <c r="G24" s="8">
        <v>0</v>
      </c>
      <c r="H24" s="8">
        <v>0</v>
      </c>
      <c r="I24" s="8">
        <v>0</v>
      </c>
      <c r="J24" s="8">
        <f t="shared" si="1"/>
        <v>0</v>
      </c>
      <c r="K24" s="8">
        <v>0</v>
      </c>
      <c r="L24" s="8">
        <v>0</v>
      </c>
    </row>
    <row r="30" spans="2:12" x14ac:dyDescent="0.2">
      <c r="G30" s="9"/>
      <c r="H30" s="9"/>
      <c r="I30" s="9"/>
    </row>
  </sheetData>
  <autoFilter ref="B2:L24" xr:uid="{7C1360CD-4D49-4367-848C-BBE712217C3C}"/>
  <mergeCells count="2">
    <mergeCell ref="G1:I1"/>
    <mergeCell ref="J1:L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PRECIOS TECHO</vt:lpstr>
      <vt:lpstr>CONSOLIDADO</vt:lpstr>
      <vt:lpstr>COTIZACION COT-201-2026-HOMIL</vt:lpstr>
      <vt:lpstr>HISTORICIO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2025-04-04T20:45:25Z</dcterms:created>
  <dcterms:modified xsi:type="dcterms:W3CDTF">2026-07-03T17:26:53Z</dcterms:modified>
  <cp:category/>
  <cp:contentStatus/>
</cp:coreProperties>
</file>