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202300"/>
  <mc:AlternateContent xmlns:mc="http://schemas.openxmlformats.org/markup-compatibility/2006">
    <mc:Choice Requires="x15">
      <x15ac:absPath xmlns:x15ac="http://schemas.microsoft.com/office/spreadsheetml/2010/11/ac" url="C:\Users\Camila\Documents\ICANH 2026\01. Procesos\12. Fumigación\Documentos enviados\"/>
    </mc:Choice>
  </mc:AlternateContent>
  <xr:revisionPtr revIDLastSave="0" documentId="13_ncr:1_{0C47F141-0EC3-4101-A9C1-C613D4132D67}" xr6:coauthVersionLast="47" xr6:coauthVersionMax="47" xr10:uidLastSave="{00000000-0000-0000-0000-000000000000}"/>
  <bookViews>
    <workbookView xWindow="-110" yWindow="-110" windowWidth="19420" windowHeight="10420" xr2:uid="{669B2ECD-89D8-4E93-BAF8-3E6E6B60D9D6}"/>
  </bookViews>
  <sheets>
    <sheet name="Estudio de mercado" sheetId="2" r:id="rId1"/>
    <sheet name="PROCESO 2024" sheetId="7" r:id="rId2"/>
    <sheet name="Resumen" sheetId="4" r:id="rId3"/>
    <sheet name="listado de unidades" sheetId="5" r:id="rId4"/>
  </sheets>
  <definedNames>
    <definedName name="_xlnm._FilterDatabase" localSheetId="0" hidden="1">'Estudio de mercado'!$A$5:$AK$23</definedName>
    <definedName name="_xlnm.Print_Area" localSheetId="0">'Estudio de mercado'!$A$1:$AL$26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4" l="1"/>
  <c r="F6" i="4"/>
  <c r="F7" i="4"/>
  <c r="F8" i="4"/>
  <c r="F9" i="4"/>
  <c r="F10" i="4"/>
  <c r="F11" i="4"/>
  <c r="F12" i="4"/>
  <c r="F13" i="4"/>
  <c r="F14" i="4"/>
  <c r="F15" i="4"/>
  <c r="F4" i="4"/>
  <c r="E5" i="4"/>
  <c r="E6" i="4"/>
  <c r="E7" i="4"/>
  <c r="E8" i="4"/>
  <c r="E9" i="4"/>
  <c r="E10" i="4"/>
  <c r="E11" i="4"/>
  <c r="E12" i="4"/>
  <c r="E13" i="4"/>
  <c r="E14" i="4"/>
  <c r="E15" i="4"/>
  <c r="E4" i="4"/>
  <c r="B5" i="4"/>
  <c r="B6" i="4"/>
  <c r="B7" i="4"/>
  <c r="B8" i="4"/>
  <c r="B9" i="4"/>
  <c r="B10" i="4"/>
  <c r="B11" i="4"/>
  <c r="B12" i="4"/>
  <c r="B13" i="4"/>
  <c r="B14" i="4"/>
  <c r="B15" i="4"/>
  <c r="B4" i="4"/>
  <c r="AB7" i="2"/>
  <c r="AB8" i="2"/>
  <c r="AB9" i="2"/>
  <c r="AB10" i="2"/>
  <c r="AB11" i="2"/>
  <c r="AB12" i="2"/>
  <c r="AB13" i="2"/>
  <c r="AB14" i="2"/>
  <c r="AB15" i="2"/>
  <c r="AB16" i="2"/>
  <c r="AB17" i="2"/>
  <c r="AA7" i="2"/>
  <c r="AA8" i="2"/>
  <c r="AA9" i="2"/>
  <c r="AA10" i="2"/>
  <c r="AA11" i="2"/>
  <c r="AA12" i="2"/>
  <c r="AA13" i="2"/>
  <c r="AA14" i="2"/>
  <c r="AA15" i="2"/>
  <c r="AA16" i="2"/>
  <c r="AA17" i="2"/>
  <c r="AA6" i="2"/>
  <c r="AB6" i="2" s="1"/>
  <c r="Z7" i="2"/>
  <c r="Z8" i="2"/>
  <c r="Z9" i="2"/>
  <c r="Z10" i="2"/>
  <c r="Z11" i="2"/>
  <c r="Z12" i="2"/>
  <c r="Z13" i="2"/>
  <c r="Z14" i="2"/>
  <c r="Z15" i="2"/>
  <c r="Z16" i="2"/>
  <c r="Z17" i="2"/>
  <c r="Z6" i="2"/>
  <c r="AI8" i="2"/>
  <c r="AJ8" i="2" s="1"/>
  <c r="AK8" i="2" s="1"/>
  <c r="AF8" i="2"/>
  <c r="AG8" i="2" s="1"/>
  <c r="AH8" i="2" s="1"/>
  <c r="AC8" i="2"/>
  <c r="AD8" i="2" s="1"/>
  <c r="AE8" i="2" s="1"/>
  <c r="AK7" i="2"/>
  <c r="AK9" i="2"/>
  <c r="AK10" i="2"/>
  <c r="AK11" i="2"/>
  <c r="AK12" i="2"/>
  <c r="AK13" i="2"/>
  <c r="AK14" i="2"/>
  <c r="AK15" i="2"/>
  <c r="AK16" i="2"/>
  <c r="AK17" i="2"/>
  <c r="AH7" i="2"/>
  <c r="AH9" i="2"/>
  <c r="AH10" i="2"/>
  <c r="AH11" i="2"/>
  <c r="AH12" i="2"/>
  <c r="AH13" i="2"/>
  <c r="AH14" i="2"/>
  <c r="AH15" i="2"/>
  <c r="AH16" i="2"/>
  <c r="AH17" i="2"/>
  <c r="AE7" i="2"/>
  <c r="AE9" i="2"/>
  <c r="AE10" i="2"/>
  <c r="AE11" i="2"/>
  <c r="AE12" i="2"/>
  <c r="AE13" i="2"/>
  <c r="AE14" i="2"/>
  <c r="AE15" i="2"/>
  <c r="AE16" i="2"/>
  <c r="AE17" i="2"/>
  <c r="AJ7" i="2"/>
  <c r="AJ9" i="2"/>
  <c r="AJ10" i="2"/>
  <c r="AJ11" i="2"/>
  <c r="AJ12" i="2"/>
  <c r="AJ13" i="2"/>
  <c r="AJ14" i="2"/>
  <c r="AJ15" i="2"/>
  <c r="AJ16" i="2"/>
  <c r="AJ17" i="2"/>
  <c r="AG7" i="2"/>
  <c r="AG9" i="2"/>
  <c r="AG10" i="2"/>
  <c r="AG11" i="2"/>
  <c r="AG12" i="2"/>
  <c r="AG13" i="2"/>
  <c r="AG14" i="2"/>
  <c r="AG15" i="2"/>
  <c r="AG16" i="2"/>
  <c r="AG17" i="2"/>
  <c r="AD7" i="2"/>
  <c r="AD9" i="2"/>
  <c r="AD10" i="2"/>
  <c r="AD11" i="2"/>
  <c r="AD12" i="2"/>
  <c r="AD13" i="2"/>
  <c r="AD14" i="2"/>
  <c r="AD15" i="2"/>
  <c r="AD16" i="2"/>
  <c r="AD17" i="2"/>
  <c r="AJ6" i="2"/>
  <c r="AK6" i="2" s="1"/>
  <c r="AG6" i="2"/>
  <c r="AH6" i="2" s="1"/>
  <c r="AE6" i="2"/>
  <c r="AD6" i="2"/>
  <c r="AI7" i="2"/>
  <c r="AI9" i="2"/>
  <c r="AI10" i="2"/>
  <c r="AI11" i="2"/>
  <c r="AI12" i="2"/>
  <c r="AI13" i="2"/>
  <c r="AI14" i="2"/>
  <c r="AI15" i="2"/>
  <c r="AI16" i="2"/>
  <c r="AI17" i="2"/>
  <c r="AI6" i="2"/>
  <c r="AF7" i="2"/>
  <c r="AF9" i="2"/>
  <c r="AF10" i="2"/>
  <c r="AF11" i="2"/>
  <c r="AF12" i="2"/>
  <c r="AF13" i="2"/>
  <c r="AF14" i="2"/>
  <c r="AF15" i="2"/>
  <c r="AF16" i="2"/>
  <c r="AF17" i="2"/>
  <c r="AF6" i="2"/>
  <c r="AC7" i="2"/>
  <c r="AC9" i="2"/>
  <c r="AC10" i="2"/>
  <c r="AC11" i="2"/>
  <c r="AC12" i="2"/>
  <c r="AC13" i="2"/>
  <c r="AC14" i="2"/>
  <c r="AC15" i="2"/>
  <c r="AC16" i="2"/>
  <c r="AC17" i="2"/>
  <c r="AC6" i="2"/>
  <c r="Z4" i="2"/>
  <c r="P8" i="2"/>
  <c r="Q8" i="2" s="1"/>
  <c r="P16" i="2"/>
  <c r="Q16" i="2" s="1"/>
  <c r="O8" i="2"/>
  <c r="O6" i="2"/>
  <c r="P6" i="2" s="1"/>
  <c r="Q6" i="2" s="1"/>
  <c r="R6" i="2" s="1"/>
  <c r="S6" i="2" s="1"/>
  <c r="N7" i="2"/>
  <c r="O7" i="2" s="1"/>
  <c r="P7" i="2" s="1"/>
  <c r="Q7" i="2" s="1"/>
  <c r="N9" i="2"/>
  <c r="O9" i="2" s="1"/>
  <c r="P9" i="2" s="1"/>
  <c r="Q9" i="2" s="1"/>
  <c r="N10" i="2"/>
  <c r="O10" i="2" s="1"/>
  <c r="P10" i="2" s="1"/>
  <c r="Q10" i="2" s="1"/>
  <c r="N11" i="2"/>
  <c r="O11" i="2" s="1"/>
  <c r="P11" i="2" s="1"/>
  <c r="Q11" i="2" s="1"/>
  <c r="N12" i="2"/>
  <c r="O12" i="2" s="1"/>
  <c r="P12" i="2" s="1"/>
  <c r="Q12" i="2" s="1"/>
  <c r="N13" i="2"/>
  <c r="O13" i="2" s="1"/>
  <c r="P13" i="2" s="1"/>
  <c r="Q13" i="2" s="1"/>
  <c r="N14" i="2"/>
  <c r="O14" i="2" s="1"/>
  <c r="P14" i="2" s="1"/>
  <c r="Q14" i="2" s="1"/>
  <c r="N15" i="2"/>
  <c r="O15" i="2" s="1"/>
  <c r="P15" i="2" s="1"/>
  <c r="Q15" i="2" s="1"/>
  <c r="N16" i="2"/>
  <c r="O16" i="2" s="1"/>
  <c r="N17" i="2"/>
  <c r="O17" i="2" s="1"/>
  <c r="P17" i="2" s="1"/>
  <c r="Q17" i="2" s="1"/>
  <c r="N6" i="2"/>
  <c r="X31" i="7"/>
  <c r="U31" i="7"/>
  <c r="R31" i="7"/>
  <c r="O31" i="7"/>
  <c r="L31" i="7"/>
  <c r="BE30" i="7"/>
  <c r="BF30" i="7" s="1"/>
  <c r="BG30" i="7" s="1"/>
  <c r="BE30" i="7" a="1"/>
  <c r="BB30" i="7" a="1"/>
  <c r="BB30" i="7" s="1"/>
  <c r="BC30" i="7" s="1"/>
  <c r="BD30" i="7" s="1"/>
  <c r="AY30" i="7"/>
  <c r="AZ30" i="7" s="1"/>
  <c r="BA30" i="7" s="1"/>
  <c r="AV30" i="7"/>
  <c r="AW30" i="7" s="1"/>
  <c r="AX30" i="7" s="1"/>
  <c r="AR30" i="7"/>
  <c r="AM30" i="7" a="1"/>
  <c r="AM30" i="7" s="1"/>
  <c r="AN30" i="7" s="1"/>
  <c r="AJ30" i="7" a="1"/>
  <c r="AJ30" i="7" s="1"/>
  <c r="AK30" i="7" s="1"/>
  <c r="AL30" i="7" s="1"/>
  <c r="AI30" i="7"/>
  <c r="AH30" i="7"/>
  <c r="AG30" i="7"/>
  <c r="AD30" i="7"/>
  <c r="AT30" i="7" s="1"/>
  <c r="BE29" i="7"/>
  <c r="BF29" i="7" s="1"/>
  <c r="BG29" i="7" s="1"/>
  <c r="BE29" i="7" a="1"/>
  <c r="BB29" i="7" a="1"/>
  <c r="BB29" i="7" s="1"/>
  <c r="BC29" i="7" s="1"/>
  <c r="BD29" i="7" s="1"/>
  <c r="AY29" i="7"/>
  <c r="AZ29" i="7" s="1"/>
  <c r="BA29" i="7" s="1"/>
  <c r="AV29" i="7"/>
  <c r="AW29" i="7" s="1"/>
  <c r="AX29" i="7" s="1"/>
  <c r="AR29" i="7"/>
  <c r="AM29" i="7" a="1"/>
  <c r="AM29" i="7" s="1"/>
  <c r="AN29" i="7" s="1"/>
  <c r="AJ29" i="7" a="1"/>
  <c r="AJ29" i="7" s="1"/>
  <c r="AK29" i="7" s="1"/>
  <c r="AL29" i="7" s="1"/>
  <c r="AI29" i="7"/>
  <c r="AH29" i="7"/>
  <c r="AG29" i="7"/>
  <c r="AD29" i="7"/>
  <c r="AT29" i="7" s="1"/>
  <c r="BE28" i="7"/>
  <c r="BF28" i="7" s="1"/>
  <c r="BG28" i="7" s="1"/>
  <c r="BE28" i="7" a="1"/>
  <c r="BB28" i="7" a="1"/>
  <c r="BB28" i="7" s="1"/>
  <c r="BC28" i="7" s="1"/>
  <c r="BD28" i="7" s="1"/>
  <c r="AY28" i="7"/>
  <c r="AZ28" i="7" s="1"/>
  <c r="BA28" i="7" s="1"/>
  <c r="AV28" i="7"/>
  <c r="AW28" i="7" s="1"/>
  <c r="AX28" i="7" s="1"/>
  <c r="AR28" i="7"/>
  <c r="AM28" i="7" a="1"/>
  <c r="AM28" i="7" s="1"/>
  <c r="AN28" i="7" s="1"/>
  <c r="AJ28" i="7" a="1"/>
  <c r="AJ28" i="7" s="1"/>
  <c r="AK28" i="7" s="1"/>
  <c r="AL28" i="7" s="1"/>
  <c r="AI28" i="7"/>
  <c r="AH28" i="7"/>
  <c r="AG28" i="7"/>
  <c r="AD28" i="7"/>
  <c r="AT28" i="7" s="1"/>
  <c r="BE27" i="7"/>
  <c r="BF27" i="7" s="1"/>
  <c r="BG27" i="7" s="1"/>
  <c r="BE27" i="7" a="1"/>
  <c r="BB27" i="7" a="1"/>
  <c r="BB27" i="7" s="1"/>
  <c r="BC27" i="7" s="1"/>
  <c r="BD27" i="7" s="1"/>
  <c r="AY27" i="7"/>
  <c r="AZ27" i="7" s="1"/>
  <c r="BA27" i="7" s="1"/>
  <c r="AV27" i="7"/>
  <c r="AW27" i="7" s="1"/>
  <c r="AX27" i="7" s="1"/>
  <c r="AR27" i="7"/>
  <c r="AM27" i="7" a="1"/>
  <c r="AM27" i="7" s="1"/>
  <c r="AN27" i="7" s="1"/>
  <c r="AJ27" i="7" a="1"/>
  <c r="AJ27" i="7" s="1"/>
  <c r="AK27" i="7" s="1"/>
  <c r="AL27" i="7" s="1"/>
  <c r="AI27" i="7"/>
  <c r="AH27" i="7"/>
  <c r="AG27" i="7"/>
  <c r="AD27" i="7"/>
  <c r="AT27" i="7" s="1"/>
  <c r="BE26" i="7"/>
  <c r="BF26" i="7" s="1"/>
  <c r="BG26" i="7" s="1"/>
  <c r="BE26" i="7" a="1"/>
  <c r="BB26" i="7" a="1"/>
  <c r="BB26" i="7" s="1"/>
  <c r="BC26" i="7" s="1"/>
  <c r="BD26" i="7" s="1"/>
  <c r="AY26" i="7"/>
  <c r="AZ26" i="7" s="1"/>
  <c r="BA26" i="7" s="1"/>
  <c r="AV26" i="7"/>
  <c r="AW26" i="7" s="1"/>
  <c r="AX26" i="7" s="1"/>
  <c r="AR26" i="7"/>
  <c r="AM26" i="7" a="1"/>
  <c r="AM26" i="7" s="1"/>
  <c r="AN26" i="7" s="1"/>
  <c r="AJ26" i="7" a="1"/>
  <c r="AJ26" i="7" s="1"/>
  <c r="AK26" i="7" s="1"/>
  <c r="AL26" i="7" s="1"/>
  <c r="AI26" i="7"/>
  <c r="AH26" i="7"/>
  <c r="AG26" i="7"/>
  <c r="AD26" i="7"/>
  <c r="AT26" i="7" s="1"/>
  <c r="BE25" i="7"/>
  <c r="BF25" i="7" s="1"/>
  <c r="BG25" i="7" s="1"/>
  <c r="BE25" i="7" a="1"/>
  <c r="BB25" i="7" a="1"/>
  <c r="BB25" i="7" s="1"/>
  <c r="BC25" i="7" s="1"/>
  <c r="BD25" i="7" s="1"/>
  <c r="AY25" i="7"/>
  <c r="AZ25" i="7" s="1"/>
  <c r="BA25" i="7" s="1"/>
  <c r="AV25" i="7"/>
  <c r="AW25" i="7" s="1"/>
  <c r="AX25" i="7" s="1"/>
  <c r="AR25" i="7"/>
  <c r="AM25" i="7" a="1"/>
  <c r="AM25" i="7" s="1"/>
  <c r="AN25" i="7" s="1"/>
  <c r="AJ25" i="7" a="1"/>
  <c r="AJ25" i="7" s="1"/>
  <c r="AK25" i="7" s="1"/>
  <c r="AL25" i="7" s="1"/>
  <c r="AI25" i="7"/>
  <c r="AH25" i="7"/>
  <c r="AG25" i="7"/>
  <c r="AD25" i="7"/>
  <c r="AT25" i="7" s="1"/>
  <c r="BE24" i="7"/>
  <c r="BF24" i="7" s="1"/>
  <c r="BG24" i="7" s="1"/>
  <c r="BE24" i="7" a="1"/>
  <c r="BB24" i="7" a="1"/>
  <c r="BB24" i="7" s="1"/>
  <c r="BC24" i="7" s="1"/>
  <c r="BD24" i="7" s="1"/>
  <c r="AY24" i="7"/>
  <c r="AZ24" i="7" s="1"/>
  <c r="BA24" i="7" s="1"/>
  <c r="AV24" i="7"/>
  <c r="AW24" i="7" s="1"/>
  <c r="AX24" i="7" s="1"/>
  <c r="AR24" i="7"/>
  <c r="AM24" i="7" a="1"/>
  <c r="AM24" i="7" s="1"/>
  <c r="AN24" i="7" s="1"/>
  <c r="AJ24" i="7" a="1"/>
  <c r="AJ24" i="7" s="1"/>
  <c r="AK24" i="7" s="1"/>
  <c r="AL24" i="7" s="1"/>
  <c r="AI24" i="7"/>
  <c r="AH24" i="7"/>
  <c r="AG24" i="7"/>
  <c r="AD24" i="7"/>
  <c r="AT24" i="7" s="1"/>
  <c r="BE23" i="7"/>
  <c r="BF23" i="7" s="1"/>
  <c r="BG23" i="7" s="1"/>
  <c r="BE23" i="7" a="1"/>
  <c r="BB23" i="7" a="1"/>
  <c r="BB23" i="7" s="1"/>
  <c r="BC23" i="7" s="1"/>
  <c r="BD23" i="7" s="1"/>
  <c r="AY23" i="7"/>
  <c r="AZ23" i="7" s="1"/>
  <c r="BA23" i="7" s="1"/>
  <c r="AV23" i="7"/>
  <c r="AW23" i="7" s="1"/>
  <c r="AX23" i="7" s="1"/>
  <c r="AR23" i="7"/>
  <c r="AM23" i="7" a="1"/>
  <c r="AM23" i="7" s="1"/>
  <c r="AN23" i="7" s="1"/>
  <c r="AJ23" i="7" a="1"/>
  <c r="AJ23" i="7" s="1"/>
  <c r="AK23" i="7" s="1"/>
  <c r="AL23" i="7" s="1"/>
  <c r="AI23" i="7"/>
  <c r="AH23" i="7"/>
  <c r="AG23" i="7"/>
  <c r="AD23" i="7"/>
  <c r="AT23" i="7" s="1"/>
  <c r="BE22" i="7"/>
  <c r="BF22" i="7" s="1"/>
  <c r="BG22" i="7" s="1"/>
  <c r="BE22" i="7" a="1"/>
  <c r="BB22" i="7" a="1"/>
  <c r="BB22" i="7" s="1"/>
  <c r="BC22" i="7" s="1"/>
  <c r="BD22" i="7" s="1"/>
  <c r="AY22" i="7"/>
  <c r="AZ22" i="7" s="1"/>
  <c r="BA22" i="7" s="1"/>
  <c r="AV22" i="7"/>
  <c r="AW22" i="7" s="1"/>
  <c r="AX22" i="7" s="1"/>
  <c r="AR22" i="7"/>
  <c r="AM22" i="7" a="1"/>
  <c r="AM22" i="7" s="1"/>
  <c r="AN22" i="7" s="1"/>
  <c r="AJ22" i="7" a="1"/>
  <c r="AJ22" i="7" s="1"/>
  <c r="AK22" i="7" s="1"/>
  <c r="AL22" i="7" s="1"/>
  <c r="AI22" i="7"/>
  <c r="AH22" i="7"/>
  <c r="AG22" i="7"/>
  <c r="AD22" i="7"/>
  <c r="AT22" i="7" s="1"/>
  <c r="BE21" i="7"/>
  <c r="BF21" i="7" s="1"/>
  <c r="BG21" i="7" s="1"/>
  <c r="BE21" i="7" a="1"/>
  <c r="BB21" i="7" a="1"/>
  <c r="BB21" i="7" s="1"/>
  <c r="BC21" i="7" s="1"/>
  <c r="BD21" i="7" s="1"/>
  <c r="AY21" i="7"/>
  <c r="AZ21" i="7" s="1"/>
  <c r="BA21" i="7" s="1"/>
  <c r="AV21" i="7"/>
  <c r="AW21" i="7" s="1"/>
  <c r="AX21" i="7" s="1"/>
  <c r="AR21" i="7"/>
  <c r="AM21" i="7" a="1"/>
  <c r="AM21" i="7" s="1"/>
  <c r="AN21" i="7" s="1"/>
  <c r="AJ21" i="7" a="1"/>
  <c r="AJ21" i="7" s="1"/>
  <c r="AK21" i="7" s="1"/>
  <c r="AL21" i="7" s="1"/>
  <c r="AI21" i="7"/>
  <c r="AH21" i="7"/>
  <c r="AG21" i="7"/>
  <c r="AD21" i="7"/>
  <c r="AT21" i="7" s="1"/>
  <c r="BE20" i="7"/>
  <c r="BF20" i="7" s="1"/>
  <c r="BG20" i="7" s="1"/>
  <c r="BG31" i="7" s="1"/>
  <c r="BE20" i="7" a="1"/>
  <c r="BB20" i="7" a="1"/>
  <c r="BB20" i="7" s="1"/>
  <c r="BC20" i="7" s="1"/>
  <c r="BD20" i="7" s="1"/>
  <c r="BD31" i="7" s="1"/>
  <c r="AY20" i="7"/>
  <c r="AZ20" i="7" s="1"/>
  <c r="BA20" i="7" s="1"/>
  <c r="AV20" i="7"/>
  <c r="AW20" i="7" s="1"/>
  <c r="AX20" i="7" s="1"/>
  <c r="AR20" i="7"/>
  <c r="AM20" i="7" a="1"/>
  <c r="AM20" i="7" s="1"/>
  <c r="AN20" i="7" s="1"/>
  <c r="AJ20" i="7" a="1"/>
  <c r="AJ20" i="7" s="1"/>
  <c r="AK20" i="7" s="1"/>
  <c r="AL20" i="7" s="1"/>
  <c r="AL31" i="7" s="1"/>
  <c r="AI20" i="7"/>
  <c r="AI31" i="7" s="1"/>
  <c r="AH20" i="7"/>
  <c r="AG20" i="7"/>
  <c r="AD20" i="7"/>
  <c r="AT20" i="7" s="1"/>
  <c r="J7" i="2"/>
  <c r="K7" i="2" s="1"/>
  <c r="J8" i="2"/>
  <c r="K8" i="2" s="1"/>
  <c r="J9" i="2"/>
  <c r="K9" i="2" s="1"/>
  <c r="J10" i="2"/>
  <c r="K10" i="2" s="1"/>
  <c r="J11" i="2"/>
  <c r="K11" i="2" s="1"/>
  <c r="J12" i="2"/>
  <c r="K12" i="2" s="1"/>
  <c r="J13" i="2"/>
  <c r="K13" i="2" s="1"/>
  <c r="J14" i="2"/>
  <c r="K14" i="2" s="1"/>
  <c r="J15" i="2"/>
  <c r="K15" i="2" s="1"/>
  <c r="J16" i="2"/>
  <c r="K16" i="2" s="1"/>
  <c r="J17" i="2"/>
  <c r="K17" i="2" s="1"/>
  <c r="J6" i="2"/>
  <c r="K6" i="2" s="1"/>
  <c r="AP20" i="7" l="1"/>
  <c r="AO20" i="7"/>
  <c r="AO22" i="7"/>
  <c r="AP22" i="7"/>
  <c r="AP24" i="7"/>
  <c r="AO24" i="7"/>
  <c r="AP26" i="7"/>
  <c r="AO26" i="7"/>
  <c r="AO28" i="7"/>
  <c r="AP28" i="7"/>
  <c r="AP30" i="7"/>
  <c r="AO30" i="7"/>
  <c r="AO29" i="7"/>
  <c r="AP29" i="7"/>
  <c r="AX31" i="7"/>
  <c r="AO21" i="7"/>
  <c r="AP21" i="7"/>
  <c r="AP23" i="7"/>
  <c r="AO23" i="7"/>
  <c r="AP25" i="7"/>
  <c r="AO25" i="7"/>
  <c r="AO27" i="7"/>
  <c r="AP27" i="7"/>
  <c r="BA31" i="7"/>
  <c r="AS22" i="7"/>
  <c r="AS24" i="7"/>
  <c r="AS28" i="7"/>
  <c r="AS29" i="7"/>
  <c r="AS30" i="7"/>
  <c r="AS20" i="7"/>
  <c r="AS21" i="7"/>
  <c r="AS23" i="7"/>
  <c r="AS25" i="7"/>
  <c r="AS26" i="7"/>
  <c r="AS27" i="7"/>
  <c r="AE20" i="7"/>
  <c r="AF20" i="7" s="1"/>
  <c r="AE21" i="7"/>
  <c r="AF21" i="7" s="1"/>
  <c r="AE22" i="7"/>
  <c r="AF22" i="7" s="1"/>
  <c r="AE23" i="7"/>
  <c r="AF23" i="7" s="1"/>
  <c r="AE24" i="7"/>
  <c r="AF24" i="7" s="1"/>
  <c r="AE25" i="7"/>
  <c r="AF25" i="7" s="1"/>
  <c r="AE26" i="7"/>
  <c r="AF26" i="7" s="1"/>
  <c r="AE27" i="7"/>
  <c r="AF27" i="7" s="1"/>
  <c r="AE28" i="7"/>
  <c r="AF28" i="7" s="1"/>
  <c r="AE29" i="7"/>
  <c r="AF29" i="7" s="1"/>
  <c r="AE30" i="7"/>
  <c r="AF30" i="7" s="1"/>
  <c r="AF31" i="7" l="1"/>
  <c r="AO31" i="7"/>
  <c r="U12" i="2" l="1"/>
  <c r="U13" i="2"/>
  <c r="U14" i="2"/>
  <c r="Y15" i="2"/>
  <c r="X16" i="2"/>
  <c r="W17" i="2"/>
  <c r="U11" i="2"/>
  <c r="W9" i="2"/>
  <c r="X8" i="2"/>
  <c r="R7" i="2"/>
  <c r="S7" i="2" s="1"/>
  <c r="R8" i="2"/>
  <c r="S8" i="2" s="1"/>
  <c r="R9" i="2"/>
  <c r="S9" i="2" s="1"/>
  <c r="R10" i="2"/>
  <c r="S10" i="2" s="1"/>
  <c r="R11" i="2"/>
  <c r="S11" i="2" s="1"/>
  <c r="R12" i="2"/>
  <c r="S12" i="2" s="1"/>
  <c r="R13" i="2"/>
  <c r="S13" i="2" s="1"/>
  <c r="R14" i="2"/>
  <c r="S14" i="2" s="1"/>
  <c r="R15" i="2"/>
  <c r="S15" i="2" s="1"/>
  <c r="R16" i="2"/>
  <c r="S16" i="2" s="1"/>
  <c r="R17" i="2"/>
  <c r="S17" i="2" s="1"/>
  <c r="S18" i="2" l="1"/>
  <c r="V17" i="2"/>
  <c r="W15" i="2"/>
  <c r="U9" i="2"/>
  <c r="W16" i="2"/>
  <c r="W8" i="2"/>
  <c r="V16" i="2"/>
  <c r="X15" i="2"/>
  <c r="V9" i="2"/>
  <c r="X14" i="2"/>
  <c r="T14" i="2"/>
  <c r="V8" i="2"/>
  <c r="T13" i="2"/>
  <c r="Y14" i="2"/>
  <c r="Y13" i="2"/>
  <c r="T12" i="2"/>
  <c r="U16" i="2"/>
  <c r="U8" i="2"/>
  <c r="V15" i="2"/>
  <c r="W14" i="2"/>
  <c r="X13" i="2"/>
  <c r="Y12" i="2"/>
  <c r="T11" i="2"/>
  <c r="U15" i="2"/>
  <c r="V14" i="2"/>
  <c r="W13" i="2"/>
  <c r="X12" i="2"/>
  <c r="Y11" i="2"/>
  <c r="V13" i="2"/>
  <c r="W12" i="2"/>
  <c r="X11" i="2"/>
  <c r="T17" i="2"/>
  <c r="T9" i="2"/>
  <c r="V12" i="2"/>
  <c r="W11" i="2"/>
  <c r="Y17" i="2"/>
  <c r="Y9" i="2"/>
  <c r="U17" i="2"/>
  <c r="T16" i="2"/>
  <c r="T8" i="2"/>
  <c r="V11" i="2"/>
  <c r="X17" i="2"/>
  <c r="X9" i="2"/>
  <c r="Y16" i="2"/>
  <c r="Y8" i="2"/>
  <c r="T15" i="2"/>
  <c r="V10" i="2" l="1"/>
  <c r="W10" i="2"/>
  <c r="X10" i="2"/>
  <c r="Y10" i="2"/>
  <c r="T10" i="2"/>
  <c r="U10" i="2"/>
  <c r="Y7" i="2"/>
  <c r="T7" i="2"/>
  <c r="W7" i="2"/>
  <c r="X7" i="2"/>
  <c r="U7" i="2"/>
  <c r="V7" i="2"/>
  <c r="U6" i="2"/>
  <c r="T6" i="2"/>
  <c r="Y6" i="2"/>
  <c r="X6" i="2"/>
  <c r="V6" i="2"/>
  <c r="W6" i="2"/>
  <c r="AE18" i="2" l="1"/>
  <c r="AK18" i="2"/>
  <c r="AH18" i="2"/>
  <c r="D5" i="4" l="1"/>
  <c r="D6" i="4"/>
  <c r="D7" i="4"/>
  <c r="D8" i="4"/>
  <c r="D9" i="4"/>
  <c r="D10" i="4"/>
  <c r="D11" i="4"/>
  <c r="D12" i="4"/>
  <c r="D13" i="4"/>
  <c r="D14" i="4"/>
  <c r="D15" i="4"/>
  <c r="D4" i="4"/>
  <c r="C5" i="4"/>
  <c r="C6" i="4"/>
  <c r="C7" i="4"/>
  <c r="C8" i="4"/>
  <c r="C9" i="4"/>
  <c r="C10" i="4"/>
  <c r="C11" i="4"/>
  <c r="C12" i="4"/>
  <c r="C13" i="4"/>
  <c r="C14" i="4"/>
  <c r="C15" i="4"/>
  <c r="C4" i="4"/>
  <c r="A5" i="4"/>
  <c r="A6" i="4" s="1"/>
  <c r="A7" i="4" s="1"/>
  <c r="A8" i="4" s="1"/>
  <c r="A9" i="4" s="1"/>
  <c r="A10" i="4" s="1"/>
  <c r="A11" i="4" s="1"/>
  <c r="A12" i="4" s="1"/>
  <c r="A13" i="4" s="1"/>
  <c r="A14" i="4" s="1"/>
  <c r="A15" i="4" s="1"/>
  <c r="K18" i="2" l="1"/>
  <c r="AB18" i="2" l="1"/>
  <c r="F16"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ASESOR </author>
  </authors>
  <commentList>
    <comment ref="Z4" authorId="0" shapeId="0" xr:uid="{A8E6A5EA-4648-4B6B-BDE2-F348C62FE3D2}">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AC4" authorId="0" shapeId="0" xr:uid="{912E4726-F765-415C-B85C-995185F8525C}">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AF4" authorId="0" shapeId="0" xr:uid="{D6CB1D45-D4BB-42CD-BC4A-2E54B05B22DF}">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AI4" authorId="0" shapeId="0" xr:uid="{A8D3683A-B514-4E7F-8BA1-B7F29087607C}">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<sst xmlns="http://schemas.openxmlformats.org/spreadsheetml/2006/main" count="600" uniqueCount="493">
  <si>
    <t>GESTIÓN CONTRACTUAL</t>
  </si>
  <si>
    <t>ELABORACIÓN ESTUDIOS DE MERCADO - PROCESOS DE GESTIÓN CONTRACTUAL</t>
  </si>
  <si>
    <t xml:space="preserve">DESCRIPCIÓN GENERAL </t>
  </si>
  <si>
    <t>PROMEDIO (INDEXACIÓN DE PRECIOS - PRECIOS DE REFERENCIA, ETC)</t>
  </si>
  <si>
    <t>MEDIA GEOMÉTRICA (INDEXACIÓN DE PRECIOS - PRECIOS DE REFERENCIA, ETC)</t>
  </si>
  <si>
    <t>MEDIA ARMÓNICA (INDEXACIÓN DE PRECIOS - PRECIOS DE REFERENCIA, ETC)</t>
  </si>
  <si>
    <t>No. Item</t>
  </si>
  <si>
    <t>Especificación técnica</t>
  </si>
  <si>
    <t>Unidad de Medida</t>
  </si>
  <si>
    <t>Cantidad</t>
  </si>
  <si>
    <t>Precio unitario IVA incluido</t>
  </si>
  <si>
    <t>Precio total IVA incluido</t>
  </si>
  <si>
    <t>Precio unitario estimado IVA incluido</t>
  </si>
  <si>
    <t>1</t>
  </si>
  <si>
    <t>2</t>
  </si>
  <si>
    <t>3</t>
  </si>
  <si>
    <t>PAR</t>
  </si>
  <si>
    <t>4</t>
  </si>
  <si>
    <t>5</t>
  </si>
  <si>
    <t>6</t>
  </si>
  <si>
    <t>7</t>
  </si>
  <si>
    <t>8</t>
  </si>
  <si>
    <t>9</t>
  </si>
  <si>
    <t>10</t>
  </si>
  <si>
    <t>11</t>
  </si>
  <si>
    <t>12</t>
  </si>
  <si>
    <t>VALOR TOTAL ESTUDIO DE MERCADO</t>
  </si>
  <si>
    <t>Par</t>
  </si>
  <si>
    <t>Caja</t>
  </si>
  <si>
    <t>HISTÓRICOS DE LA ENTIDAD</t>
  </si>
  <si>
    <t>Precio unitario sin IVA</t>
  </si>
  <si>
    <t>Descripción</t>
  </si>
  <si>
    <t>Precio total estimado IVA incluido</t>
  </si>
  <si>
    <t xml:space="preserve">Observaciones: 
</t>
  </si>
  <si>
    <t>UNIDADES</t>
  </si>
  <si>
    <t>Nombre</t>
  </si>
  <si>
    <t>µA</t>
  </si>
  <si>
    <t>Microamperio</t>
  </si>
  <si>
    <t>µGL</t>
  </si>
  <si>
    <t>Microgramos/Litro</t>
  </si>
  <si>
    <t>µGQ</t>
  </si>
  <si>
    <t>Microgramos/ Metro cúbico</t>
  </si>
  <si>
    <t>µM</t>
  </si>
  <si>
    <t>Micrómetro</t>
  </si>
  <si>
    <t>2IN</t>
  </si>
  <si>
    <t>Pulgada cuadrada</t>
  </si>
  <si>
    <t>A</t>
  </si>
  <si>
    <t>Amperio</t>
  </si>
  <si>
    <t>ACR</t>
  </si>
  <si>
    <t>Acre</t>
  </si>
  <si>
    <t>ANO</t>
  </si>
  <si>
    <t>Año</t>
  </si>
  <si>
    <t>ARR</t>
  </si>
  <si>
    <t>Arroba</t>
  </si>
  <si>
    <t>AT</t>
  </si>
  <si>
    <t>Hierro atado</t>
  </si>
  <si>
    <t>BDN</t>
  </si>
  <si>
    <t>Bidón</t>
  </si>
  <si>
    <t>BLD</t>
  </si>
  <si>
    <t>Cubo</t>
  </si>
  <si>
    <t>BOB</t>
  </si>
  <si>
    <t>Carrete</t>
  </si>
  <si>
    <t>BT</t>
  </si>
  <si>
    <t>Botija</t>
  </si>
  <si>
    <t>CAR</t>
  </si>
  <si>
    <t>Carga</t>
  </si>
  <si>
    <t>CDA</t>
  </si>
  <si>
    <t>Cada</t>
  </si>
  <si>
    <t xml:space="preserve">CM  </t>
  </si>
  <si>
    <t xml:space="preserve">Centímetro   </t>
  </si>
  <si>
    <t xml:space="preserve">CM2 </t>
  </si>
  <si>
    <t>Centímetro cuadrado</t>
  </si>
  <si>
    <t>CNJ</t>
  </si>
  <si>
    <t>Conjunto</t>
  </si>
  <si>
    <t>CON</t>
  </si>
  <si>
    <t>Cono</t>
  </si>
  <si>
    <t>CT</t>
  </si>
  <si>
    <t>Cien</t>
  </si>
  <si>
    <t xml:space="preserve">CX  </t>
  </si>
  <si>
    <t>CXC</t>
  </si>
  <si>
    <t>Caja de cartón</t>
  </si>
  <si>
    <t>Cxt</t>
  </si>
  <si>
    <t>D</t>
  </si>
  <si>
    <t>Día</t>
  </si>
  <si>
    <t>DIV</t>
  </si>
  <si>
    <t>Diverso</t>
  </si>
  <si>
    <t xml:space="preserve">DM </t>
  </si>
  <si>
    <t>Decímetro</t>
  </si>
  <si>
    <t>DM3</t>
  </si>
  <si>
    <t>Decimetro cúbico</t>
  </si>
  <si>
    <t>DZ</t>
  </si>
  <si>
    <t>Docena</t>
  </si>
  <si>
    <t>EMB</t>
  </si>
  <si>
    <t>Paquete</t>
  </si>
  <si>
    <t>EML</t>
  </si>
  <si>
    <t>Unidades enzima/ml</t>
  </si>
  <si>
    <t>FLH</t>
  </si>
  <si>
    <t>Hoja</t>
  </si>
  <si>
    <t>FRT</t>
  </si>
  <si>
    <t>Flete</t>
  </si>
  <si>
    <t>FUN</t>
  </si>
  <si>
    <t>Función</t>
  </si>
  <si>
    <t>G</t>
  </si>
  <si>
    <t>Gramo</t>
  </si>
  <si>
    <t>G/L</t>
  </si>
  <si>
    <t>Reactivo gramo/Litro</t>
  </si>
  <si>
    <t>GAR</t>
  </si>
  <si>
    <t>Botella</t>
  </si>
  <si>
    <t>GAU</t>
  </si>
  <si>
    <t>Hierba de oro</t>
  </si>
  <si>
    <t>GJ</t>
  </si>
  <si>
    <t>Giga-joule</t>
  </si>
  <si>
    <t>GLI</t>
  </si>
  <si>
    <t>Gramos/Litro</t>
  </si>
  <si>
    <t>GM2</t>
  </si>
  <si>
    <t>Grams/Square meter</t>
  </si>
  <si>
    <t>GM3</t>
  </si>
  <si>
    <t>Gramos/Metro cúbico</t>
  </si>
  <si>
    <t>GPM</t>
  </si>
  <si>
    <t>Galones por milla (US)</t>
  </si>
  <si>
    <t>GR</t>
  </si>
  <si>
    <t>Hierba reactiva</t>
  </si>
  <si>
    <t>GRA</t>
  </si>
  <si>
    <t xml:space="preserve">Grado  </t>
  </si>
  <si>
    <t>GRD</t>
  </si>
  <si>
    <t>Tapas</t>
  </si>
  <si>
    <t>GRO</t>
  </si>
  <si>
    <t>Bruto</t>
  </si>
  <si>
    <t>H</t>
  </si>
  <si>
    <t>Hora</t>
  </si>
  <si>
    <t>H/H</t>
  </si>
  <si>
    <t>Hora hombre</t>
  </si>
  <si>
    <t>HA</t>
  </si>
  <si>
    <t>Hectaréa</t>
  </si>
  <si>
    <t>HB</t>
  </si>
  <si>
    <t>Hora cubo</t>
  </si>
  <si>
    <t>HE</t>
  </si>
  <si>
    <t>Horas extra</t>
  </si>
  <si>
    <t>HF</t>
  </si>
  <si>
    <t>Horas de fin de semana y festivos</t>
  </si>
  <si>
    <t>HL</t>
  </si>
  <si>
    <t>Hora local</t>
  </si>
  <si>
    <t>HM</t>
  </si>
  <si>
    <t>Martillo/Hora</t>
  </si>
  <si>
    <t>HO</t>
  </si>
  <si>
    <t>Hora orden</t>
  </si>
  <si>
    <t>HR</t>
  </si>
  <si>
    <t>Hora destajo</t>
  </si>
  <si>
    <t>HUT</t>
  </si>
  <si>
    <t>Tiempo de uso</t>
  </si>
  <si>
    <t>HV</t>
  </si>
  <si>
    <t>Escoba hora</t>
  </si>
  <si>
    <t>HZ</t>
  </si>
  <si>
    <t>Heartz (1/Seg)</t>
  </si>
  <si>
    <t>IN</t>
  </si>
  <si>
    <t>Pulgada</t>
  </si>
  <si>
    <t>J</t>
  </si>
  <si>
    <t>Joule</t>
  </si>
  <si>
    <t>JG</t>
  </si>
  <si>
    <t>Juego</t>
  </si>
  <si>
    <t>JKG</t>
  </si>
  <si>
    <t>Joule/Kilogramo</t>
  </si>
  <si>
    <t>JMO</t>
  </si>
  <si>
    <t>Joule/Mole</t>
  </si>
  <si>
    <t>KA</t>
  </si>
  <si>
    <t>Kiloamperio</t>
  </si>
  <si>
    <t>KD3</t>
  </si>
  <si>
    <t>Kilopgramo/Decímetro cúbico</t>
  </si>
  <si>
    <t>KG</t>
  </si>
  <si>
    <t>Kilogramo</t>
  </si>
  <si>
    <t>KGF</t>
  </si>
  <si>
    <t>Kilogramo/Metro cuadrado</t>
  </si>
  <si>
    <t>KGM</t>
  </si>
  <si>
    <t>Kilogramo/Metro cúbico</t>
  </si>
  <si>
    <t>KGR</t>
  </si>
  <si>
    <t>Kilogramo reactivo</t>
  </si>
  <si>
    <t>KHZ</t>
  </si>
  <si>
    <t>Kilohertz</t>
  </si>
  <si>
    <t>KJ</t>
  </si>
  <si>
    <t>Kilojoule</t>
  </si>
  <si>
    <t>KJK</t>
  </si>
  <si>
    <t>Kilojoule/Kilogramo</t>
  </si>
  <si>
    <t>KJM</t>
  </si>
  <si>
    <t>Kilojoule/Mole</t>
  </si>
  <si>
    <t>KM</t>
  </si>
  <si>
    <t>Kilometro</t>
  </si>
  <si>
    <t>KM2</t>
  </si>
  <si>
    <t>Kilometro cuadrado</t>
  </si>
  <si>
    <t>KMH</t>
  </si>
  <si>
    <t>Kilometro/Hora</t>
  </si>
  <si>
    <t xml:space="preserve">KN  </t>
  </si>
  <si>
    <t xml:space="preserve">Kilonewton   </t>
  </si>
  <si>
    <t>KNM</t>
  </si>
  <si>
    <t>Kilonewton por metro cuadrado</t>
  </si>
  <si>
    <t>KPA</t>
  </si>
  <si>
    <t>Kilopascals</t>
  </si>
  <si>
    <t xml:space="preserve">KV  </t>
  </si>
  <si>
    <t>KiloVoltios</t>
  </si>
  <si>
    <t>KVA</t>
  </si>
  <si>
    <t>Kilo voltios amperios</t>
  </si>
  <si>
    <t>KW</t>
  </si>
  <si>
    <t>Kilo vatios</t>
  </si>
  <si>
    <t>KWH</t>
  </si>
  <si>
    <t>Kilovatios hora</t>
  </si>
  <si>
    <t>KWK</t>
  </si>
  <si>
    <t>Reactivo kg/kg</t>
  </si>
  <si>
    <t>L</t>
  </si>
  <si>
    <t>Litro</t>
  </si>
  <si>
    <t>LB</t>
  </si>
  <si>
    <t>Libra US</t>
  </si>
  <si>
    <t>LCK</t>
  </si>
  <si>
    <t>Litros por 100km</t>
  </si>
  <si>
    <t>LPH</t>
  </si>
  <si>
    <t>Litros por hora</t>
  </si>
  <si>
    <t>M</t>
  </si>
  <si>
    <t>Metro</t>
  </si>
  <si>
    <t xml:space="preserve">M% </t>
  </si>
  <si>
    <t>Porcentaje (Masa)</t>
  </si>
  <si>
    <t>M%O</t>
  </si>
  <si>
    <t>Porcentaje por mil (Masa)</t>
  </si>
  <si>
    <t>M/H</t>
  </si>
  <si>
    <t>Metros/Hora</t>
  </si>
  <si>
    <t>M/L</t>
  </si>
  <si>
    <t>Mol por litro</t>
  </si>
  <si>
    <t>M/S</t>
  </si>
  <si>
    <t>Metro/Segundo</t>
  </si>
  <si>
    <t>M2</t>
  </si>
  <si>
    <t>Metro cuadrado</t>
  </si>
  <si>
    <t>M3</t>
  </si>
  <si>
    <t xml:space="preserve">Metro cúbico   </t>
  </si>
  <si>
    <t>M3H</t>
  </si>
  <si>
    <t>Metro cúbico hora</t>
  </si>
  <si>
    <t>M3S</t>
  </si>
  <si>
    <t>Metro Cúbico/ Segundo</t>
  </si>
  <si>
    <t xml:space="preserve">MA  </t>
  </si>
  <si>
    <t>Miliamperio</t>
  </si>
  <si>
    <t>Maç</t>
  </si>
  <si>
    <t>MBA</t>
  </si>
  <si>
    <t>Milibar</t>
  </si>
  <si>
    <t>MBZ</t>
  </si>
  <si>
    <t>Metro-bar/Segundo</t>
  </si>
  <si>
    <t>MEJ</t>
  </si>
  <si>
    <t>Megajoule</t>
  </si>
  <si>
    <t>MES</t>
  </si>
  <si>
    <t>Mes</t>
  </si>
  <si>
    <t>MG</t>
  </si>
  <si>
    <t>Miligramo</t>
  </si>
  <si>
    <t>MGF</t>
  </si>
  <si>
    <t>Miligramos/Centímetro Cúbico</t>
  </si>
  <si>
    <t>MGG</t>
  </si>
  <si>
    <t>Miligramos/Gramo</t>
  </si>
  <si>
    <t>MGK</t>
  </si>
  <si>
    <t>Miligramos/Kilogramo</t>
  </si>
  <si>
    <t>MGL</t>
  </si>
  <si>
    <t>Miligramo/Litro</t>
  </si>
  <si>
    <t>MGQ</t>
  </si>
  <si>
    <t>Miligramos/Metro cúbico</t>
  </si>
  <si>
    <t>MHZ</t>
  </si>
  <si>
    <t>Megahertz</t>
  </si>
  <si>
    <t>MI</t>
  </si>
  <si>
    <t xml:space="preserve">Milla   </t>
  </si>
  <si>
    <t>MI2</t>
  </si>
  <si>
    <t>Milla cuadrada</t>
  </si>
  <si>
    <t>MIJ</t>
  </si>
  <si>
    <t>Milijoule</t>
  </si>
  <si>
    <t>MIL</t>
  </si>
  <si>
    <t>Mil</t>
  </si>
  <si>
    <t>MIN</t>
  </si>
  <si>
    <t>Minuto</t>
  </si>
  <si>
    <t>MIS</t>
  </si>
  <si>
    <t>Microsegundo</t>
  </si>
  <si>
    <t xml:space="preserve">ML  </t>
  </si>
  <si>
    <t>Metro líneal</t>
  </si>
  <si>
    <t>MLW</t>
  </si>
  <si>
    <t>ml Reactivo</t>
  </si>
  <si>
    <t>MM</t>
  </si>
  <si>
    <t xml:space="preserve">Milimetro   </t>
  </si>
  <si>
    <t>MM2</t>
  </si>
  <si>
    <t>Milimetro cuadrado</t>
  </si>
  <si>
    <t>MMA</t>
  </si>
  <si>
    <t>Milimetro/Año</t>
  </si>
  <si>
    <t>MMH</t>
  </si>
  <si>
    <t>Milimetro/Hora</t>
  </si>
  <si>
    <t>MMS</t>
  </si>
  <si>
    <t>Milimetro/Segundo</t>
  </si>
  <si>
    <t>MN</t>
  </si>
  <si>
    <t>Meganewton</t>
  </si>
  <si>
    <t>MPA</t>
  </si>
  <si>
    <t>Megapascal</t>
  </si>
  <si>
    <t>MPB</t>
  </si>
  <si>
    <t>Partes por billón (Masa)</t>
  </si>
  <si>
    <t>MPM</t>
  </si>
  <si>
    <t>Partes por millón (Masa)</t>
  </si>
  <si>
    <t>MPT</t>
  </si>
  <si>
    <t>Partes por trillón (Masa)</t>
  </si>
  <si>
    <t>MPZ</t>
  </si>
  <si>
    <t>Metropascal/Segundo</t>
  </si>
  <si>
    <t>MS</t>
  </si>
  <si>
    <t>Milisegundos</t>
  </si>
  <si>
    <t>MTE</t>
  </si>
  <si>
    <t>Militesla</t>
  </si>
  <si>
    <t>MWH</t>
  </si>
  <si>
    <t>Megavatios/Hora</t>
  </si>
  <si>
    <t>N</t>
  </si>
  <si>
    <t xml:space="preserve">Newton  </t>
  </si>
  <si>
    <t>N.M</t>
  </si>
  <si>
    <t>Newton.metro</t>
  </si>
  <si>
    <t>NAM</t>
  </si>
  <si>
    <t>Nanometro</t>
  </si>
  <si>
    <t>NR</t>
  </si>
  <si>
    <t>Nanoamperio</t>
  </si>
  <si>
    <t>NS</t>
  </si>
  <si>
    <t>Nano - segundos</t>
  </si>
  <si>
    <t>OHM</t>
  </si>
  <si>
    <t>ORC</t>
  </si>
  <si>
    <t>Presupuesto</t>
  </si>
  <si>
    <t>OZ</t>
  </si>
  <si>
    <t>Onza</t>
  </si>
  <si>
    <t>PA</t>
  </si>
  <si>
    <t>Pascal</t>
  </si>
  <si>
    <t>PAC</t>
  </si>
  <si>
    <t>PAD</t>
  </si>
  <si>
    <t>Partes por trillón (Volumen)</t>
  </si>
  <si>
    <t>PAL</t>
  </si>
  <si>
    <t>Paleta</t>
  </si>
  <si>
    <t>PÉ</t>
  </si>
  <si>
    <t>Pie</t>
  </si>
  <si>
    <t>PÉ2</t>
  </si>
  <si>
    <t>Pie cuadrado</t>
  </si>
  <si>
    <t>Peç</t>
  </si>
  <si>
    <t>Pieza</t>
  </si>
  <si>
    <t>PIP</t>
  </si>
  <si>
    <t>Barril</t>
  </si>
  <si>
    <t>PMI</t>
  </si>
  <si>
    <t>1/Minuto</t>
  </si>
  <si>
    <t>POL</t>
  </si>
  <si>
    <t>PPB</t>
  </si>
  <si>
    <t xml:space="preserve">Partes por billón  </t>
  </si>
  <si>
    <t>PPM</t>
  </si>
  <si>
    <t xml:space="preserve">Partes por millón   </t>
  </si>
  <si>
    <t>PPT</t>
  </si>
  <si>
    <t>Partes por trillón</t>
  </si>
  <si>
    <t>PRS</t>
  </si>
  <si>
    <t>Número de personas</t>
  </si>
  <si>
    <t>PS</t>
  </si>
  <si>
    <t>Picosegundo</t>
  </si>
  <si>
    <t>REC</t>
  </si>
  <si>
    <t>Contenedor</t>
  </si>
  <si>
    <t>RHO</t>
  </si>
  <si>
    <t>Gramo/Centímetro Cúbico</t>
  </si>
  <si>
    <t>ROL</t>
  </si>
  <si>
    <t>Rollo</t>
  </si>
  <si>
    <t>S</t>
  </si>
  <si>
    <t>Segundo</t>
  </si>
  <si>
    <t>SC</t>
  </si>
  <si>
    <t>Bolsa</t>
  </si>
  <si>
    <t>SEM</t>
  </si>
  <si>
    <t>Semana</t>
  </si>
  <si>
    <t>T*K</t>
  </si>
  <si>
    <t>Tonelada/Milla</t>
  </si>
  <si>
    <t>TAM</t>
  </si>
  <si>
    <t>Tambor</t>
  </si>
  <si>
    <t>TES</t>
  </si>
  <si>
    <t>Tesla</t>
  </si>
  <si>
    <t>TOM</t>
  </si>
  <si>
    <t>Tonelada/Metro cúbico</t>
  </si>
  <si>
    <t>TON</t>
  </si>
  <si>
    <t xml:space="preserve">Tonelada   </t>
  </si>
  <si>
    <t>TUS</t>
  </si>
  <si>
    <t>Tonelada US</t>
  </si>
  <si>
    <t>UA</t>
  </si>
  <si>
    <t>Unidad de actividad</t>
  </si>
  <si>
    <t>UE</t>
  </si>
  <si>
    <t>Unidad de enzima</t>
  </si>
  <si>
    <t>UN</t>
  </si>
  <si>
    <t xml:space="preserve">Unidad   </t>
  </si>
  <si>
    <t>US</t>
  </si>
  <si>
    <t>Unidad de subcontratación</t>
  </si>
  <si>
    <t>V</t>
  </si>
  <si>
    <t>Voltio</t>
  </si>
  <si>
    <t>V%O</t>
  </si>
  <si>
    <t>Proporción por mil (Volumen)</t>
  </si>
  <si>
    <t>VAL</t>
  </si>
  <si>
    <t>Valor artículo</t>
  </si>
  <si>
    <t>VG</t>
  </si>
  <si>
    <t>Valor Global</t>
  </si>
  <si>
    <t>ViG</t>
  </si>
  <si>
    <t>Viga</t>
  </si>
  <si>
    <t>VPB</t>
  </si>
  <si>
    <t>Partes por billón (Volumen)</t>
  </si>
  <si>
    <t>VPM</t>
  </si>
  <si>
    <t>Partes por millón (Volumen)</t>
  </si>
  <si>
    <t>Y2D</t>
  </si>
  <si>
    <t>Yarda Cuadrada</t>
  </si>
  <si>
    <t>YD</t>
  </si>
  <si>
    <t>Yarda</t>
  </si>
  <si>
    <t>TODAS LAS COTIZACIONES</t>
  </si>
  <si>
    <t>VARIACIONES PORCENTUALES</t>
  </si>
  <si>
    <t>TWENTY AGENCIA CREATIVA SAS</t>
  </si>
  <si>
    <t>GRUPO INTEGRAL 3MC</t>
  </si>
  <si>
    <t>MUNDO MONTAJES SAS</t>
  </si>
  <si>
    <t>MERAKI EXPERIENCIAS SAS</t>
  </si>
  <si>
    <t>XIE SOLUCIONES SAS</t>
  </si>
  <si>
    <t>TALLER DE DISEÑO S.A.S</t>
  </si>
  <si>
    <t xml:space="preserve">Servicio de fumigación y desinfección de ambientes en áreas interiores, utilizando técnicas como: desinfección desinsectación, Inmunización de maderas y desratización para el control de plagas y mantenimiento de las instalaciones libres de microorganismos (hongos, levaduras, bacterias), aplicación de cebos especiales para roedores y voladores, en el parque Arqueológico de San Agustín - </t>
  </si>
  <si>
    <t>Servicio de fumigación y desinfección de ambientes en áreas interiores, utilizando técnicas como:        desinfección desinsectación, Inmunización de maderas y desratización para el control de plagas y mantenimiento de las instalaciones libres de microorganismos  (hongos,levaduras,bacterias), aplicación de cebos especiales para roedores y voladores, en el Parque Arqueológico Ídolos, ubicado en la Vereda Ídolos, municipio de Isnos – Huila.</t>
  </si>
  <si>
    <t>Servicio de fumigación y desinfección de ambientes en áreas interiores, utilizando técnicas        como:        desinfección desinsectación, Inmunización de maderas y desratización para el control de plagas y mantenimiento de las instalaciones libres de microorganismos (hongos,levaduras,bacterias), aplicación de cebos especiales para roedores y voladores, en el Parque Arqueológico Alto de las Piedras, ubicado en la Vereda Las Delicias, municipio de Isnos – Huila.</t>
  </si>
  <si>
    <t>Servicio de fumigación y desinfección de ambientes en áreas interiores, utilizando técnicas como: desinfección desinsectación,  Inmunización  de maderas y desratización para el control de plagas y mantenimiento de las instalaciones libres de microorganismos (hongos, levaduras,bacterias), aplicación de cebos especiales para roedores y voladores, en el parque Arqueológico de Tierradentro – Inzá,Cauca.</t>
  </si>
  <si>
    <t>Servicio de fumigación y desinfección de ambientes en áreas interiores, utilizando técnicas como:  desinfección desinsectación, Inmunización  de maderas y desratización para el control de plagas y mantenimiento de las instalaciones libres de microorganismos (hongos, levaduras, bacterias), aplicación de cebos especiales para roedores y voladores, en el parque Arqueológico de Santa María de La Antigua del Darién, Chocó.</t>
  </si>
  <si>
    <t>Servicio de fumigación y desinfección de ambientes en áreas interiores, utilizando técnicas como:        desinfección desinsectación, Inmunización de maderas y desratización para el control de plagas y mantenimiento de las instalaciones libres de microorganismos (hongos, levaduras, bacterias), aplicación de cebos especiales para roedores y voladores, en la sede administrativa Santa Marta, Magdalena.</t>
  </si>
  <si>
    <t>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en la sede administrativa de San José del Guaviare</t>
  </si>
  <si>
    <t>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en la bodega ubicada en la Carrera 73A # 69A-33 en Bogotá</t>
  </si>
  <si>
    <t>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en la sede administrativa ubicada en Calle 12 # 2 -38 en Bogotá</t>
  </si>
  <si>
    <t>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en la sede del edificio nuevo ubicado en la calle 12 b # 2 - 37</t>
  </si>
  <si>
    <t>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en la sede misional ubicada en la calle 12 # 2- 41</t>
  </si>
  <si>
    <t>- La prestación de servicio consiste en la aspersión de un amonio cuaternario para el control de hongos, virus y bacterias.
- Toma de muestras de frotis de superficie antes y después de la desinfección en la Biblioteca SEDE Bogotá ICANH</t>
  </si>
  <si>
    <t>Ubicación</t>
  </si>
  <si>
    <t>Parque o sede administrativa</t>
  </si>
  <si>
    <t>San Agustín  - Huila</t>
  </si>
  <si>
    <t>San Agustín</t>
  </si>
  <si>
    <t>Isnos  - Huila</t>
  </si>
  <si>
    <t>Alto de los Ídolos</t>
  </si>
  <si>
    <t>Alto de las Piedras</t>
  </si>
  <si>
    <t>Inzá  - Cauca</t>
  </si>
  <si>
    <t>Tierradentro</t>
  </si>
  <si>
    <t>Vereda Tanela, Unguía - Chocó</t>
  </si>
  <si>
    <t>Santa Maria de La Antigua del Darién</t>
  </si>
  <si>
    <t>Santa Marta - Magdalena</t>
  </si>
  <si>
    <t>Santa Marta, sede administrativa</t>
  </si>
  <si>
    <t>San José del Guaviare  - Guaviare</t>
  </si>
  <si>
    <t>Sede Adminitrativa San Jose del Guaviaré</t>
  </si>
  <si>
    <t>Bogotá -Cundinamarca</t>
  </si>
  <si>
    <t xml:space="preserve">Bodega Boyacá Real </t>
  </si>
  <si>
    <t>Casa administrativa</t>
  </si>
  <si>
    <t xml:space="preserve">Sede edificio nuevo </t>
  </si>
  <si>
    <t>Casa Misional</t>
  </si>
  <si>
    <t>Biblioteca Casa administrativa</t>
  </si>
  <si>
    <t>Área aproximada</t>
  </si>
  <si>
    <t>Servicio</t>
  </si>
  <si>
    <t>Cantidad de servicios</t>
  </si>
  <si>
    <t>AMBICOL SERVICES SAS
PROVEEDOR 1</t>
  </si>
  <si>
    <t>IVA</t>
  </si>
  <si>
    <t>Precio unitario sin IVA indexado 5,2% (2025)</t>
  </si>
  <si>
    <t>Precio unitario sin IVA indexado 5,1% (2026)</t>
  </si>
  <si>
    <t>República de Colombia</t>
  </si>
  <si>
    <t>Instituto Colombiano de Antropología e Historia</t>
  </si>
  <si>
    <t>Fumigación</t>
  </si>
  <si>
    <t>Consolidado de cotizaciones</t>
  </si>
  <si>
    <t xml:space="preserve">Objeto: </t>
  </si>
  <si>
    <t>PRESTAR EL SERVICIO DE FUMIGACIÓN PARA DESINSECTACIÓN, DESRATIZACIÓN Y CONTROL DE VECTORES EN LAS EDIFICACIONES DEL ICANH EN LA CIUDAD DE BOGOTÁ Y LOS PARQUES ARQUEOLOGICOS A NIVEL NACIONAL</t>
  </si>
  <si>
    <r>
      <t xml:space="preserve">Notas:
</t>
    </r>
    <r>
      <rPr>
        <sz val="11"/>
        <color rgb="FFFF0000"/>
        <rFont val="Arial Narrow"/>
        <family val="2"/>
      </rPr>
      <t>(1)</t>
    </r>
    <r>
      <rPr>
        <sz val="11"/>
        <color theme="1"/>
        <rFont val="Arial Narrow"/>
        <family val="2"/>
      </rPr>
      <t xml:space="preserve"> Tener en cuenta para cotizar que el plazo de ejecución es estimado.
</t>
    </r>
    <r>
      <rPr>
        <sz val="11"/>
        <color rgb="FFFF0000"/>
        <rFont val="Arial Narrow"/>
        <family val="2"/>
      </rPr>
      <t xml:space="preserve">(2)  </t>
    </r>
    <r>
      <rPr>
        <sz val="11"/>
        <color theme="1"/>
        <rFont val="Arial Narrow"/>
        <family val="2"/>
      </rPr>
      <t xml:space="preserve">Por favor cotizar los servicios requeridos bajo los términos establecidos en la ficha técnica y el anexo 1 de la misma.
</t>
    </r>
    <r>
      <rPr>
        <sz val="11"/>
        <color rgb="FFFF0000"/>
        <rFont val="Arial Narrow"/>
        <family val="2"/>
      </rPr>
      <t xml:space="preserve">(3) </t>
    </r>
    <r>
      <rPr>
        <sz val="11"/>
        <color theme="1"/>
        <rFont val="Arial Narrow"/>
        <family val="2"/>
      </rPr>
      <t>Por favor diligenciar la tarifa IVA del servicio requerido ( Según aplique).</t>
    </r>
  </si>
  <si>
    <r>
      <t xml:space="preserve">Plazo estimado de ejecución </t>
    </r>
    <r>
      <rPr>
        <b/>
        <sz val="14"/>
        <color rgb="FFFF0000"/>
        <rFont val="Arial Narrow"/>
        <family val="2"/>
      </rPr>
      <t>(Nota 1)</t>
    </r>
  </si>
  <si>
    <t>5  meses</t>
  </si>
  <si>
    <t>Descuento</t>
  </si>
  <si>
    <t>MTC Elegida</t>
  </si>
  <si>
    <t>1 ASEAR</t>
  </si>
  <si>
    <t>2 COLOMVEN</t>
  </si>
  <si>
    <t>3 EMINSER</t>
  </si>
  <si>
    <t>4 JCR</t>
  </si>
  <si>
    <t>5 GEOHUILA</t>
  </si>
  <si>
    <t>PROMEDIO SIMPLE</t>
  </si>
  <si>
    <t>MEDIA GEOMÉTRICA</t>
  </si>
  <si>
    <t>PROMEDIO 3 más BAJAS</t>
  </si>
  <si>
    <t>PROMEDIO SIN EXTREMOS</t>
  </si>
  <si>
    <t>DESVIACIÓN ESTÁNDAR</t>
  </si>
  <si>
    <t xml:space="preserve">ITEM </t>
  </si>
  <si>
    <r>
      <t xml:space="preserve">Detalle servicios </t>
    </r>
    <r>
      <rPr>
        <b/>
        <sz val="11"/>
        <color rgb="FFFF0000"/>
        <rFont val="Arial"/>
        <family val="2"/>
      </rPr>
      <t>(Nota 2)</t>
    </r>
  </si>
  <si>
    <t>Unidad de medida</t>
  </si>
  <si>
    <r>
      <t xml:space="preserve">TARIFA IVA (%)
</t>
    </r>
    <r>
      <rPr>
        <b/>
        <sz val="11"/>
        <color rgb="FFFF0000"/>
        <rFont val="Arial"/>
        <family val="2"/>
      </rPr>
      <t>(Nota 3)</t>
    </r>
  </si>
  <si>
    <t xml:space="preserve">PRECIO UNITARIO ANTES IVA </t>
  </si>
  <si>
    <t>PRECIO UNITARIO IVA INCLUIDO</t>
  </si>
  <si>
    <t>PRECIO TOTAL IVA INCLUIDO</t>
  </si>
  <si>
    <t>VALOR M2</t>
  </si>
  <si>
    <t>LÍMITE INFERIOR</t>
  </si>
  <si>
    <t>LÍMITE SUPERIOR</t>
  </si>
  <si>
    <t xml:space="preserve">Servicio de fumigación y desinfección de ambientes en áreas interiores, utilizando
técnicas como: desinfección desinsectación, Inmunización de maderas y desratización para el control de plagas y mantenimiento de las instalaciones libres de microorganismos (hongos, levaduras, bacterias), aplicación de cebos especiales para roedores y voladores, en el parque Arqueológico de San Agustín - Huila </t>
  </si>
  <si>
    <t>Servicio de fumigación y desinfección de ambientes en áreas interiores, utilizando técnicas como: desinfección desinsectación, Inmunización de maderas y desratización para el control de plagas y mantenimiento de las instalaciones libres de microorganismos (hongos, levaduras, bacterias), aplicación de cebos especiales para roedores y voladores y voladores, en el parque Arqueológico  de Alto de los Ídolos, Isnos - Huila.</t>
  </si>
  <si>
    <t>Ísnos  - Huila</t>
  </si>
  <si>
    <t>Servicio de fumigación y desinfección de ambientes en áreas interiores, utilizando
técnicas como: desinfección
desinsectación, Inmunización de maderas y desratización para el control de plagas y mantenimiento de las instalaciones libres de microorganismos (hongos, levaduras, bacterias), aplicación de cebos especiales para roedores y voladores y voladores, en el parque Arqueológico  de Tierra dentro – Inza,Cauca.</t>
  </si>
  <si>
    <t>Servicio de fumigación y desinfección de ambientes en áreas interiores, utilizando técnicas como: desinfección desinsectación, Inmunización de maderas y desratización para el control de plagas y mantenimiento de las instalaciones libres de microorganismos (hongos, levaduras, bacterias), aplicación de cebos especiales para roedores y voladores y voladores, en el parque Arqueológico de Santa María de La Antigua del Darién, Choco.</t>
  </si>
  <si>
    <t>Unguía  - Chocó</t>
  </si>
  <si>
    <t>Servicio de fumigación y desinfección de ambientes en áreas interiores, utilizando técnicas como: desinfección desinsectación, Inmunización de maderas y desratización para el control de plagas y mantenimiento de las instalaciones libres de microorganismos (hongos, levaduras, bacterias), aplicación de cebos especiales para roedores y voladores y voladores, en  la sede administrativa Santa Marta, Magdalena.</t>
  </si>
  <si>
    <t>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y voladores, en  la sede administrativa de San José del Guaviare</t>
  </si>
  <si>
    <t>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y voladores, en la bodega ubicada en la Calle 20 a No. 39a -14 en Bogotá</t>
  </si>
  <si>
    <t>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y voladores, en la bodega ubicada en la Carrera 73A # 69A-33 en Bogotá</t>
  </si>
  <si>
    <t xml:space="preserve">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y voladores, en la sede administrativa ubicada en Calle 12 # 2 -38 en Bogotá </t>
  </si>
  <si>
    <t xml:space="preserve">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y voladores, en la sede del edificio nuevo ubicado en la calle  12 b # 2 - 38 </t>
  </si>
  <si>
    <t>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y voladores en la sede misional ubicada en la calle 12 # 2-41</t>
  </si>
  <si>
    <t>Área (mts2) 2024</t>
  </si>
  <si>
    <t>Precio unitario sin IVA 2024 con área 2024</t>
  </si>
  <si>
    <t>Precio unitario sin IVA 2024 con área 2026</t>
  </si>
  <si>
    <t>Precio unitario sin IVA 2024 por mt2 con área 2024</t>
  </si>
  <si>
    <t>Para la estimación del presupuesto oficial del presente proceso se realizó un análisis comparativo de la cotización recibida dentro del estudio de mercado. Así comlo los precios históricos del proceso del año 2024, los cuales fueron calculados de acuerdo con la proporcionalidad de la difrencia de áreas aproximadas (mts2) entre el año 2024 y el presente proceso de 2026, adicionalmente, se indexaron los precios con el IPC del año 2025 (5,2%) y 2026 (5,1%). 
A partir de este análisis, para la estimación del presupuesto se determinó a partir de la media aritmética entre el estudio de mercado del año 2024 y la cotización allegada al presente proceso, y así obtener una estimación más objetiva y consistente con las condiciones del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</si>
</sst>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5" formatCode="&quot;$&quot;\ #,##0;\-&quot;$&quot;\ #,##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
    <numFmt numFmtId="165" formatCode="&quot;$&quot;\ #,##0"/>
    <numFmt numFmtId="166" formatCode="#,##0.00\ &quot;mts2 aprox.&quot;"/>
    <numFmt numFmtId="167" formatCode="&quot;$&quot;\ #,##0.00"/>
  </numFmts>
  <fonts count="32">
    <font>
      <sz val="11"/>
      <color theme="1"/>
      <name val="Aptos Narrow"/>
      <family val="2"/>
      <scheme val="minor"/>
    </font>
    <font>
      <sz val="10"/>
      <color theme="1"/>
      <name val="Arial"/>
      <family val="2"/>
    </font>
    <font>
      <sz val="12"/>
      <color theme="1"/>
      <name val="Arial"/>
      <family val="2"/>
    </font>
    <font>
      <sz val="10"/>
      <name val="Arial"/>
      <family val="2"/>
    </font>
    <font>
      <b/>
      <sz val="12"/>
      <name val="Arial"/>
      <family val="2"/>
    </font>
    <font>
      <sz val="11"/>
      <name val="Arial"/>
      <family val="2"/>
    </font>
    <font>
      <b/>
      <sz val="14"/>
      <color theme="1"/>
      <name val="Verdana"/>
      <family val="2"/>
    </font>
    <font>
      <b/>
      <sz val="12"/>
      <color theme="0"/>
      <name val="Arial"/>
      <family val="2"/>
    </font>
    <font>
      <b/>
      <sz val="12"/>
      <color rgb="FFFFFFFF"/>
      <name val="Arial"/>
      <family val="2"/>
    </font>
    <font>
      <b/>
      <sz val="10"/>
      <color theme="1"/>
      <name val="Verdana"/>
      <family val="2"/>
    </font>
    <font>
      <b/>
      <sz val="11"/>
      <color rgb="FFFFFFFF"/>
      <name val="Arial"/>
      <family val="2"/>
    </font>
    <font>
      <sz val="10"/>
      <color theme="1"/>
      <name val="Verdana"/>
      <family val="2"/>
    </font>
    <font>
      <sz val="11"/>
      <color rgb="FF000000"/>
      <name val="Arial"/>
      <family val="2"/>
    </font>
    <font>
      <sz val="11"/>
      <color theme="1"/>
      <name val="Arial"/>
      <family val="2"/>
    </font>
    <font>
      <b/>
      <sz val="9"/>
      <color indexed="81"/>
      <name val="Tahoma"/>
      <family val="2"/>
    </font>
    <font>
      <sz val="9"/>
      <color indexed="81"/>
      <name val="Tahoma"/>
      <family val="2"/>
    </font>
    <font>
      <b/>
      <sz val="10"/>
      <name val="Arial"/>
      <family val="2"/>
    </font>
    <font>
      <b/>
      <sz val="11"/>
      <name val="Arial"/>
      <family val="2"/>
    </font>
    <font>
      <b/>
      <sz val="12"/>
      <color theme="1"/>
      <name val="Arial"/>
      <family val="2"/>
    </font>
    <font>
      <b/>
      <sz val="12"/>
      <color theme="1"/>
      <name val="Museo Sans Condensed"/>
    </font>
    <font>
      <sz val="12"/>
      <color theme="1"/>
      <name val="Museo Sans Condensed"/>
    </font>
    <font>
      <sz val="11"/>
      <color theme="1"/>
      <name val="Aptos Narrow"/>
      <family val="2"/>
      <scheme val="minor"/>
    </font>
    <font>
      <b/>
      <sz val="11"/>
      <color theme="1"/>
      <name val="Arial Narrow"/>
      <family val="2"/>
    </font>
    <font>
      <sz val="11"/>
      <color theme="1"/>
      <name val="Arial Narrow"/>
      <family val="2"/>
    </font>
    <font>
      <sz val="8"/>
      <name val="Aptos Narrow"/>
      <family val="2"/>
      <scheme val="minor"/>
    </font>
    <font>
      <sz val="11"/>
      <color rgb="FF000000"/>
      <name val="Aptos Narrow"/>
      <family val="2"/>
      <scheme val="minor"/>
    </font>
    <font>
      <sz val="14"/>
      <color theme="1"/>
      <name val="Arial Narrow"/>
      <family val="2"/>
    </font>
    <font>
      <sz val="11"/>
      <color rgb="FFFF0000"/>
      <name val="Arial Narrow"/>
      <family val="2"/>
    </font>
    <font>
      <b/>
      <sz val="14"/>
      <color rgb="FFFF0000"/>
      <name val="Arial Narrow"/>
      <family val="2"/>
    </font>
    <font>
      <b/>
      <sz val="9"/>
      <color theme="1"/>
      <name val="Arial Narrow"/>
      <family val="2"/>
    </font>
    <font>
      <b/>
      <sz val="11"/>
      <color rgb="FFFF0000"/>
      <name val="Arial"/>
      <family val="2"/>
    </font>
    <font>
      <sz val="16"/>
      <name val="Arial"/>
      <family val="2"/>
    </font>
  </fonts>
  <fills count="14">
    <fill>
      <patternFill patternType="none"/>
    </fill>
    <fill>
      <patternFill patternType="gray125"/>
    </fill>
    <fill>
      <patternFill patternType="solid">
        <fgColor rgb="FF808080"/>
        <bgColor indexed="64"/>
      </patternFill>
    </fill>
    <fill>
      <patternFill patternType="solid">
        <fgColor theme="1" tint="0.499984740745262"/>
        <bgColor indexed="64"/>
      </patternFill>
    </fill>
    <fill>
      <patternFill patternType="solid">
        <fgColor theme="1"/>
        <bgColor indexed="64"/>
      </patternFill>
    </fill>
    <fill>
      <patternFill patternType="solid">
        <fgColor rgb="FFDBE5F1"/>
        <bgColor indexed="64"/>
      </patternFill>
    </fill>
    <fill>
      <patternFill patternType="solid">
        <fgColor theme="2"/>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59999389629810485"/>
        <bgColor indexed="64"/>
      </patternFill>
    </fill>
    <fill>
      <patternFill patternType="solid">
        <fgColor theme="0" tint="-0.249977111117893"/>
        <bgColor indexed="64"/>
      </patternFill>
    </fill>
  </fills>
  <borders count="32">
    <border>
      <left/>
      <right/>
      <top/>
      <bottom/>
      <diagonal/>
    </border>
    <border>
      <left style="thin">
        <color auto="1"/>
      </left>
      <right style="thin">
        <color auto="1"/>
      </right>
      <top style="medium">
        <color indexed="64"/>
      </top>
      <bottom style="thin">
        <color auto="1"/>
      </bottom>
      <diagonal/>
    </border>
    <border>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style="thin">
        <color auto="1"/>
      </left>
      <right style="thin">
        <color auto="1"/>
      </right>
      <top/>
      <bottom style="thin">
        <color auto="1"/>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auto="1"/>
      </right>
      <top/>
      <bottom style="thin">
        <color auto="1"/>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medium">
        <color indexed="64"/>
      </top>
      <bottom style="thin">
        <color auto="1"/>
      </bottom>
      <diagonal/>
    </border>
    <border>
      <left style="medium">
        <color indexed="64"/>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s>
  <cellStyleXfs count="12">
    <xf numFmtId="0" fontId="0" fillId="0" borderId="0"/>
    <xf numFmtId="0" fontId="1" fillId="0" borderId="0"/>
    <xf numFmtId="0" fontId="3" fillId="0" borderId="0"/>
    <xf numFmtId="0" fontId="6" fillId="2" borderId="5" applyNumberFormat="0" applyProtection="0">
      <alignment horizontal="left" vertical="center"/>
    </xf>
    <xf numFmtId="0" fontId="9" fillId="5" borderId="0" applyNumberFormat="0" applyBorder="0" applyProtection="0">
      <alignment horizontal="center" vertical="center"/>
    </xf>
    <xf numFmtId="49" fontId="11" fillId="0" borderId="0" applyFill="0" applyBorder="0" applyProtection="0">
      <alignment horizontal="left" vertical="center"/>
    </xf>
    <xf numFmtId="42" fontId="1" fillId="0" borderId="0" applyFont="0" applyFill="0" applyBorder="0" applyAlignment="0" applyProtection="0"/>
    <xf numFmtId="3" fontId="11" fillId="0" borderId="0" applyFill="0" applyBorder="0" applyProtection="0">
      <alignment horizontal="right" vertical="center"/>
    </xf>
    <xf numFmtId="44"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42" fontId="21" fillId="0" borderId="0" applyFont="0" applyFill="0" applyBorder="0" applyAlignment="0" applyProtection="0"/>
  </cellStyleXfs>
  <cellXfs count="174">
    <xf numFmtId="0" fontId="0" fillId="0" borderId="0" xfId="0"/>
    <xf numFmtId="0" fontId="1" fillId="0" borderId="0" xfId="1"/>
    <xf numFmtId="0" fontId="5" fillId="0" borderId="0" xfId="2" applyFont="1" applyAlignment="1">
      <alignment horizontal="center" vertical="center"/>
    </xf>
    <xf numFmtId="0" fontId="3" fillId="0" borderId="0" xfId="2"/>
    <xf numFmtId="0" fontId="8" fillId="3" borderId="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1" fillId="0" borderId="0" xfId="1" applyAlignment="1">
      <alignment wrapText="1"/>
    </xf>
    <xf numFmtId="0" fontId="10" fillId="3" borderId="5" xfId="4" applyFont="1" applyFill="1" applyBorder="1" applyAlignment="1" applyProtection="1">
      <alignment horizontal="center" vertical="center" wrapText="1"/>
    </xf>
    <xf numFmtId="49" fontId="2" fillId="0" borderId="5" xfId="5" applyFont="1" applyBorder="1" applyAlignment="1">
      <alignment horizontal="center" vertical="center"/>
    </xf>
    <xf numFmtId="42" fontId="2" fillId="6" borderId="5" xfId="6" applyFont="1" applyFill="1" applyBorder="1" applyAlignment="1" applyProtection="1">
      <alignment horizontal="center" vertical="center"/>
      <protection locked="0"/>
    </xf>
    <xf numFmtId="42" fontId="2" fillId="0" borderId="5" xfId="6" applyFont="1" applyBorder="1" applyAlignment="1" applyProtection="1">
      <alignment horizontal="center" vertical="center"/>
      <protection locked="0"/>
    </xf>
    <xf numFmtId="0" fontId="8" fillId="3" borderId="11" xfId="1" applyFont="1" applyFill="1" applyBorder="1" applyAlignment="1" applyProtection="1">
      <alignment horizontal="right"/>
      <protection locked="0"/>
    </xf>
    <xf numFmtId="42" fontId="8" fillId="3" borderId="11" xfId="1" applyNumberFormat="1" applyFont="1" applyFill="1" applyBorder="1" applyAlignment="1" applyProtection="1">
      <alignment horizontal="right"/>
      <protection locked="0"/>
    </xf>
    <xf numFmtId="42" fontId="8" fillId="3" borderId="0" xfId="6" applyFont="1" applyFill="1" applyBorder="1" applyProtection="1">
      <protection locked="0"/>
    </xf>
    <xf numFmtId="0" fontId="1" fillId="0" borderId="0" xfId="1" applyAlignment="1" applyProtection="1">
      <alignment horizontal="left" vertical="center"/>
      <protection locked="0"/>
    </xf>
    <xf numFmtId="0" fontId="1" fillId="0" borderId="0" xfId="1" applyProtection="1">
      <protection locked="0"/>
    </xf>
    <xf numFmtId="0" fontId="1" fillId="0" borderId="0" xfId="1" applyAlignment="1" applyProtection="1">
      <alignment horizontal="center"/>
      <protection locked="0"/>
    </xf>
    <xf numFmtId="164" fontId="12" fillId="0" borderId="5" xfId="1" applyNumberFormat="1" applyFont="1" applyBorder="1" applyAlignment="1">
      <alignment horizontal="right" vertical="center" shrinkToFit="1"/>
    </xf>
    <xf numFmtId="0" fontId="16" fillId="0" borderId="0" xfId="2" applyFont="1" applyAlignment="1">
      <alignment horizontal="center" vertical="center"/>
    </xf>
    <xf numFmtId="0" fontId="1" fillId="0" borderId="0" xfId="1" applyAlignment="1">
      <alignment vertical="center"/>
    </xf>
    <xf numFmtId="0" fontId="8" fillId="3" borderId="5" xfId="4" applyFont="1" applyFill="1" applyBorder="1" applyAlignment="1">
      <alignment horizontal="center" vertical="center" wrapText="1"/>
    </xf>
    <xf numFmtId="3" fontId="2" fillId="0" borderId="5" xfId="7" applyFont="1" applyBorder="1" applyAlignment="1">
      <alignment horizontal="center" vertical="center" wrapText="1"/>
    </xf>
    <xf numFmtId="0" fontId="2" fillId="0" borderId="5" xfId="1" applyFont="1" applyBorder="1" applyAlignment="1" applyProtection="1">
      <alignment vertical="center" wrapText="1"/>
      <protection locked="0"/>
    </xf>
    <xf numFmtId="0" fontId="2" fillId="0" borderId="5" xfId="1" applyFont="1" applyBorder="1" applyAlignment="1" applyProtection="1">
      <alignment horizontal="center" vertical="center" wrapText="1"/>
      <protection locked="0"/>
    </xf>
    <xf numFmtId="0" fontId="2" fillId="0" borderId="5" xfId="5" applyNumberFormat="1" applyFont="1" applyBorder="1" applyAlignment="1">
      <alignment horizontal="center" vertical="center" wrapText="1"/>
    </xf>
    <xf numFmtId="165" fontId="2" fillId="0" borderId="5" xfId="1" applyNumberFormat="1" applyFont="1" applyBorder="1" applyAlignment="1" applyProtection="1">
      <alignment vertical="center" wrapText="1"/>
      <protection locked="0"/>
    </xf>
    <xf numFmtId="0" fontId="2" fillId="0" borderId="0" xfId="1" applyFont="1" applyAlignment="1" applyProtection="1">
      <alignment vertical="center" wrapText="1"/>
      <protection locked="0"/>
    </xf>
    <xf numFmtId="0" fontId="1" fillId="0" borderId="0" xfId="1" applyAlignment="1" applyProtection="1">
      <alignment vertical="center" wrapText="1"/>
      <protection locked="0"/>
    </xf>
    <xf numFmtId="0" fontId="19" fillId="5" borderId="5" xfId="4" applyFont="1" applyBorder="1" applyAlignment="1">
      <alignment horizontal="center" vertical="center" wrapText="1"/>
    </xf>
    <xf numFmtId="0" fontId="19" fillId="5" borderId="5" xfId="4" applyFont="1" applyBorder="1" applyAlignment="1" applyProtection="1">
      <alignment horizontal="center" vertical="center" wrapText="1"/>
    </xf>
    <xf numFmtId="0" fontId="20" fillId="0" borderId="5" xfId="1" applyFont="1" applyBorder="1"/>
    <xf numFmtId="165" fontId="8" fillId="3" borderId="5" xfId="1" applyNumberFormat="1" applyFont="1" applyFill="1" applyBorder="1" applyAlignment="1" applyProtection="1">
      <alignment vertical="center"/>
      <protection locked="0"/>
    </xf>
    <xf numFmtId="44" fontId="1" fillId="0" borderId="0" xfId="8" applyFont="1" applyProtection="1">
      <protection locked="0"/>
    </xf>
    <xf numFmtId="44" fontId="1" fillId="0" borderId="0" xfId="8" applyFont="1" applyAlignment="1" applyProtection="1">
      <alignment horizontal="left" vertical="center"/>
      <protection locked="0"/>
    </xf>
    <xf numFmtId="44" fontId="1" fillId="0" borderId="0" xfId="1" applyNumberFormat="1" applyAlignment="1" applyProtection="1">
      <alignment horizontal="left" vertical="center"/>
      <protection locked="0"/>
    </xf>
    <xf numFmtId="0" fontId="8" fillId="3" borderId="20" xfId="1" applyFont="1" applyFill="1" applyBorder="1" applyAlignment="1" applyProtection="1">
      <alignment horizontal="right"/>
      <protection locked="0"/>
    </xf>
    <xf numFmtId="42" fontId="2" fillId="0" borderId="0" xfId="6" applyFont="1" applyBorder="1" applyAlignment="1" applyProtection="1">
      <alignment horizontal="center" vertical="center"/>
      <protection locked="0"/>
    </xf>
    <xf numFmtId="0" fontId="8" fillId="3" borderId="5" xfId="1" applyFont="1" applyFill="1" applyBorder="1" applyAlignment="1" applyProtection="1">
      <alignment horizontal="right"/>
      <protection locked="0"/>
    </xf>
    <xf numFmtId="0" fontId="8" fillId="3" borderId="27" xfId="1" applyFont="1" applyFill="1" applyBorder="1" applyAlignment="1" applyProtection="1">
      <alignment horizontal="right"/>
      <protection locked="0"/>
    </xf>
    <xf numFmtId="42" fontId="8" fillId="3" borderId="27" xfId="1" applyNumberFormat="1" applyFont="1" applyFill="1" applyBorder="1" applyAlignment="1" applyProtection="1">
      <alignment horizontal="right"/>
      <protection locked="0"/>
    </xf>
    <xf numFmtId="0" fontId="8" fillId="3" borderId="27" xfId="1" applyFont="1" applyFill="1" applyBorder="1" applyProtection="1">
      <protection locked="0"/>
    </xf>
    <xf numFmtId="42" fontId="8" fillId="4" borderId="28" xfId="6" applyFont="1" applyFill="1" applyBorder="1" applyProtection="1">
      <protection locked="0"/>
    </xf>
    <xf numFmtId="9" fontId="12" fillId="7" borderId="5" xfId="9" applyFont="1" applyFill="1" applyBorder="1" applyAlignment="1">
      <alignment horizontal="right" vertical="center" shrinkToFit="1"/>
    </xf>
    <xf numFmtId="9" fontId="12" fillId="8" borderId="5" xfId="9" applyFont="1" applyFill="1" applyBorder="1" applyAlignment="1">
      <alignment horizontal="right" vertical="center" shrinkToFit="1"/>
    </xf>
    <xf numFmtId="9" fontId="12" fillId="9" borderId="5" xfId="9" applyFont="1" applyFill="1" applyBorder="1" applyAlignment="1">
      <alignment horizontal="right" vertical="center" shrinkToFit="1"/>
    </xf>
    <xf numFmtId="44" fontId="1" fillId="0" borderId="0" xfId="1" applyNumberFormat="1" applyProtection="1">
      <protection locked="0"/>
    </xf>
    <xf numFmtId="10" fontId="1" fillId="0" borderId="0" xfId="9" applyNumberFormat="1" applyFont="1" applyProtection="1">
      <protection locked="0"/>
    </xf>
    <xf numFmtId="42" fontId="1" fillId="0" borderId="0" xfId="9" applyNumberFormat="1" applyFont="1" applyProtection="1">
      <protection locked="0"/>
    </xf>
    <xf numFmtId="0" fontId="23" fillId="0" borderId="5" xfId="0" applyFont="1" applyBorder="1" applyAlignment="1">
      <alignment vertical="center" wrapText="1"/>
    </xf>
    <xf numFmtId="0" fontId="23" fillId="0" borderId="6" xfId="0" applyFont="1" applyBorder="1" applyAlignment="1">
      <alignment vertical="center" wrapText="1"/>
    </xf>
    <xf numFmtId="0" fontId="23" fillId="0" borderId="6" xfId="0" quotePrefix="1" applyFont="1" applyBorder="1" applyAlignment="1">
      <alignment vertical="center" wrapText="1"/>
    </xf>
    <xf numFmtId="0" fontId="17" fillId="10" borderId="5" xfId="0" applyFont="1" applyFill="1" applyBorder="1" applyAlignment="1">
      <alignment horizontal="center" vertical="center" wrapText="1"/>
    </xf>
    <xf numFmtId="0" fontId="23" fillId="0" borderId="5" xfId="0" applyFont="1" applyBorder="1" applyAlignment="1">
      <alignment horizontal="left" vertical="center" wrapText="1"/>
    </xf>
    <xf numFmtId="0" fontId="23" fillId="0" borderId="5"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26" xfId="0" applyFont="1" applyBorder="1" applyAlignment="1">
      <alignment horizontal="center" vertical="center" wrapText="1"/>
    </xf>
    <xf numFmtId="0" fontId="23" fillId="0" borderId="26" xfId="0" applyFont="1" applyBorder="1" applyAlignment="1">
      <alignment horizontal="center" vertical="center" wrapText="1"/>
    </xf>
    <xf numFmtId="0" fontId="25" fillId="0" borderId="6" xfId="0" applyFont="1" applyBorder="1" applyAlignment="1">
      <alignment horizontal="center" vertical="center" wrapText="1"/>
    </xf>
    <xf numFmtId="0" fontId="8" fillId="3" borderId="27" xfId="1" applyFont="1" applyFill="1" applyBorder="1" applyAlignment="1" applyProtection="1">
      <alignment horizontal="center"/>
      <protection locked="0"/>
    </xf>
    <xf numFmtId="9" fontId="25" fillId="0" borderId="6" xfId="0" applyNumberFormat="1" applyFont="1" applyBorder="1" applyAlignment="1">
      <alignment horizontal="center" vertical="center" wrapText="1"/>
    </xf>
    <xf numFmtId="5" fontId="5" fillId="11" borderId="5" xfId="0" applyNumberFormat="1" applyFont="1" applyFill="1" applyBorder="1" applyAlignment="1">
      <alignment vertical="center"/>
    </xf>
    <xf numFmtId="0" fontId="23" fillId="0" borderId="0" xfId="0" applyFont="1"/>
    <xf numFmtId="0" fontId="23" fillId="0" borderId="5" xfId="0" applyFont="1" applyBorder="1" applyAlignment="1">
      <alignment horizontal="center" vertical="center"/>
    </xf>
    <xf numFmtId="0" fontId="23" fillId="0" borderId="0" xfId="0" applyFont="1" applyAlignment="1">
      <alignment horizontal="center" vertical="center"/>
    </xf>
    <xf numFmtId="0" fontId="26" fillId="0" borderId="0" xfId="0" applyFont="1" applyAlignment="1">
      <alignment horizontal="center" vertical="center" wrapText="1"/>
    </xf>
    <xf numFmtId="9" fontId="23" fillId="0" borderId="5" xfId="0" applyNumberFormat="1" applyFont="1" applyBorder="1" applyAlignment="1">
      <alignment horizontal="center" vertical="center"/>
    </xf>
    <xf numFmtId="0" fontId="22" fillId="0" borderId="0" xfId="0" applyFont="1" applyAlignment="1">
      <alignment horizontal="center"/>
    </xf>
    <xf numFmtId="0" fontId="22" fillId="0" borderId="0" xfId="0" applyFont="1" applyAlignment="1">
      <alignment horizontal="center" vertical="center"/>
    </xf>
    <xf numFmtId="0" fontId="29" fillId="12" borderId="0" xfId="0" applyFont="1" applyFill="1" applyAlignment="1">
      <alignment horizontal="center" vertical="center"/>
    </xf>
    <xf numFmtId="0" fontId="17" fillId="10" borderId="0" xfId="0" applyFont="1" applyFill="1" applyAlignment="1">
      <alignment horizontal="center" vertical="center" wrapText="1"/>
    </xf>
    <xf numFmtId="3" fontId="23" fillId="0" borderId="5" xfId="0" applyNumberFormat="1" applyFont="1" applyBorder="1" applyAlignment="1">
      <alignment horizontal="center" vertical="center" wrapText="1"/>
    </xf>
    <xf numFmtId="9" fontId="5" fillId="0" borderId="8" xfId="9" applyFont="1" applyFill="1" applyBorder="1" applyAlignment="1" applyProtection="1">
      <alignment horizontal="center" vertical="center"/>
    </xf>
    <xf numFmtId="0" fontId="23" fillId="0" borderId="0" xfId="0" applyFont="1" applyAlignment="1">
      <alignment vertical="center"/>
    </xf>
    <xf numFmtId="5" fontId="5" fillId="11" borderId="0" xfId="0" applyNumberFormat="1" applyFont="1" applyFill="1" applyAlignment="1">
      <alignment vertical="center"/>
    </xf>
    <xf numFmtId="5" fontId="5" fillId="12" borderId="5" xfId="0" applyNumberFormat="1" applyFont="1" applyFill="1" applyBorder="1" applyAlignment="1">
      <alignment vertical="center"/>
    </xf>
    <xf numFmtId="42" fontId="5" fillId="11" borderId="5" xfId="11" applyFont="1" applyFill="1" applyBorder="1" applyAlignment="1">
      <alignment vertical="center"/>
    </xf>
    <xf numFmtId="5" fontId="23" fillId="0" borderId="5" xfId="0" applyNumberFormat="1" applyFont="1" applyBorder="1" applyAlignment="1">
      <alignment vertical="center"/>
    </xf>
    <xf numFmtId="5" fontId="17" fillId="11" borderId="5" xfId="0" applyNumberFormat="1" applyFont="1" applyFill="1" applyBorder="1" applyAlignment="1">
      <alignment vertical="center"/>
    </xf>
    <xf numFmtId="5" fontId="17" fillId="11" borderId="0" xfId="0" applyNumberFormat="1" applyFont="1" applyFill="1" applyAlignment="1">
      <alignment vertical="center"/>
    </xf>
    <xf numFmtId="5" fontId="23" fillId="0" borderId="0" xfId="0" applyNumberFormat="1" applyFont="1"/>
    <xf numFmtId="166" fontId="23" fillId="0" borderId="5" xfId="0" applyNumberFormat="1" applyFont="1" applyBorder="1" applyAlignment="1">
      <alignment horizontal="center" vertical="center" wrapText="1"/>
    </xf>
    <xf numFmtId="166" fontId="25" fillId="0" borderId="5" xfId="0" applyNumberFormat="1" applyFont="1" applyBorder="1" applyAlignment="1">
      <alignment horizontal="center" vertical="center" wrapText="1"/>
    </xf>
    <xf numFmtId="166" fontId="25" fillId="0" borderId="26" xfId="0" applyNumberFormat="1" applyFont="1" applyBorder="1" applyAlignment="1">
      <alignment horizontal="center" vertical="center" wrapText="1"/>
    </xf>
    <xf numFmtId="166" fontId="23" fillId="0" borderId="26" xfId="0" applyNumberFormat="1" applyFont="1" applyBorder="1" applyAlignment="1">
      <alignment horizontal="center" vertical="center" wrapText="1"/>
    </xf>
    <xf numFmtId="167" fontId="5" fillId="11" borderId="5" xfId="0" applyNumberFormat="1" applyFont="1" applyFill="1" applyBorder="1" applyAlignment="1">
      <alignment vertical="center"/>
    </xf>
    <xf numFmtId="166" fontId="5" fillId="11" borderId="5" xfId="10" applyNumberFormat="1" applyFont="1" applyFill="1" applyBorder="1" applyAlignment="1">
      <alignment vertical="center"/>
    </xf>
    <xf numFmtId="0" fontId="7" fillId="3" borderId="24" xfId="3" applyFont="1" applyFill="1" applyBorder="1" applyAlignment="1" applyProtection="1">
      <alignment horizontal="center" vertical="center"/>
    </xf>
    <xf numFmtId="0" fontId="7" fillId="3" borderId="25" xfId="3" applyFont="1" applyFill="1" applyBorder="1" applyAlignment="1" applyProtection="1">
      <alignment horizontal="center" vertical="center"/>
    </xf>
    <xf numFmtId="0" fontId="8" fillId="3" borderId="5" xfId="3" applyFont="1" applyFill="1" applyAlignment="1" applyProtection="1">
      <alignment horizontal="center" vertical="center" wrapText="1"/>
    </xf>
    <xf numFmtId="0" fontId="8" fillId="3" borderId="9" xfId="3" applyFont="1" applyFill="1" applyBorder="1" applyAlignment="1" applyProtection="1">
      <alignment horizontal="center" vertical="center" wrapText="1"/>
    </xf>
    <xf numFmtId="0" fontId="5" fillId="0" borderId="1" xfId="2" applyFont="1" applyBorder="1" applyAlignment="1">
      <alignment horizontal="center" vertical="center" wrapText="1"/>
    </xf>
    <xf numFmtId="0" fontId="5" fillId="0" borderId="23" xfId="2" applyFont="1" applyBorder="1" applyAlignment="1">
      <alignment horizontal="center" vertical="center" wrapText="1"/>
    </xf>
    <xf numFmtId="0" fontId="5" fillId="0" borderId="3" xfId="2" applyFont="1" applyBorder="1" applyAlignment="1">
      <alignment horizontal="center" vertical="center"/>
    </xf>
    <xf numFmtId="0" fontId="5" fillId="0" borderId="5" xfId="2" applyFont="1" applyBorder="1" applyAlignment="1">
      <alignment horizontal="center" vertical="center"/>
    </xf>
    <xf numFmtId="0" fontId="5" fillId="0" borderId="6" xfId="2" applyFont="1" applyBorder="1" applyAlignment="1">
      <alignment horizontal="center" vertical="center"/>
    </xf>
    <xf numFmtId="0" fontId="5" fillId="0" borderId="9" xfId="2" applyFont="1" applyBorder="1" applyAlignment="1">
      <alignment horizontal="center" vertical="center"/>
    </xf>
    <xf numFmtId="0" fontId="7" fillId="3" borderId="4" xfId="3" applyFont="1" applyFill="1" applyBorder="1" applyAlignment="1" applyProtection="1">
      <alignment horizontal="center" vertical="center"/>
    </xf>
    <xf numFmtId="0" fontId="7" fillId="3" borderId="5" xfId="3" applyFont="1" applyFill="1" applyAlignment="1" applyProtection="1">
      <alignment horizontal="center" vertical="center"/>
    </xf>
    <xf numFmtId="0" fontId="7" fillId="3" borderId="9" xfId="3" applyFont="1" applyFill="1" applyBorder="1" applyAlignment="1" applyProtection="1">
      <alignment horizontal="center" vertical="center"/>
    </xf>
    <xf numFmtId="0" fontId="8" fillId="3" borderId="5" xfId="3" applyFont="1" applyFill="1" applyAlignment="1" applyProtection="1">
      <alignment horizontal="center" vertical="center"/>
    </xf>
    <xf numFmtId="0" fontId="4" fillId="0" borderId="21" xfId="2" applyFont="1" applyBorder="1" applyAlignment="1">
      <alignment horizontal="center" vertical="center"/>
    </xf>
    <xf numFmtId="0" fontId="4" fillId="0" borderId="2" xfId="2" applyFont="1" applyBorder="1" applyAlignment="1">
      <alignment horizontal="center" vertical="center"/>
    </xf>
    <xf numFmtId="0" fontId="4" fillId="0" borderId="22" xfId="2" applyFont="1" applyBorder="1" applyAlignment="1">
      <alignment horizontal="center" vertical="center"/>
    </xf>
    <xf numFmtId="0" fontId="4" fillId="0" borderId="10" xfId="2" applyFont="1" applyBorder="1" applyAlignment="1">
      <alignment horizontal="center" vertical="center"/>
    </xf>
    <xf numFmtId="0" fontId="4" fillId="0" borderId="7" xfId="2" applyFont="1" applyBorder="1" applyAlignment="1">
      <alignment horizontal="center" vertical="center"/>
    </xf>
    <xf numFmtId="0" fontId="4" fillId="0" borderId="8" xfId="2" applyFont="1" applyBorder="1" applyAlignment="1">
      <alignment horizontal="center" vertical="center"/>
    </xf>
    <xf numFmtId="0" fontId="8" fillId="3" borderId="6" xfId="3" applyFont="1" applyFill="1" applyBorder="1" applyAlignment="1" applyProtection="1">
      <alignment horizontal="center" vertical="center" wrapText="1"/>
    </xf>
    <xf numFmtId="0" fontId="8" fillId="3" borderId="7" xfId="3" applyFont="1" applyFill="1" applyBorder="1" applyAlignment="1" applyProtection="1">
      <alignment horizontal="center" vertical="center" wrapText="1"/>
    </xf>
    <xf numFmtId="0" fontId="8" fillId="3" borderId="8" xfId="3" applyFont="1" applyFill="1" applyBorder="1" applyAlignment="1" applyProtection="1">
      <alignment horizontal="center" vertical="center" wrapText="1"/>
    </xf>
    <xf numFmtId="0" fontId="8" fillId="4" borderId="5" xfId="3" applyFont="1" applyFill="1" applyAlignment="1" applyProtection="1">
      <alignment horizontal="center" vertical="center" wrapText="1"/>
    </xf>
    <xf numFmtId="0" fontId="8" fillId="4" borderId="9" xfId="3" applyFont="1" applyFill="1" applyBorder="1" applyAlignment="1" applyProtection="1">
      <alignment horizontal="center" vertical="center" wrapText="1"/>
    </xf>
    <xf numFmtId="0" fontId="8" fillId="3" borderId="26" xfId="1" applyFont="1" applyFill="1" applyBorder="1" applyAlignment="1" applyProtection="1">
      <alignment horizontal="center"/>
      <protection locked="0"/>
    </xf>
    <xf numFmtId="0" fontId="13" fillId="0" borderId="17"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protection locked="0"/>
    </xf>
    <xf numFmtId="0" fontId="13" fillId="0" borderId="19" xfId="1" applyFont="1" applyBorder="1" applyAlignment="1" applyProtection="1">
      <alignment horizontal="left" vertical="center"/>
      <protection locked="0"/>
    </xf>
    <xf numFmtId="0" fontId="13" fillId="0" borderId="12" xfId="1" applyFont="1" applyBorder="1" applyAlignment="1" applyProtection="1">
      <alignment horizontal="left" vertical="center"/>
      <protection locked="0"/>
    </xf>
    <xf numFmtId="0" fontId="13" fillId="0" borderId="0" xfId="1" applyFont="1" applyAlignment="1" applyProtection="1">
      <alignment horizontal="left" vertical="center"/>
      <protection locked="0"/>
    </xf>
    <xf numFmtId="0" fontId="13" fillId="0" borderId="13" xfId="1" applyFont="1" applyBorder="1" applyAlignment="1" applyProtection="1">
      <alignment horizontal="left" vertical="center"/>
      <protection locked="0"/>
    </xf>
    <xf numFmtId="0" fontId="13" fillId="0" borderId="14" xfId="1" applyFont="1" applyBorder="1" applyAlignment="1" applyProtection="1">
      <alignment horizontal="left" vertical="center"/>
      <protection locked="0"/>
    </xf>
    <xf numFmtId="0" fontId="13" fillId="0" borderId="15" xfId="1" applyFont="1" applyBorder="1" applyAlignment="1" applyProtection="1">
      <alignment horizontal="left" vertical="center"/>
      <protection locked="0"/>
    </xf>
    <xf numFmtId="0" fontId="13" fillId="0" borderId="16" xfId="1" applyFont="1" applyBorder="1" applyAlignment="1" applyProtection="1">
      <alignment horizontal="left" vertical="center"/>
      <protection locked="0"/>
    </xf>
    <xf numFmtId="0" fontId="8" fillId="3" borderId="10" xfId="3" applyFont="1" applyFill="1" applyBorder="1" applyAlignment="1" applyProtection="1">
      <alignment horizontal="center" vertical="center"/>
    </xf>
    <xf numFmtId="0" fontId="8" fillId="3" borderId="7" xfId="3" applyFont="1" applyFill="1" applyBorder="1" applyAlignment="1" applyProtection="1">
      <alignment horizontal="center" vertical="center"/>
    </xf>
    <xf numFmtId="0" fontId="8" fillId="3" borderId="8" xfId="3" applyFont="1" applyFill="1" applyBorder="1" applyAlignment="1" applyProtection="1">
      <alignment horizontal="center" vertical="center"/>
    </xf>
    <xf numFmtId="0" fontId="23" fillId="0" borderId="5" xfId="0" applyFont="1" applyBorder="1" applyAlignment="1">
      <alignment horizontal="center"/>
    </xf>
    <xf numFmtId="0" fontId="22" fillId="0" borderId="6"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23" fillId="0" borderId="28" xfId="0" applyFont="1" applyBorder="1" applyAlignment="1">
      <alignment horizontal="left" vertical="center" wrapText="1"/>
    </xf>
    <xf numFmtId="0" fontId="23" fillId="0" borderId="29" xfId="0" applyFont="1" applyBorder="1" applyAlignment="1">
      <alignment horizontal="left" vertical="center" wrapText="1"/>
    </xf>
    <xf numFmtId="0" fontId="23" fillId="0" borderId="31" xfId="0" applyFont="1" applyBorder="1" applyAlignment="1">
      <alignment horizontal="left" vertical="center" wrapText="1"/>
    </xf>
    <xf numFmtId="0" fontId="23" fillId="0" borderId="20" xfId="0" applyFont="1" applyBorder="1" applyAlignment="1">
      <alignment horizontal="left" vertical="center" wrapText="1"/>
    </xf>
    <xf numFmtId="0" fontId="26" fillId="0" borderId="28" xfId="0" applyFont="1" applyBorder="1" applyAlignment="1">
      <alignment horizontal="left" vertical="top" wrapText="1"/>
    </xf>
    <xf numFmtId="0" fontId="26" fillId="0" borderId="30" xfId="0" applyFont="1" applyBorder="1" applyAlignment="1">
      <alignment horizontal="left" vertical="top" wrapText="1"/>
    </xf>
    <xf numFmtId="0" fontId="26" fillId="0" borderId="29" xfId="0" applyFont="1" applyBorder="1" applyAlignment="1">
      <alignment horizontal="left" vertical="top" wrapText="1"/>
    </xf>
    <xf numFmtId="0" fontId="26" fillId="0" borderId="31" xfId="0" applyFont="1" applyBorder="1" applyAlignment="1">
      <alignment horizontal="left" vertical="top" wrapText="1"/>
    </xf>
    <xf numFmtId="0" fontId="26" fillId="0" borderId="25" xfId="0" applyFont="1" applyBorder="1" applyAlignment="1">
      <alignment horizontal="left" vertical="top" wrapText="1"/>
    </xf>
    <xf numFmtId="0" fontId="26" fillId="0" borderId="20" xfId="0" applyFont="1" applyBorder="1" applyAlignment="1">
      <alignment horizontal="left" vertical="top" wrapText="1"/>
    </xf>
    <xf numFmtId="0" fontId="23" fillId="0" borderId="6" xfId="0" applyFont="1" applyBorder="1" applyAlignment="1">
      <alignment horizontal="left" vertical="top" wrapText="1"/>
    </xf>
    <xf numFmtId="0" fontId="23" fillId="0" borderId="7" xfId="0" applyFont="1" applyBorder="1" applyAlignment="1">
      <alignment horizontal="left" vertical="top" wrapText="1"/>
    </xf>
    <xf numFmtId="0" fontId="23" fillId="0" borderId="8" xfId="0" applyFont="1" applyBorder="1" applyAlignment="1">
      <alignment horizontal="left" vertical="top" wrapText="1"/>
    </xf>
    <xf numFmtId="0" fontId="26" fillId="0" borderId="6" xfId="0" applyFont="1" applyBorder="1" applyAlignment="1">
      <alignment horizontal="center" vertical="center" wrapText="1"/>
    </xf>
    <xf numFmtId="0" fontId="26" fillId="0" borderId="8" xfId="0" applyFont="1" applyBorder="1" applyAlignment="1">
      <alignment horizontal="center" vertical="center" wrapText="1"/>
    </xf>
    <xf numFmtId="0" fontId="23" fillId="0" borderId="5" xfId="0" applyFont="1" applyBorder="1" applyAlignment="1">
      <alignment horizontal="center" vertical="center"/>
    </xf>
    <xf numFmtId="0" fontId="23" fillId="0" borderId="6" xfId="0" applyFont="1" applyBorder="1" applyAlignment="1">
      <alignment horizontal="left" vertical="center" wrapText="1"/>
    </xf>
    <xf numFmtId="0" fontId="23" fillId="0" borderId="8" xfId="0" applyFont="1" applyBorder="1" applyAlignment="1">
      <alignment horizontal="left" vertical="center" wrapText="1"/>
    </xf>
    <xf numFmtId="0" fontId="29" fillId="12" borderId="4" xfId="0" applyFont="1" applyFill="1" applyBorder="1" applyAlignment="1">
      <alignment horizontal="center" vertical="center"/>
    </xf>
    <xf numFmtId="0" fontId="29" fillId="12" borderId="5" xfId="0" applyFont="1" applyFill="1" applyBorder="1" applyAlignment="1">
      <alignment horizontal="center" vertical="center"/>
    </xf>
    <xf numFmtId="0" fontId="29" fillId="12" borderId="6" xfId="0" applyFont="1" applyFill="1" applyBorder="1" applyAlignment="1">
      <alignment horizontal="center" vertical="center"/>
    </xf>
    <xf numFmtId="0" fontId="29" fillId="12" borderId="7" xfId="0" applyFont="1" applyFill="1" applyBorder="1" applyAlignment="1">
      <alignment horizontal="center" vertical="center"/>
    </xf>
    <xf numFmtId="0" fontId="22" fillId="0" borderId="5" xfId="0" applyFont="1" applyBorder="1" applyAlignment="1">
      <alignment horizontal="center" vertical="center"/>
    </xf>
    <xf numFmtId="0" fontId="22" fillId="0" borderId="0" xfId="0" applyFont="1" applyAlignment="1">
      <alignment horizontal="center" vertical="center"/>
    </xf>
    <xf numFmtId="0" fontId="17" fillId="10" borderId="5" xfId="0" applyFont="1" applyFill="1" applyBorder="1" applyAlignment="1">
      <alignment horizontal="center" vertical="center" wrapText="1"/>
    </xf>
    <xf numFmtId="0" fontId="23" fillId="0" borderId="5" xfId="0" applyFont="1" applyBorder="1" applyAlignment="1">
      <alignment horizontal="left" vertical="center" wrapText="1"/>
    </xf>
    <xf numFmtId="0" fontId="31" fillId="13" borderId="6" xfId="0" applyFont="1" applyFill="1" applyBorder="1" applyAlignment="1">
      <alignment horizontal="center" vertical="center" wrapText="1"/>
    </xf>
    <xf numFmtId="0" fontId="31" fillId="13" borderId="7" xfId="0" applyFont="1" applyFill="1" applyBorder="1" applyAlignment="1">
      <alignment horizontal="center" vertical="center" wrapText="1"/>
    </xf>
    <xf numFmtId="0" fontId="31" fillId="13" borderId="8" xfId="0" applyFont="1" applyFill="1" applyBorder="1" applyAlignment="1">
      <alignment horizontal="center" vertical="center" wrapText="1"/>
    </xf>
    <xf numFmtId="0" fontId="5" fillId="0" borderId="5" xfId="2" applyFont="1" applyBorder="1" applyAlignment="1">
      <alignment horizontal="center" vertical="center" wrapText="1"/>
    </xf>
    <xf numFmtId="0" fontId="17" fillId="0" borderId="5" xfId="2" applyFont="1" applyBorder="1" applyAlignment="1">
      <alignment horizontal="center" vertical="center" wrapText="1"/>
    </xf>
    <xf numFmtId="0" fontId="8" fillId="3" borderId="5" xfId="1" applyFont="1" applyFill="1" applyBorder="1" applyAlignment="1" applyProtection="1">
      <alignment horizontal="center" vertical="center"/>
      <protection locked="0"/>
    </xf>
    <xf numFmtId="0" fontId="18" fillId="0" borderId="17" xfId="1" applyFont="1" applyBorder="1" applyAlignment="1" applyProtection="1">
      <alignment horizontal="left" vertical="center" wrapText="1"/>
      <protection locked="0"/>
    </xf>
    <xf numFmtId="0" fontId="18" fillId="0" borderId="18" xfId="1" applyFont="1" applyBorder="1" applyAlignment="1" applyProtection="1">
      <alignment horizontal="left" vertical="center" wrapText="1"/>
      <protection locked="0"/>
    </xf>
    <xf numFmtId="0" fontId="18" fillId="0" borderId="19" xfId="1" applyFont="1" applyBorder="1" applyAlignment="1" applyProtection="1">
      <alignment horizontal="left" vertical="center" wrapText="1"/>
      <protection locked="0"/>
    </xf>
    <xf numFmtId="0" fontId="18" fillId="0" borderId="12" xfId="1" applyFont="1" applyBorder="1" applyAlignment="1" applyProtection="1">
      <alignment horizontal="left" vertical="center" wrapText="1"/>
      <protection locked="0"/>
    </xf>
    <xf numFmtId="0" fontId="18" fillId="0" borderId="0" xfId="1" applyFont="1" applyAlignment="1" applyProtection="1">
      <alignment horizontal="left" vertical="center" wrapText="1"/>
      <protection locked="0"/>
    </xf>
    <xf numFmtId="0" fontId="18" fillId="0" borderId="13" xfId="1" applyFont="1" applyBorder="1" applyAlignment="1" applyProtection="1">
      <alignment horizontal="left" vertical="center" wrapText="1"/>
      <protection locked="0"/>
    </xf>
    <xf numFmtId="0" fontId="18" fillId="0" borderId="14" xfId="1" applyFont="1" applyBorder="1" applyAlignment="1" applyProtection="1">
      <alignment horizontal="left" vertical="center" wrapText="1"/>
      <protection locked="0"/>
    </xf>
    <xf numFmtId="0" fontId="18" fillId="0" borderId="15" xfId="1" applyFont="1" applyBorder="1" applyAlignment="1" applyProtection="1">
      <alignment horizontal="left" vertical="center" wrapText="1"/>
      <protection locked="0"/>
    </xf>
    <xf numFmtId="0" fontId="18" fillId="0" borderId="16" xfId="1" applyFont="1" applyBorder="1" applyAlignment="1" applyProtection="1">
      <alignment horizontal="left" vertical="center" wrapText="1"/>
      <protection locked="0"/>
    </xf>
    <xf numFmtId="0" fontId="4" fillId="0" borderId="6" xfId="2" applyFont="1" applyBorder="1" applyAlignment="1">
      <alignment horizontal="center" vertical="center"/>
    </xf>
    <xf numFmtId="0" fontId="17" fillId="0" borderId="6" xfId="2" applyFont="1" applyBorder="1" applyAlignment="1">
      <alignment horizontal="center" vertical="center"/>
    </xf>
    <xf numFmtId="0" fontId="17" fillId="0" borderId="7" xfId="2" applyFont="1" applyBorder="1" applyAlignment="1">
      <alignment horizontal="center" vertical="center"/>
    </xf>
    <xf numFmtId="0" fontId="17" fillId="0" borderId="8" xfId="2" applyFont="1" applyBorder="1" applyAlignment="1">
      <alignment horizontal="center" vertical="center"/>
    </xf>
    <xf numFmtId="0" fontId="19" fillId="2" borderId="5" xfId="3" applyFont="1" applyAlignment="1" applyProtection="1">
      <alignment horizontal="center" vertical="center" wrapText="1"/>
    </xf>
  </cellXfs>
  <cellStyles count="12">
    <cellStyle name="BodyStyle" xfId="5" xr:uid="{2DA1AF67-1C77-40AC-A64A-CB05035D393E}"/>
    <cellStyle name="HeaderStyle" xfId="4" xr:uid="{91C33BD6-C36E-42E7-90A7-5D52DB2102DF}"/>
    <cellStyle name="MainTitle" xfId="3" xr:uid="{BD2D2106-857C-41C2-9538-9843679E0961}"/>
    <cellStyle name="Millares" xfId="10" builtinId="3"/>
    <cellStyle name="Moneda" xfId="8" builtinId="4"/>
    <cellStyle name="Moneda [0]" xfId="11" builtinId="7"/>
    <cellStyle name="Moneda [0] 2" xfId="6" xr:uid="{C49FBC96-FFA8-4C0F-AEBF-7A54E0E266DA}"/>
    <cellStyle name="Normal" xfId="0" builtinId="0"/>
    <cellStyle name="Normal 2" xfId="1" xr:uid="{7A371FDD-D3AD-47EA-A7B6-25DB928603BD}"/>
    <cellStyle name="Normal 2 2" xfId="2" xr:uid="{C17EEEA9-109C-4240-B7FC-A76FCD2D2BDC}"/>
    <cellStyle name="Numeric" xfId="7" xr:uid="{F240211E-1DBA-4D7A-A77D-ACE86CCF84AA}"/>
    <cellStyle name="Porcentaje" xfId="9" builtinId="5"/>
  </cellStyles>
  <dxfs count="3">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25</xdr:col>
      <xdr:colOff>83899</xdr:colOff>
      <xdr:row>0</xdr:row>
      <xdr:rowOff>21317</xdr:rowOff>
    </xdr:from>
    <xdr:to>
      <xdr:col>27</xdr:col>
      <xdr:colOff>1254124</xdr:colOff>
      <xdr:row>2</xdr:row>
      <xdr:rowOff>70302</xdr:rowOff>
    </xdr:to>
    <xdr:pic>
      <xdr:nvPicPr>
        <xdr:cNvPr id="4" name="image1.png">
          <a:extLst>
            <a:ext uri="{FF2B5EF4-FFF2-40B4-BE49-F238E27FC236}">
              <a16:creationId xmlns:a16="http://schemas.microsoft.com/office/drawing/2014/main" id="{CF073357-3101-F17C-8352-210B6387F142}"/>
            </a:ext>
          </a:extLst>
        </xdr:cNvPr>
        <xdr:cNvPicPr/>
      </xdr:nvPicPr>
      <xdr:blipFill rotWithShape="1">
        <a:blip xmlns:r="http://schemas.openxmlformats.org/officeDocument/2006/relationships" r:embed="rId1"/>
        <a:srcRect l="67741" t="2807" r="11869" b="91123"/>
        <a:stretch/>
      </xdr:blipFill>
      <xdr:spPr bwMode="auto">
        <a:xfrm>
          <a:off x="20044066" y="21317"/>
          <a:ext cx="2514308" cy="959152"/>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18186</xdr:colOff>
      <xdr:row>1</xdr:row>
      <xdr:rowOff>91787</xdr:rowOff>
    </xdr:from>
    <xdr:to>
      <xdr:col>1</xdr:col>
      <xdr:colOff>18186</xdr:colOff>
      <xdr:row>2</xdr:row>
      <xdr:rowOff>136979</xdr:rowOff>
    </xdr:to>
    <xdr:pic>
      <xdr:nvPicPr>
        <xdr:cNvPr id="2" name="Imagen 1" descr="Imagen que contiene Icono&#10;&#10;Descripción generada automáticamente">
          <a:extLst>
            <a:ext uri="{FF2B5EF4-FFF2-40B4-BE49-F238E27FC236}">
              <a16:creationId xmlns:a16="http://schemas.microsoft.com/office/drawing/2014/main" id="{A41AC9EB-7DC0-449B-912C-890DB1F79F41}"/>
            </a:ext>
          </a:extLst>
        </xdr:cNvPr>
        <xdr:cNvPicPr>
          <a:picLocks noChangeAspect="1"/>
        </xdr:cNvPicPr>
      </xdr:nvPicPr>
      <xdr:blipFill>
        <a:blip xmlns:r="http://schemas.openxmlformats.org/officeDocument/2006/relationships" r:embed="rId1"/>
        <a:stretch>
          <a:fillRect/>
        </a:stretch>
      </xdr:blipFill>
      <xdr:spPr>
        <a:xfrm>
          <a:off x="119786" y="269587"/>
          <a:ext cx="0" cy="222992"/>
        </a:xfrm>
        <a:prstGeom prst="rect">
          <a:avLst/>
        </a:prstGeom>
      </xdr:spPr>
    </xdr:pic>
    <xdr:clientData/>
  </xdr:twoCellAnchor>
  <xdr:twoCellAnchor editAs="oneCell">
    <xdr:from>
      <xdr:col>8</xdr:col>
      <xdr:colOff>145143</xdr:colOff>
      <xdr:row>2</xdr:row>
      <xdr:rowOff>27213</xdr:rowOff>
    </xdr:from>
    <xdr:to>
      <xdr:col>8</xdr:col>
      <xdr:colOff>145143</xdr:colOff>
      <xdr:row>3</xdr:row>
      <xdr:rowOff>135429</xdr:rowOff>
    </xdr:to>
    <xdr:pic>
      <xdr:nvPicPr>
        <xdr:cNvPr id="3" name="Imagen 2" descr="Imagen que contiene Logotipo&#10;&#10;Descripción generada automáticamente">
          <a:extLst>
            <a:ext uri="{FF2B5EF4-FFF2-40B4-BE49-F238E27FC236}">
              <a16:creationId xmlns:a16="http://schemas.microsoft.com/office/drawing/2014/main" id="{EC991248-D7BC-480E-90A6-7A05C091509C}"/>
            </a:ext>
          </a:extLst>
        </xdr:cNvPr>
        <xdr:cNvPicPr>
          <a:picLocks noChangeAspect="1"/>
        </xdr:cNvPicPr>
      </xdr:nvPicPr>
      <xdr:blipFill>
        <a:blip xmlns:r="http://schemas.openxmlformats.org/officeDocument/2006/relationships" r:embed="rId2"/>
        <a:stretch>
          <a:fillRect/>
        </a:stretch>
      </xdr:blipFill>
      <xdr:spPr>
        <a:xfrm>
          <a:off x="9543143" y="382813"/>
          <a:ext cx="0" cy="28601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45357</xdr:colOff>
      <xdr:row>0</xdr:row>
      <xdr:rowOff>0</xdr:rowOff>
    </xdr:from>
    <xdr:to>
      <xdr:col>5</xdr:col>
      <xdr:colOff>1436005</xdr:colOff>
      <xdr:row>2</xdr:row>
      <xdr:rowOff>0</xdr:rowOff>
    </xdr:to>
    <xdr:pic>
      <xdr:nvPicPr>
        <xdr:cNvPr id="4" name="image1.png">
          <a:extLst>
            <a:ext uri="{FF2B5EF4-FFF2-40B4-BE49-F238E27FC236}">
              <a16:creationId xmlns:a16="http://schemas.microsoft.com/office/drawing/2014/main" id="{7783DEFB-E3E3-43DB-C400-C6F6C259A258}"/>
            </a:ext>
          </a:extLst>
        </xdr:cNvPr>
        <xdr:cNvPicPr/>
      </xdr:nvPicPr>
      <xdr:blipFill rotWithShape="1">
        <a:blip xmlns:r="http://schemas.openxmlformats.org/officeDocument/2006/relationships" r:embed="rId1"/>
        <a:srcRect l="67741" t="2807" r="11869" b="91123"/>
        <a:stretch/>
      </xdr:blipFill>
      <xdr:spPr bwMode="auto">
        <a:xfrm>
          <a:off x="8463643" y="0"/>
          <a:ext cx="1390648" cy="816429"/>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FF46A-EB7B-45DD-AE48-918FCCE66FA8}">
  <sheetPr codeName="Hoja1"/>
  <dimension ref="A1:AK33"/>
  <sheetViews>
    <sheetView showGridLines="0" tabSelected="1" view="pageBreakPreview" zoomScale="52" zoomScaleNormal="60" zoomScaleSheetLayoutView="38" workbookViewId="0">
      <selection activeCell="E5" sqref="E5"/>
    </sheetView>
  </sheetViews>
  <sheetFormatPr baseColWidth="10" defaultColWidth="9.1796875" defaultRowHeight="12.5"/>
  <cols>
    <col min="1" max="1" width="6.81640625" style="15" customWidth="1"/>
    <col min="2" max="2" width="82.453125" style="15" customWidth="1"/>
    <col min="3" max="5" width="22.08984375" style="15" customWidth="1"/>
    <col min="6" max="6" width="17.08984375" style="15" customWidth="1"/>
    <col min="7" max="8" width="17.08984375" style="16" customWidth="1"/>
    <col min="9" max="11" width="18.1796875" style="15" customWidth="1"/>
    <col min="12" max="12" width="22.26953125" style="15" bestFit="1" customWidth="1"/>
    <col min="13" max="19" width="18.1796875" style="15" customWidth="1"/>
    <col min="20" max="25" width="18.1796875" style="15" hidden="1" customWidth="1"/>
    <col min="26" max="27" width="19.1796875" style="15" customWidth="1"/>
    <col min="28" max="28" width="26.90625" style="15" customWidth="1"/>
    <col min="29" max="37" width="23.54296875" style="15" hidden="1" customWidth="1"/>
    <col min="38" max="16384" width="9.1796875" style="1"/>
  </cols>
  <sheetData>
    <row r="1" spans="1:37" s="3" customFormat="1" ht="33.75" customHeight="1">
      <c r="A1" s="100" t="s">
        <v>0</v>
      </c>
      <c r="B1" s="101"/>
      <c r="C1" s="101"/>
      <c r="D1" s="101"/>
      <c r="E1" s="101"/>
      <c r="F1" s="101"/>
      <c r="G1" s="101"/>
      <c r="H1" s="101"/>
      <c r="I1" s="101"/>
      <c r="J1" s="101"/>
      <c r="K1" s="101"/>
      <c r="L1" s="101"/>
      <c r="M1" s="101"/>
      <c r="N1" s="101"/>
      <c r="O1" s="101"/>
      <c r="P1" s="101"/>
      <c r="Q1" s="101"/>
      <c r="R1" s="101"/>
      <c r="S1" s="101"/>
      <c r="T1" s="101"/>
      <c r="U1" s="101"/>
      <c r="V1" s="101"/>
      <c r="W1" s="101"/>
      <c r="X1" s="101"/>
      <c r="Y1" s="102"/>
      <c r="Z1" s="90"/>
      <c r="AA1" s="91"/>
      <c r="AB1" s="92"/>
      <c r="AC1" s="1"/>
      <c r="AD1" s="1"/>
      <c r="AE1" s="1"/>
      <c r="AF1" s="2"/>
      <c r="AG1" s="2"/>
      <c r="AH1" s="2"/>
      <c r="AI1" s="2"/>
      <c r="AJ1" s="2"/>
      <c r="AK1" s="2"/>
    </row>
    <row r="2" spans="1:37" s="3" customFormat="1" ht="38.25" customHeight="1">
      <c r="A2" s="103" t="s">
        <v>1</v>
      </c>
      <c r="B2" s="104"/>
      <c r="C2" s="104"/>
      <c r="D2" s="104"/>
      <c r="E2" s="104"/>
      <c r="F2" s="104"/>
      <c r="G2" s="104"/>
      <c r="H2" s="104"/>
      <c r="I2" s="104"/>
      <c r="J2" s="104"/>
      <c r="K2" s="104"/>
      <c r="L2" s="104"/>
      <c r="M2" s="104"/>
      <c r="N2" s="104"/>
      <c r="O2" s="104"/>
      <c r="P2" s="104"/>
      <c r="Q2" s="104"/>
      <c r="R2" s="104"/>
      <c r="S2" s="104"/>
      <c r="T2" s="104"/>
      <c r="U2" s="104"/>
      <c r="V2" s="104"/>
      <c r="W2" s="104"/>
      <c r="X2" s="104"/>
      <c r="Y2" s="105"/>
      <c r="Z2" s="93"/>
      <c r="AA2" s="94"/>
      <c r="AB2" s="95"/>
      <c r="AC2" s="1"/>
      <c r="AD2" s="1"/>
      <c r="AE2" s="1"/>
      <c r="AF2" s="2"/>
      <c r="AG2" s="2"/>
      <c r="AH2" s="2"/>
      <c r="AI2" s="2"/>
      <c r="AJ2" s="2"/>
      <c r="AK2" s="2"/>
    </row>
    <row r="3" spans="1:37" ht="15.5">
      <c r="A3" s="96"/>
      <c r="B3" s="97"/>
      <c r="C3" s="97"/>
      <c r="D3" s="97"/>
      <c r="E3" s="97"/>
      <c r="F3" s="97"/>
      <c r="G3" s="97"/>
      <c r="H3" s="97"/>
      <c r="I3" s="97"/>
      <c r="J3" s="97"/>
      <c r="K3" s="97"/>
      <c r="L3" s="97"/>
      <c r="M3" s="97"/>
      <c r="N3" s="97"/>
      <c r="O3" s="97"/>
      <c r="P3" s="97"/>
      <c r="Q3" s="97"/>
      <c r="R3" s="97"/>
      <c r="S3" s="97"/>
      <c r="T3" s="97"/>
      <c r="U3" s="97"/>
      <c r="V3" s="97"/>
      <c r="W3" s="97"/>
      <c r="X3" s="97"/>
      <c r="Y3" s="97"/>
      <c r="Z3" s="97"/>
      <c r="AA3" s="97"/>
      <c r="AB3" s="98"/>
      <c r="AC3" s="86" t="s">
        <v>396</v>
      </c>
      <c r="AD3" s="87"/>
      <c r="AE3" s="87"/>
      <c r="AF3" s="87"/>
      <c r="AG3" s="87"/>
      <c r="AH3" s="87"/>
      <c r="AI3" s="87"/>
      <c r="AJ3" s="87"/>
      <c r="AK3" s="87"/>
    </row>
    <row r="4" spans="1:37" ht="58.5" customHeight="1">
      <c r="A4" s="121" t="s">
        <v>2</v>
      </c>
      <c r="B4" s="122"/>
      <c r="C4" s="122"/>
      <c r="D4" s="122"/>
      <c r="E4" s="122"/>
      <c r="F4" s="122"/>
      <c r="G4" s="122"/>
      <c r="H4" s="123"/>
      <c r="I4" s="88" t="s">
        <v>440</v>
      </c>
      <c r="J4" s="88"/>
      <c r="K4" s="99"/>
      <c r="L4" s="106" t="s">
        <v>29</v>
      </c>
      <c r="M4" s="107"/>
      <c r="N4" s="107"/>
      <c r="O4" s="107"/>
      <c r="P4" s="107"/>
      <c r="Q4" s="107"/>
      <c r="R4" s="107"/>
      <c r="S4" s="108"/>
      <c r="T4" s="106" t="s">
        <v>397</v>
      </c>
      <c r="U4" s="107"/>
      <c r="V4" s="107"/>
      <c r="W4" s="107"/>
      <c r="X4" s="107"/>
      <c r="Y4" s="108"/>
      <c r="Z4" s="109" t="str">
        <f>AC4</f>
        <v>PROMEDIO (INDEXACIÓN DE PRECIOS - PRECIOS DE REFERENCIA, ETC)</v>
      </c>
      <c r="AA4" s="109"/>
      <c r="AB4" s="110"/>
      <c r="AC4" s="88" t="s">
        <v>3</v>
      </c>
      <c r="AD4" s="88"/>
      <c r="AE4" s="89"/>
      <c r="AF4" s="88" t="s">
        <v>4</v>
      </c>
      <c r="AG4" s="88"/>
      <c r="AH4" s="89"/>
      <c r="AI4" s="88" t="s">
        <v>5</v>
      </c>
      <c r="AJ4" s="88"/>
      <c r="AK4" s="89"/>
    </row>
    <row r="5" spans="1:37" s="6" customFormat="1" ht="60" customHeight="1">
      <c r="A5" s="4" t="s">
        <v>6</v>
      </c>
      <c r="B5" s="5" t="s">
        <v>7</v>
      </c>
      <c r="C5" s="5" t="s">
        <v>416</v>
      </c>
      <c r="D5" s="5" t="s">
        <v>417</v>
      </c>
      <c r="E5" s="5" t="s">
        <v>437</v>
      </c>
      <c r="F5" s="5" t="s">
        <v>8</v>
      </c>
      <c r="G5" s="7" t="s">
        <v>439</v>
      </c>
      <c r="H5" s="7" t="s">
        <v>441</v>
      </c>
      <c r="I5" s="5" t="s">
        <v>30</v>
      </c>
      <c r="J5" s="5" t="s">
        <v>10</v>
      </c>
      <c r="K5" s="5" t="s">
        <v>11</v>
      </c>
      <c r="L5" s="5" t="s">
        <v>488</v>
      </c>
      <c r="M5" s="5" t="s">
        <v>489</v>
      </c>
      <c r="N5" s="5" t="s">
        <v>491</v>
      </c>
      <c r="O5" s="5" t="s">
        <v>490</v>
      </c>
      <c r="P5" s="5" t="s">
        <v>442</v>
      </c>
      <c r="Q5" s="5" t="s">
        <v>443</v>
      </c>
      <c r="R5" s="5" t="s">
        <v>10</v>
      </c>
      <c r="S5" s="5" t="s">
        <v>11</v>
      </c>
      <c r="T5" s="5" t="s">
        <v>398</v>
      </c>
      <c r="U5" s="5" t="s">
        <v>399</v>
      </c>
      <c r="V5" s="5" t="s">
        <v>400</v>
      </c>
      <c r="W5" s="5" t="s">
        <v>401</v>
      </c>
      <c r="X5" s="5" t="s">
        <v>402</v>
      </c>
      <c r="Y5" s="5" t="s">
        <v>403</v>
      </c>
      <c r="Z5" s="5" t="s">
        <v>30</v>
      </c>
      <c r="AA5" s="5" t="s">
        <v>10</v>
      </c>
      <c r="AB5" s="5" t="s">
        <v>11</v>
      </c>
      <c r="AC5" s="5" t="s">
        <v>30</v>
      </c>
      <c r="AD5" s="5" t="s">
        <v>10</v>
      </c>
      <c r="AE5" s="5" t="s">
        <v>11</v>
      </c>
      <c r="AF5" s="5" t="s">
        <v>30</v>
      </c>
      <c r="AG5" s="5" t="s">
        <v>10</v>
      </c>
      <c r="AH5" s="5" t="s">
        <v>11</v>
      </c>
      <c r="AI5" s="5" t="s">
        <v>30</v>
      </c>
      <c r="AJ5" s="5" t="s">
        <v>10</v>
      </c>
      <c r="AK5" s="5" t="s">
        <v>11</v>
      </c>
    </row>
    <row r="6" spans="1:37" ht="87" customHeight="1">
      <c r="A6" s="8" t="s">
        <v>13</v>
      </c>
      <c r="B6" s="48" t="s">
        <v>404</v>
      </c>
      <c r="C6" s="52" t="s">
        <v>418</v>
      </c>
      <c r="D6" s="52" t="s">
        <v>419</v>
      </c>
      <c r="E6" s="80">
        <v>2244.4</v>
      </c>
      <c r="F6" s="53" t="s">
        <v>438</v>
      </c>
      <c r="G6" s="57">
        <v>1</v>
      </c>
      <c r="H6" s="59">
        <v>0.19</v>
      </c>
      <c r="I6" s="17">
        <v>35600000</v>
      </c>
      <c r="J6" s="60">
        <f>ROUND(H6*I6+I6,0)</f>
        <v>42364000</v>
      </c>
      <c r="K6" s="60">
        <f>ROUND(J6*G6,0)</f>
        <v>42364000</v>
      </c>
      <c r="L6" s="85">
        <v>2671</v>
      </c>
      <c r="M6" s="60">
        <v>13061190</v>
      </c>
      <c r="N6" s="60">
        <f>M6/L6</f>
        <v>4890</v>
      </c>
      <c r="O6" s="84">
        <f>N6*E6</f>
        <v>10975116</v>
      </c>
      <c r="P6" s="17">
        <f>ROUND(O6*(1+5.2%),0)</f>
        <v>11545822</v>
      </c>
      <c r="Q6" s="17">
        <f>ROUND(P6*(1+5.1%),0)</f>
        <v>12134659</v>
      </c>
      <c r="R6" s="60">
        <f t="shared" ref="R6:R17" si="0">ROUND(H6*Q6+Q6,0)</f>
        <v>14440244</v>
      </c>
      <c r="S6" s="60">
        <f t="shared" ref="S6:S17" si="1">ROUND(R6*G6,0)</f>
        <v>14440244</v>
      </c>
      <c r="T6" s="44">
        <f t="shared" ref="T6:T17" si="2">I6/$AC6-1</f>
        <v>0.49157865584462113</v>
      </c>
      <c r="U6" s="42" t="e">
        <f>#REF!/$AC6-1</f>
        <v>#REF!</v>
      </c>
      <c r="V6" s="43" t="e">
        <f>#REF!/$AC6-1</f>
        <v>#REF!</v>
      </c>
      <c r="W6" s="43" t="e">
        <f>#REF!/$AC6-1</f>
        <v>#REF!</v>
      </c>
      <c r="X6" s="42" t="e">
        <f>#REF!/$AC6-1</f>
        <v>#REF!</v>
      </c>
      <c r="Y6" s="42" t="e">
        <f>#REF!/$AC6-1</f>
        <v>#REF!</v>
      </c>
      <c r="Z6" s="9">
        <f>AC6</f>
        <v>23867330</v>
      </c>
      <c r="AA6" s="60">
        <f>ROUND($H6*Z6+Z6,0)</f>
        <v>28402123</v>
      </c>
      <c r="AB6" s="60">
        <f>ROUND(AA6*$G6,0)</f>
        <v>28402123</v>
      </c>
      <c r="AC6" s="10">
        <f>ROUND(AVERAGE($I6,$Q6),0)</f>
        <v>23867330</v>
      </c>
      <c r="AD6" s="60">
        <f>ROUND($H6*AC6+AC6,0)</f>
        <v>28402123</v>
      </c>
      <c r="AE6" s="60">
        <f>ROUND(AD6*$G6,0)</f>
        <v>28402123</v>
      </c>
      <c r="AF6" s="10">
        <f>ROUND(GEOMEAN($I6,$Q6),0)</f>
        <v>20784462</v>
      </c>
      <c r="AG6" s="60">
        <f>ROUND($H6*AF6+AF6,0)</f>
        <v>24733510</v>
      </c>
      <c r="AH6" s="60">
        <f>ROUND(AG6*$G6,0)</f>
        <v>24733510</v>
      </c>
      <c r="AI6" s="10">
        <f>ROUND(HARMEAN($I6,$Q6),0)</f>
        <v>18099799</v>
      </c>
      <c r="AJ6" s="60">
        <f>ROUND($H6*AI6+AI6,0)</f>
        <v>21538761</v>
      </c>
      <c r="AK6" s="60">
        <f>ROUND(AJ6*$G6,0)</f>
        <v>21538761</v>
      </c>
    </row>
    <row r="7" spans="1:37" ht="87" customHeight="1">
      <c r="A7" s="8" t="s">
        <v>14</v>
      </c>
      <c r="B7" s="49" t="s">
        <v>405</v>
      </c>
      <c r="C7" s="52" t="s">
        <v>420</v>
      </c>
      <c r="D7" s="52" t="s">
        <v>421</v>
      </c>
      <c r="E7" s="80">
        <v>690.68</v>
      </c>
      <c r="F7" s="53" t="s">
        <v>438</v>
      </c>
      <c r="G7" s="57">
        <v>1</v>
      </c>
      <c r="H7" s="59">
        <v>0.19</v>
      </c>
      <c r="I7" s="17">
        <v>4450000</v>
      </c>
      <c r="J7" s="60">
        <f t="shared" ref="J7:J17" si="3">ROUND(H7*I7+I7,0)</f>
        <v>5295500</v>
      </c>
      <c r="K7" s="60">
        <f t="shared" ref="K7:K17" si="4">ROUND(J7*G7,0)</f>
        <v>5295500</v>
      </c>
      <c r="L7" s="85">
        <v>72.38</v>
      </c>
      <c r="M7" s="60">
        <v>817918</v>
      </c>
      <c r="N7" s="60">
        <f t="shared" ref="N7:N17" si="5">M7/L7</f>
        <v>11300.331583310308</v>
      </c>
      <c r="O7" s="84">
        <f>N7*E7</f>
        <v>7804913.0179607626</v>
      </c>
      <c r="P7" s="17">
        <f t="shared" ref="P7:P17" si="6">ROUND(O7*(1+5.2%),0)</f>
        <v>8210768</v>
      </c>
      <c r="Q7" s="17">
        <f t="shared" ref="Q7:Q17" si="7">ROUND(P7*(1+5.1%),0)</f>
        <v>8629517</v>
      </c>
      <c r="R7" s="60">
        <f t="shared" si="0"/>
        <v>10269125</v>
      </c>
      <c r="S7" s="60">
        <f t="shared" si="1"/>
        <v>10269125</v>
      </c>
      <c r="T7" s="43">
        <f t="shared" si="2"/>
        <v>-0.31954679063861524</v>
      </c>
      <c r="U7" s="43" t="e">
        <f>#REF!/$AC7-1</f>
        <v>#REF!</v>
      </c>
      <c r="V7" s="44" t="e">
        <f>#REF!/$AC7-1</f>
        <v>#REF!</v>
      </c>
      <c r="W7" s="42" t="e">
        <f>#REF!/$AC7-1</f>
        <v>#REF!</v>
      </c>
      <c r="X7" s="43" t="e">
        <f>#REF!/$AC7-1</f>
        <v>#REF!</v>
      </c>
      <c r="Y7" s="43" t="e">
        <f>#REF!/$AC7-1</f>
        <v>#REF!</v>
      </c>
      <c r="Z7" s="9">
        <f t="shared" ref="Z7:Z17" si="8">AC7</f>
        <v>6539759</v>
      </c>
      <c r="AA7" s="60">
        <f t="shared" ref="AA7:AA17" si="9">ROUND($H7*Z7+Z7,0)</f>
        <v>7782313</v>
      </c>
      <c r="AB7" s="60">
        <f t="shared" ref="AB7:AB17" si="10">ROUND(AA7*$G7,0)</f>
        <v>7782313</v>
      </c>
      <c r="AC7" s="10">
        <f t="shared" ref="AC7:AC17" si="11">ROUND(AVERAGE($I7,$Q7),0)</f>
        <v>6539759</v>
      </c>
      <c r="AD7" s="60">
        <f t="shared" ref="AD7:AD17" si="12">ROUND($H7*AC7+AC7,0)</f>
        <v>7782313</v>
      </c>
      <c r="AE7" s="60">
        <f t="shared" ref="AE7:AE17" si="13">ROUND(AD7*$G7,0)</f>
        <v>7782313</v>
      </c>
      <c r="AF7" s="10">
        <f t="shared" ref="AF7:AF17" si="14">ROUND(GEOMEAN($I7,$Q7),0)</f>
        <v>6196882</v>
      </c>
      <c r="AG7" s="60">
        <f t="shared" ref="AG7:AG17" si="15">ROUND($H7*AF7+AF7,0)</f>
        <v>7374290</v>
      </c>
      <c r="AH7" s="60">
        <f t="shared" ref="AH7:AH17" si="16">ROUND(AG7*$G7,0)</f>
        <v>7374290</v>
      </c>
      <c r="AI7" s="10">
        <f t="shared" ref="AI7:AI17" si="17">ROUND(HARMEAN($I7,$Q7),0)</f>
        <v>5871983</v>
      </c>
      <c r="AJ7" s="60">
        <f t="shared" ref="AJ7:AJ17" si="18">ROUND($H7*AI7+AI7,0)</f>
        <v>6987660</v>
      </c>
      <c r="AK7" s="60">
        <f t="shared" ref="AK7:AK17" si="19">ROUND(AJ7*$G7,0)</f>
        <v>6987660</v>
      </c>
    </row>
    <row r="8" spans="1:37" ht="87" customHeight="1">
      <c r="A8" s="8" t="s">
        <v>15</v>
      </c>
      <c r="B8" s="49" t="s">
        <v>406</v>
      </c>
      <c r="C8" s="52" t="s">
        <v>420</v>
      </c>
      <c r="D8" s="52" t="s">
        <v>422</v>
      </c>
      <c r="E8" s="80">
        <v>60</v>
      </c>
      <c r="F8" s="53" t="s">
        <v>438</v>
      </c>
      <c r="G8" s="57">
        <v>1</v>
      </c>
      <c r="H8" s="59">
        <v>0.19</v>
      </c>
      <c r="I8" s="17">
        <v>3200000</v>
      </c>
      <c r="J8" s="60">
        <f t="shared" si="3"/>
        <v>3808000</v>
      </c>
      <c r="K8" s="60">
        <f t="shared" si="4"/>
        <v>3808000</v>
      </c>
      <c r="L8" s="85">
        <v>0</v>
      </c>
      <c r="M8" s="60">
        <v>0</v>
      </c>
      <c r="N8" s="60">
        <v>0</v>
      </c>
      <c r="O8" s="84">
        <f t="shared" ref="O8:O17" si="20">N8*E8</f>
        <v>0</v>
      </c>
      <c r="P8" s="17">
        <f t="shared" si="6"/>
        <v>0</v>
      </c>
      <c r="Q8" s="17">
        <f t="shared" si="7"/>
        <v>0</v>
      </c>
      <c r="R8" s="60">
        <f t="shared" si="0"/>
        <v>0</v>
      </c>
      <c r="S8" s="60">
        <f t="shared" si="1"/>
        <v>0</v>
      </c>
      <c r="T8" s="42">
        <f t="shared" si="2"/>
        <v>0</v>
      </c>
      <c r="U8" s="43" t="e">
        <f>#REF!/$AC8-1</f>
        <v>#REF!</v>
      </c>
      <c r="V8" s="44" t="e">
        <f>#REF!/$AC8-1</f>
        <v>#REF!</v>
      </c>
      <c r="W8" s="42" t="e">
        <f>#REF!/$AC8-1</f>
        <v>#REF!</v>
      </c>
      <c r="X8" s="43" t="e">
        <f>#REF!/$AC8-1</f>
        <v>#REF!</v>
      </c>
      <c r="Y8" s="43" t="e">
        <f>#REF!/$AC8-1</f>
        <v>#REF!</v>
      </c>
      <c r="Z8" s="9">
        <f t="shared" si="8"/>
        <v>3200000</v>
      </c>
      <c r="AA8" s="60">
        <f t="shared" si="9"/>
        <v>3808000</v>
      </c>
      <c r="AB8" s="60">
        <f t="shared" si="10"/>
        <v>3808000</v>
      </c>
      <c r="AC8" s="10">
        <f>ROUND(AVERAGE($I8),0)</f>
        <v>3200000</v>
      </c>
      <c r="AD8" s="60">
        <f t="shared" si="12"/>
        <v>3808000</v>
      </c>
      <c r="AE8" s="60">
        <f t="shared" si="13"/>
        <v>3808000</v>
      </c>
      <c r="AF8" s="10">
        <f>ROUND(GEOMEAN($I8),0)</f>
        <v>3200000</v>
      </c>
      <c r="AG8" s="60">
        <f t="shared" si="15"/>
        <v>3808000</v>
      </c>
      <c r="AH8" s="60">
        <f t="shared" si="16"/>
        <v>3808000</v>
      </c>
      <c r="AI8" s="10">
        <f>ROUND(HARMEAN($I8),0)</f>
        <v>3200000</v>
      </c>
      <c r="AJ8" s="60">
        <f t="shared" si="18"/>
        <v>3808000</v>
      </c>
      <c r="AK8" s="60">
        <f t="shared" si="19"/>
        <v>3808000</v>
      </c>
    </row>
    <row r="9" spans="1:37" ht="87" customHeight="1">
      <c r="A9" s="8" t="s">
        <v>17</v>
      </c>
      <c r="B9" s="49" t="s">
        <v>407</v>
      </c>
      <c r="C9" s="52" t="s">
        <v>423</v>
      </c>
      <c r="D9" s="52" t="s">
        <v>424</v>
      </c>
      <c r="E9" s="80">
        <v>551.41999999999996</v>
      </c>
      <c r="F9" s="53" t="s">
        <v>438</v>
      </c>
      <c r="G9" s="57">
        <v>1</v>
      </c>
      <c r="H9" s="59">
        <v>0.19</v>
      </c>
      <c r="I9" s="17">
        <v>5200000</v>
      </c>
      <c r="J9" s="60">
        <f t="shared" si="3"/>
        <v>6188000</v>
      </c>
      <c r="K9" s="60">
        <f t="shared" si="4"/>
        <v>6188000</v>
      </c>
      <c r="L9" s="85">
        <v>381.94</v>
      </c>
      <c r="M9" s="60">
        <v>1897144</v>
      </c>
      <c r="N9" s="60">
        <f t="shared" si="5"/>
        <v>4967.1257265539089</v>
      </c>
      <c r="O9" s="84">
        <f t="shared" si="20"/>
        <v>2738972.4681363562</v>
      </c>
      <c r="P9" s="17">
        <f t="shared" si="6"/>
        <v>2881399</v>
      </c>
      <c r="Q9" s="17">
        <f t="shared" si="7"/>
        <v>3028350</v>
      </c>
      <c r="R9" s="60">
        <f t="shared" si="0"/>
        <v>3603737</v>
      </c>
      <c r="S9" s="60">
        <f t="shared" si="1"/>
        <v>3603737</v>
      </c>
      <c r="T9" s="43">
        <f t="shared" si="2"/>
        <v>0.26392290070305702</v>
      </c>
      <c r="U9" s="42" t="e">
        <f>#REF!/$AC9-1</f>
        <v>#REF!</v>
      </c>
      <c r="V9" s="42" t="e">
        <f>#REF!/$AC9-1</f>
        <v>#REF!</v>
      </c>
      <c r="W9" s="44" t="e">
        <f>#REF!/$AC9-1</f>
        <v>#REF!</v>
      </c>
      <c r="X9" s="43" t="e">
        <f>#REF!/$AC9-1</f>
        <v>#REF!</v>
      </c>
      <c r="Y9" s="42" t="e">
        <f>#REF!/$AC9-1</f>
        <v>#REF!</v>
      </c>
      <c r="Z9" s="9">
        <f t="shared" si="8"/>
        <v>4114175</v>
      </c>
      <c r="AA9" s="60">
        <f t="shared" si="9"/>
        <v>4895868</v>
      </c>
      <c r="AB9" s="60">
        <f t="shared" si="10"/>
        <v>4895868</v>
      </c>
      <c r="AC9" s="10">
        <f t="shared" si="11"/>
        <v>4114175</v>
      </c>
      <c r="AD9" s="60">
        <f t="shared" si="12"/>
        <v>4895868</v>
      </c>
      <c r="AE9" s="60">
        <f t="shared" si="13"/>
        <v>4895868</v>
      </c>
      <c r="AF9" s="10">
        <f t="shared" si="14"/>
        <v>3968302</v>
      </c>
      <c r="AG9" s="60">
        <f t="shared" si="15"/>
        <v>4722279</v>
      </c>
      <c r="AH9" s="60">
        <f t="shared" si="16"/>
        <v>4722279</v>
      </c>
      <c r="AI9" s="10">
        <f t="shared" si="17"/>
        <v>3827601</v>
      </c>
      <c r="AJ9" s="60">
        <f t="shared" si="18"/>
        <v>4554845</v>
      </c>
      <c r="AK9" s="60">
        <f t="shared" si="19"/>
        <v>4554845</v>
      </c>
    </row>
    <row r="10" spans="1:37" ht="87" customHeight="1">
      <c r="A10" s="8" t="s">
        <v>18</v>
      </c>
      <c r="B10" s="49" t="s">
        <v>408</v>
      </c>
      <c r="C10" s="52" t="s">
        <v>425</v>
      </c>
      <c r="D10" s="52" t="s">
        <v>426</v>
      </c>
      <c r="E10" s="80">
        <v>1166</v>
      </c>
      <c r="F10" s="53" t="s">
        <v>438</v>
      </c>
      <c r="G10" s="57">
        <v>1</v>
      </c>
      <c r="H10" s="59">
        <v>0.19</v>
      </c>
      <c r="I10" s="17">
        <v>8300000</v>
      </c>
      <c r="J10" s="60">
        <f t="shared" si="3"/>
        <v>9877000</v>
      </c>
      <c r="K10" s="60">
        <f t="shared" si="4"/>
        <v>9877000</v>
      </c>
      <c r="L10" s="85">
        <v>1115</v>
      </c>
      <c r="M10" s="60">
        <v>6002417</v>
      </c>
      <c r="N10" s="60">
        <f t="shared" si="5"/>
        <v>5383.3336322869955</v>
      </c>
      <c r="O10" s="84">
        <f t="shared" si="20"/>
        <v>6276967.0152466362</v>
      </c>
      <c r="P10" s="17">
        <f t="shared" si="6"/>
        <v>6603369</v>
      </c>
      <c r="Q10" s="17">
        <f t="shared" si="7"/>
        <v>6940141</v>
      </c>
      <c r="R10" s="60">
        <f t="shared" si="0"/>
        <v>8258768</v>
      </c>
      <c r="S10" s="60">
        <f t="shared" si="1"/>
        <v>8258768</v>
      </c>
      <c r="T10" s="42">
        <f t="shared" si="2"/>
        <v>8.9228696163067278E-2</v>
      </c>
      <c r="U10" s="42" t="e">
        <f>#REF!/$AC10-1</f>
        <v>#REF!</v>
      </c>
      <c r="V10" s="42" t="e">
        <f>#REF!/$AC10-1</f>
        <v>#REF!</v>
      </c>
      <c r="W10" s="42" t="e">
        <f>#REF!/$AC10-1</f>
        <v>#REF!</v>
      </c>
      <c r="X10" s="43" t="e">
        <f>#REF!/$AC10-1</f>
        <v>#REF!</v>
      </c>
      <c r="Y10" s="43" t="e">
        <f>#REF!/$AC10-1</f>
        <v>#REF!</v>
      </c>
      <c r="Z10" s="9">
        <f t="shared" si="8"/>
        <v>7620071</v>
      </c>
      <c r="AA10" s="60">
        <f t="shared" si="9"/>
        <v>9067884</v>
      </c>
      <c r="AB10" s="60">
        <f t="shared" si="10"/>
        <v>9067884</v>
      </c>
      <c r="AC10" s="10">
        <f t="shared" si="11"/>
        <v>7620071</v>
      </c>
      <c r="AD10" s="60">
        <f t="shared" si="12"/>
        <v>9067884</v>
      </c>
      <c r="AE10" s="60">
        <f t="shared" si="13"/>
        <v>9067884</v>
      </c>
      <c r="AF10" s="10">
        <f t="shared" si="14"/>
        <v>7589675</v>
      </c>
      <c r="AG10" s="60">
        <f t="shared" si="15"/>
        <v>9031713</v>
      </c>
      <c r="AH10" s="60">
        <f t="shared" si="16"/>
        <v>9031713</v>
      </c>
      <c r="AI10" s="10">
        <f t="shared" si="17"/>
        <v>7559401</v>
      </c>
      <c r="AJ10" s="60">
        <f t="shared" si="18"/>
        <v>8995687</v>
      </c>
      <c r="AK10" s="60">
        <f t="shared" si="19"/>
        <v>8995687</v>
      </c>
    </row>
    <row r="11" spans="1:37" ht="87" customHeight="1">
      <c r="A11" s="8" t="s">
        <v>19</v>
      </c>
      <c r="B11" s="49" t="s">
        <v>409</v>
      </c>
      <c r="C11" s="52" t="s">
        <v>427</v>
      </c>
      <c r="D11" s="52" t="s">
        <v>428</v>
      </c>
      <c r="E11" s="80">
        <v>627</v>
      </c>
      <c r="F11" s="53" t="s">
        <v>438</v>
      </c>
      <c r="G11" s="57">
        <v>1</v>
      </c>
      <c r="H11" s="59">
        <v>0.19</v>
      </c>
      <c r="I11" s="17">
        <v>5200000</v>
      </c>
      <c r="J11" s="60">
        <f t="shared" si="3"/>
        <v>6188000</v>
      </c>
      <c r="K11" s="60">
        <f t="shared" si="4"/>
        <v>6188000</v>
      </c>
      <c r="L11" s="85">
        <v>627</v>
      </c>
      <c r="M11" s="60">
        <v>2972398</v>
      </c>
      <c r="N11" s="60">
        <f t="shared" si="5"/>
        <v>4740.666666666667</v>
      </c>
      <c r="O11" s="84">
        <f t="shared" si="20"/>
        <v>2972398</v>
      </c>
      <c r="P11" s="17">
        <f t="shared" si="6"/>
        <v>3126963</v>
      </c>
      <c r="Q11" s="17">
        <f t="shared" si="7"/>
        <v>3286438</v>
      </c>
      <c r="R11" s="60">
        <f t="shared" si="0"/>
        <v>3910861</v>
      </c>
      <c r="S11" s="60">
        <f t="shared" si="1"/>
        <v>3910861</v>
      </c>
      <c r="T11" s="43">
        <f t="shared" si="2"/>
        <v>0.22548470866104253</v>
      </c>
      <c r="U11" s="42" t="e">
        <f>#REF!/$AC11-1</f>
        <v>#REF!</v>
      </c>
      <c r="V11" s="42" t="e">
        <f>#REF!/$AC11-1</f>
        <v>#REF!</v>
      </c>
      <c r="W11" s="43" t="e">
        <f>#REF!/$AC11-1</f>
        <v>#REF!</v>
      </c>
      <c r="X11" s="43" t="e">
        <f>#REF!/$AC11-1</f>
        <v>#REF!</v>
      </c>
      <c r="Y11" s="43" t="e">
        <f>#REF!/$AC11-1</f>
        <v>#REF!</v>
      </c>
      <c r="Z11" s="9">
        <f t="shared" si="8"/>
        <v>4243219</v>
      </c>
      <c r="AA11" s="60">
        <f t="shared" si="9"/>
        <v>5049431</v>
      </c>
      <c r="AB11" s="60">
        <f t="shared" si="10"/>
        <v>5049431</v>
      </c>
      <c r="AC11" s="10">
        <f t="shared" si="11"/>
        <v>4243219</v>
      </c>
      <c r="AD11" s="60">
        <f t="shared" si="12"/>
        <v>5049431</v>
      </c>
      <c r="AE11" s="60">
        <f t="shared" si="13"/>
        <v>5049431</v>
      </c>
      <c r="AF11" s="10">
        <f t="shared" si="14"/>
        <v>4133942</v>
      </c>
      <c r="AG11" s="60">
        <f t="shared" si="15"/>
        <v>4919391</v>
      </c>
      <c r="AH11" s="60">
        <f t="shared" si="16"/>
        <v>4919391</v>
      </c>
      <c r="AI11" s="10">
        <f t="shared" si="17"/>
        <v>4027480</v>
      </c>
      <c r="AJ11" s="60">
        <f t="shared" si="18"/>
        <v>4792701</v>
      </c>
      <c r="AK11" s="60">
        <f t="shared" si="19"/>
        <v>4792701</v>
      </c>
    </row>
    <row r="12" spans="1:37" ht="87" customHeight="1">
      <c r="A12" s="8" t="s">
        <v>20</v>
      </c>
      <c r="B12" s="49" t="s">
        <v>410</v>
      </c>
      <c r="C12" s="52" t="s">
        <v>429</v>
      </c>
      <c r="D12" s="52" t="s">
        <v>430</v>
      </c>
      <c r="E12" s="81">
        <v>595.59</v>
      </c>
      <c r="F12" s="53" t="s">
        <v>438</v>
      </c>
      <c r="G12" s="57">
        <v>1</v>
      </c>
      <c r="H12" s="59">
        <v>0.19</v>
      </c>
      <c r="I12" s="17">
        <v>5200000</v>
      </c>
      <c r="J12" s="60">
        <f t="shared" si="3"/>
        <v>6188000</v>
      </c>
      <c r="K12" s="60">
        <f t="shared" si="4"/>
        <v>6188000</v>
      </c>
      <c r="L12" s="85">
        <v>200</v>
      </c>
      <c r="M12" s="60">
        <v>1261700</v>
      </c>
      <c r="N12" s="60">
        <f t="shared" si="5"/>
        <v>6308.5</v>
      </c>
      <c r="O12" s="84">
        <f t="shared" si="20"/>
        <v>3757279.5150000001</v>
      </c>
      <c r="P12" s="17">
        <f t="shared" si="6"/>
        <v>3952658</v>
      </c>
      <c r="Q12" s="17">
        <f t="shared" si="7"/>
        <v>4154244</v>
      </c>
      <c r="R12" s="60">
        <f t="shared" si="0"/>
        <v>4943550</v>
      </c>
      <c r="S12" s="60">
        <f t="shared" si="1"/>
        <v>4943550</v>
      </c>
      <c r="T12" s="43">
        <f t="shared" si="2"/>
        <v>0.11179481741121999</v>
      </c>
      <c r="U12" s="42" t="e">
        <f>#REF!/$AC12-1</f>
        <v>#REF!</v>
      </c>
      <c r="V12" s="42" t="e">
        <f>#REF!/$AC12-1</f>
        <v>#REF!</v>
      </c>
      <c r="W12" s="42" t="e">
        <f>#REF!/$AC12-1</f>
        <v>#REF!</v>
      </c>
      <c r="X12" s="43" t="e">
        <f>#REF!/$AC12-1</f>
        <v>#REF!</v>
      </c>
      <c r="Y12" s="43" t="e">
        <f>#REF!/$AC12-1</f>
        <v>#REF!</v>
      </c>
      <c r="Z12" s="9">
        <f t="shared" si="8"/>
        <v>4677122</v>
      </c>
      <c r="AA12" s="60">
        <f t="shared" si="9"/>
        <v>5565775</v>
      </c>
      <c r="AB12" s="60">
        <f t="shared" si="10"/>
        <v>5565775</v>
      </c>
      <c r="AC12" s="10">
        <f t="shared" si="11"/>
        <v>4677122</v>
      </c>
      <c r="AD12" s="60">
        <f t="shared" si="12"/>
        <v>5565775</v>
      </c>
      <c r="AE12" s="60">
        <f t="shared" si="13"/>
        <v>5565775</v>
      </c>
      <c r="AF12" s="10">
        <f t="shared" si="14"/>
        <v>4647803</v>
      </c>
      <c r="AG12" s="60">
        <f t="shared" si="15"/>
        <v>5530886</v>
      </c>
      <c r="AH12" s="60">
        <f t="shared" si="16"/>
        <v>5530886</v>
      </c>
      <c r="AI12" s="10">
        <f t="shared" si="17"/>
        <v>4618667</v>
      </c>
      <c r="AJ12" s="60">
        <f t="shared" si="18"/>
        <v>5496214</v>
      </c>
      <c r="AK12" s="60">
        <f t="shared" si="19"/>
        <v>5496214</v>
      </c>
    </row>
    <row r="13" spans="1:37" ht="87" customHeight="1">
      <c r="A13" s="8" t="s">
        <v>21</v>
      </c>
      <c r="B13" s="49" t="s">
        <v>411</v>
      </c>
      <c r="C13" s="52" t="s">
        <v>431</v>
      </c>
      <c r="D13" s="52" t="s">
        <v>432</v>
      </c>
      <c r="E13" s="82">
        <v>1583.58</v>
      </c>
      <c r="F13" s="53" t="s">
        <v>438</v>
      </c>
      <c r="G13" s="57">
        <v>1</v>
      </c>
      <c r="H13" s="59">
        <v>0.19</v>
      </c>
      <c r="I13" s="17">
        <v>4750740</v>
      </c>
      <c r="J13" s="60">
        <f t="shared" si="3"/>
        <v>5653381</v>
      </c>
      <c r="K13" s="60">
        <f t="shared" si="4"/>
        <v>5653381</v>
      </c>
      <c r="L13" s="85">
        <v>1700</v>
      </c>
      <c r="M13" s="60">
        <v>5978333</v>
      </c>
      <c r="N13" s="60">
        <f t="shared" si="5"/>
        <v>3516.6664705882354</v>
      </c>
      <c r="O13" s="84">
        <f t="shared" si="20"/>
        <v>5568922.6894941172</v>
      </c>
      <c r="P13" s="17">
        <f t="shared" si="6"/>
        <v>5858507</v>
      </c>
      <c r="Q13" s="17">
        <f t="shared" si="7"/>
        <v>6157291</v>
      </c>
      <c r="R13" s="60">
        <f t="shared" si="0"/>
        <v>7327176</v>
      </c>
      <c r="S13" s="60">
        <f t="shared" si="1"/>
        <v>7327176</v>
      </c>
      <c r="T13" s="42">
        <f t="shared" si="2"/>
        <v>-0.1289464497353876</v>
      </c>
      <c r="U13" s="42" t="e">
        <f>#REF!/$AC13-1</f>
        <v>#REF!</v>
      </c>
      <c r="V13" s="42" t="e">
        <f>#REF!/$AC13-1</f>
        <v>#REF!</v>
      </c>
      <c r="W13" s="42" t="e">
        <f>#REF!/$AC13-1</f>
        <v>#REF!</v>
      </c>
      <c r="X13" s="43" t="e">
        <f>#REF!/$AC13-1</f>
        <v>#REF!</v>
      </c>
      <c r="Y13" s="42" t="e">
        <f>#REF!/$AC13-1</f>
        <v>#REF!</v>
      </c>
      <c r="Z13" s="9">
        <f t="shared" si="8"/>
        <v>5454016</v>
      </c>
      <c r="AA13" s="60">
        <f t="shared" si="9"/>
        <v>6490279</v>
      </c>
      <c r="AB13" s="60">
        <f t="shared" si="10"/>
        <v>6490279</v>
      </c>
      <c r="AC13" s="10">
        <f t="shared" si="11"/>
        <v>5454016</v>
      </c>
      <c r="AD13" s="60">
        <f t="shared" si="12"/>
        <v>6490279</v>
      </c>
      <c r="AE13" s="60">
        <f t="shared" si="13"/>
        <v>6490279</v>
      </c>
      <c r="AF13" s="10">
        <f t="shared" si="14"/>
        <v>5408483</v>
      </c>
      <c r="AG13" s="60">
        <f t="shared" si="15"/>
        <v>6436095</v>
      </c>
      <c r="AH13" s="60">
        <f t="shared" si="16"/>
        <v>6436095</v>
      </c>
      <c r="AI13" s="10">
        <f t="shared" si="17"/>
        <v>5363331</v>
      </c>
      <c r="AJ13" s="60">
        <f t="shared" si="18"/>
        <v>6382364</v>
      </c>
      <c r="AK13" s="60">
        <f t="shared" si="19"/>
        <v>6382364</v>
      </c>
    </row>
    <row r="14" spans="1:37" ht="87" customHeight="1">
      <c r="A14" s="8" t="s">
        <v>22</v>
      </c>
      <c r="B14" s="49" t="s">
        <v>412</v>
      </c>
      <c r="C14" s="52" t="s">
        <v>431</v>
      </c>
      <c r="D14" s="52" t="s">
        <v>433</v>
      </c>
      <c r="E14" s="82">
        <v>858</v>
      </c>
      <c r="F14" s="53" t="s">
        <v>438</v>
      </c>
      <c r="G14" s="57">
        <v>1</v>
      </c>
      <c r="H14" s="59">
        <v>0.19</v>
      </c>
      <c r="I14" s="17">
        <v>2574000</v>
      </c>
      <c r="J14" s="60">
        <f t="shared" si="3"/>
        <v>3063060</v>
      </c>
      <c r="K14" s="60">
        <f t="shared" si="4"/>
        <v>3063060</v>
      </c>
      <c r="L14" s="85">
        <v>978</v>
      </c>
      <c r="M14" s="60">
        <v>3463900</v>
      </c>
      <c r="N14" s="60">
        <f t="shared" si="5"/>
        <v>3541.8200408997955</v>
      </c>
      <c r="O14" s="84">
        <f t="shared" si="20"/>
        <v>3038881.5950920247</v>
      </c>
      <c r="P14" s="17">
        <f t="shared" si="6"/>
        <v>3196903</v>
      </c>
      <c r="Q14" s="17">
        <f t="shared" si="7"/>
        <v>3359945</v>
      </c>
      <c r="R14" s="60">
        <f t="shared" si="0"/>
        <v>3998335</v>
      </c>
      <c r="S14" s="60">
        <f t="shared" si="1"/>
        <v>3998335</v>
      </c>
      <c r="T14" s="42">
        <f t="shared" si="2"/>
        <v>-0.13244913249968904</v>
      </c>
      <c r="U14" s="44" t="e">
        <f>#REF!/$AC14-1</f>
        <v>#REF!</v>
      </c>
      <c r="V14" s="43" t="e">
        <f>#REF!/$AC14-1</f>
        <v>#REF!</v>
      </c>
      <c r="W14" s="44" t="e">
        <f>#REF!/$AC14-1</f>
        <v>#REF!</v>
      </c>
      <c r="X14" s="42" t="e">
        <f>#REF!/$AC14-1</f>
        <v>#REF!</v>
      </c>
      <c r="Y14" s="43" t="e">
        <f>#REF!/$AC14-1</f>
        <v>#REF!</v>
      </c>
      <c r="Z14" s="9">
        <f t="shared" si="8"/>
        <v>2966973</v>
      </c>
      <c r="AA14" s="60">
        <f t="shared" si="9"/>
        <v>3530698</v>
      </c>
      <c r="AB14" s="60">
        <f t="shared" si="10"/>
        <v>3530698</v>
      </c>
      <c r="AC14" s="10">
        <f t="shared" si="11"/>
        <v>2966973</v>
      </c>
      <c r="AD14" s="60">
        <f t="shared" si="12"/>
        <v>3530698</v>
      </c>
      <c r="AE14" s="60">
        <f t="shared" si="13"/>
        <v>3530698</v>
      </c>
      <c r="AF14" s="10">
        <f t="shared" si="14"/>
        <v>2940833</v>
      </c>
      <c r="AG14" s="60">
        <f t="shared" si="15"/>
        <v>3499591</v>
      </c>
      <c r="AH14" s="60">
        <f t="shared" si="16"/>
        <v>3499591</v>
      </c>
      <c r="AI14" s="10">
        <f t="shared" si="17"/>
        <v>2914924</v>
      </c>
      <c r="AJ14" s="60">
        <f t="shared" si="18"/>
        <v>3468760</v>
      </c>
      <c r="AK14" s="60">
        <f t="shared" si="19"/>
        <v>3468760</v>
      </c>
    </row>
    <row r="15" spans="1:37" ht="87" customHeight="1">
      <c r="A15" s="8" t="s">
        <v>23</v>
      </c>
      <c r="B15" s="49" t="s">
        <v>413</v>
      </c>
      <c r="C15" s="52" t="s">
        <v>431</v>
      </c>
      <c r="D15" s="52" t="s">
        <v>434</v>
      </c>
      <c r="E15" s="82">
        <v>1446.68</v>
      </c>
      <c r="F15" s="53" t="s">
        <v>438</v>
      </c>
      <c r="G15" s="57">
        <v>1</v>
      </c>
      <c r="H15" s="59">
        <v>0.19</v>
      </c>
      <c r="I15" s="17">
        <v>4338000</v>
      </c>
      <c r="J15" s="60">
        <f t="shared" si="3"/>
        <v>5162220</v>
      </c>
      <c r="K15" s="60">
        <f t="shared" si="4"/>
        <v>5162220</v>
      </c>
      <c r="L15" s="85">
        <v>1500</v>
      </c>
      <c r="M15" s="60">
        <v>5250000</v>
      </c>
      <c r="N15" s="60">
        <f t="shared" si="5"/>
        <v>3500</v>
      </c>
      <c r="O15" s="84">
        <f t="shared" si="20"/>
        <v>5063380</v>
      </c>
      <c r="P15" s="17">
        <f t="shared" si="6"/>
        <v>5326676</v>
      </c>
      <c r="Q15" s="17">
        <f t="shared" si="7"/>
        <v>5598336</v>
      </c>
      <c r="R15" s="60">
        <f t="shared" si="0"/>
        <v>6662020</v>
      </c>
      <c r="S15" s="60">
        <f t="shared" si="1"/>
        <v>6662020</v>
      </c>
      <c r="T15" s="43">
        <f t="shared" si="2"/>
        <v>-0.12684112131473813</v>
      </c>
      <c r="U15" s="44" t="e">
        <f>#REF!/$AC15-1</f>
        <v>#REF!</v>
      </c>
      <c r="V15" s="44" t="e">
        <f>#REF!/$AC15-1</f>
        <v>#REF!</v>
      </c>
      <c r="W15" s="43" t="e">
        <f>#REF!/$AC15-1</f>
        <v>#REF!</v>
      </c>
      <c r="X15" s="43" t="e">
        <f>#REF!/$AC15-1</f>
        <v>#REF!</v>
      </c>
      <c r="Y15" s="42" t="e">
        <f>#REF!/$AC15-1</f>
        <v>#REF!</v>
      </c>
      <c r="Z15" s="9">
        <f t="shared" si="8"/>
        <v>4968168</v>
      </c>
      <c r="AA15" s="60">
        <f t="shared" si="9"/>
        <v>5912120</v>
      </c>
      <c r="AB15" s="60">
        <f t="shared" si="10"/>
        <v>5912120</v>
      </c>
      <c r="AC15" s="10">
        <f t="shared" si="11"/>
        <v>4968168</v>
      </c>
      <c r="AD15" s="60">
        <f t="shared" si="12"/>
        <v>5912120</v>
      </c>
      <c r="AE15" s="60">
        <f t="shared" si="13"/>
        <v>5912120</v>
      </c>
      <c r="AF15" s="10">
        <f t="shared" si="14"/>
        <v>4928040</v>
      </c>
      <c r="AG15" s="60">
        <f t="shared" si="15"/>
        <v>5864368</v>
      </c>
      <c r="AH15" s="60">
        <f t="shared" si="16"/>
        <v>5864368</v>
      </c>
      <c r="AI15" s="10">
        <f t="shared" si="17"/>
        <v>4888237</v>
      </c>
      <c r="AJ15" s="60">
        <f t="shared" si="18"/>
        <v>5817002</v>
      </c>
      <c r="AK15" s="60">
        <f t="shared" si="19"/>
        <v>5817002</v>
      </c>
    </row>
    <row r="16" spans="1:37" ht="87" customHeight="1">
      <c r="A16" s="8" t="s">
        <v>24</v>
      </c>
      <c r="B16" s="49" t="s">
        <v>414</v>
      </c>
      <c r="C16" s="52" t="s">
        <v>431</v>
      </c>
      <c r="D16" s="52" t="s">
        <v>435</v>
      </c>
      <c r="E16" s="82">
        <v>935</v>
      </c>
      <c r="F16" s="53" t="s">
        <v>438</v>
      </c>
      <c r="G16" s="57">
        <v>1</v>
      </c>
      <c r="H16" s="59">
        <v>0.19</v>
      </c>
      <c r="I16" s="17">
        <v>2805000</v>
      </c>
      <c r="J16" s="60">
        <f t="shared" si="3"/>
        <v>3337950</v>
      </c>
      <c r="K16" s="60">
        <f t="shared" si="4"/>
        <v>3337950</v>
      </c>
      <c r="L16" s="85">
        <v>935</v>
      </c>
      <c r="M16" s="60">
        <v>3296933</v>
      </c>
      <c r="N16" s="60">
        <f t="shared" si="5"/>
        <v>3526.1315508021389</v>
      </c>
      <c r="O16" s="84">
        <f t="shared" si="20"/>
        <v>3296933</v>
      </c>
      <c r="P16" s="17">
        <f t="shared" si="6"/>
        <v>3468374</v>
      </c>
      <c r="Q16" s="17">
        <f t="shared" si="7"/>
        <v>3645261</v>
      </c>
      <c r="R16" s="60">
        <f t="shared" si="0"/>
        <v>4337861</v>
      </c>
      <c r="S16" s="60">
        <f t="shared" si="1"/>
        <v>4337861</v>
      </c>
      <c r="T16" s="42">
        <f t="shared" si="2"/>
        <v>-0.13026788679281553</v>
      </c>
      <c r="U16" s="42" t="e">
        <f>#REF!/$AC16-1</f>
        <v>#REF!</v>
      </c>
      <c r="V16" s="43" t="e">
        <f>#REF!/$AC16-1</f>
        <v>#REF!</v>
      </c>
      <c r="W16" s="43" t="e">
        <f>#REF!/$AC16-1</f>
        <v>#REF!</v>
      </c>
      <c r="X16" s="42" t="e">
        <f>#REF!/$AC16-1</f>
        <v>#REF!</v>
      </c>
      <c r="Y16" s="42" t="e">
        <f>#REF!/$AC16-1</f>
        <v>#REF!</v>
      </c>
      <c r="Z16" s="9">
        <f t="shared" si="8"/>
        <v>3225131</v>
      </c>
      <c r="AA16" s="60">
        <f t="shared" si="9"/>
        <v>3837906</v>
      </c>
      <c r="AB16" s="60">
        <f t="shared" si="10"/>
        <v>3837906</v>
      </c>
      <c r="AC16" s="10">
        <f t="shared" si="11"/>
        <v>3225131</v>
      </c>
      <c r="AD16" s="60">
        <f t="shared" si="12"/>
        <v>3837906</v>
      </c>
      <c r="AE16" s="60">
        <f t="shared" si="13"/>
        <v>3837906</v>
      </c>
      <c r="AF16" s="10">
        <f t="shared" si="14"/>
        <v>3197649</v>
      </c>
      <c r="AG16" s="60">
        <f t="shared" si="15"/>
        <v>3805202</v>
      </c>
      <c r="AH16" s="60">
        <f t="shared" si="16"/>
        <v>3805202</v>
      </c>
      <c r="AI16" s="10">
        <f t="shared" si="17"/>
        <v>3170401</v>
      </c>
      <c r="AJ16" s="60">
        <f t="shared" si="18"/>
        <v>3772777</v>
      </c>
      <c r="AK16" s="60">
        <f t="shared" si="19"/>
        <v>3772777</v>
      </c>
    </row>
    <row r="17" spans="1:37" ht="87" customHeight="1">
      <c r="A17" s="8" t="s">
        <v>25</v>
      </c>
      <c r="B17" s="50" t="s">
        <v>415</v>
      </c>
      <c r="C17" s="52" t="s">
        <v>431</v>
      </c>
      <c r="D17" s="52" t="s">
        <v>436</v>
      </c>
      <c r="E17" s="83">
        <v>120</v>
      </c>
      <c r="F17" s="53" t="s">
        <v>438</v>
      </c>
      <c r="G17" s="57">
        <v>2</v>
      </c>
      <c r="H17" s="59">
        <v>0.19</v>
      </c>
      <c r="I17" s="17">
        <v>1500000</v>
      </c>
      <c r="J17" s="60">
        <f t="shared" si="3"/>
        <v>1785000</v>
      </c>
      <c r="K17" s="60">
        <f t="shared" si="4"/>
        <v>3570000</v>
      </c>
      <c r="L17" s="85">
        <v>978</v>
      </c>
      <c r="M17" s="60">
        <v>3463900</v>
      </c>
      <c r="N17" s="60">
        <f t="shared" si="5"/>
        <v>3541.8200408997955</v>
      </c>
      <c r="O17" s="84">
        <f t="shared" si="20"/>
        <v>425018.40490797546</v>
      </c>
      <c r="P17" s="17">
        <f t="shared" si="6"/>
        <v>447119</v>
      </c>
      <c r="Q17" s="17">
        <f t="shared" si="7"/>
        <v>469922</v>
      </c>
      <c r="R17" s="60">
        <f t="shared" si="0"/>
        <v>559207</v>
      </c>
      <c r="S17" s="60">
        <f t="shared" si="1"/>
        <v>1118414</v>
      </c>
      <c r="T17" s="43">
        <f t="shared" si="2"/>
        <v>0.52290293727365844</v>
      </c>
      <c r="U17" s="43" t="e">
        <f>#REF!/$AC17-1</f>
        <v>#REF!</v>
      </c>
      <c r="V17" s="43" t="e">
        <f>#REF!/$AC17-1</f>
        <v>#REF!</v>
      </c>
      <c r="W17" s="43" t="e">
        <f>#REF!/$AC17-1</f>
        <v>#REF!</v>
      </c>
      <c r="X17" s="43" t="e">
        <f>#REF!/$AC17-1</f>
        <v>#REF!</v>
      </c>
      <c r="Y17" s="42" t="e">
        <f>#REF!/$AC17-1</f>
        <v>#REF!</v>
      </c>
      <c r="Z17" s="9">
        <f t="shared" si="8"/>
        <v>984961</v>
      </c>
      <c r="AA17" s="60">
        <f t="shared" si="9"/>
        <v>1172104</v>
      </c>
      <c r="AB17" s="60">
        <f t="shared" si="10"/>
        <v>2344208</v>
      </c>
      <c r="AC17" s="10">
        <f t="shared" si="11"/>
        <v>984961</v>
      </c>
      <c r="AD17" s="60">
        <f t="shared" si="12"/>
        <v>1172104</v>
      </c>
      <c r="AE17" s="60">
        <f t="shared" si="13"/>
        <v>2344208</v>
      </c>
      <c r="AF17" s="10">
        <f t="shared" si="14"/>
        <v>839573</v>
      </c>
      <c r="AG17" s="60">
        <f t="shared" si="15"/>
        <v>999092</v>
      </c>
      <c r="AH17" s="60">
        <f t="shared" si="16"/>
        <v>1998184</v>
      </c>
      <c r="AI17" s="10">
        <f t="shared" si="17"/>
        <v>715646</v>
      </c>
      <c r="AJ17" s="60">
        <f t="shared" si="18"/>
        <v>851619</v>
      </c>
      <c r="AK17" s="60">
        <f t="shared" si="19"/>
        <v>1703238</v>
      </c>
    </row>
    <row r="18" spans="1:37" ht="16" thickBot="1">
      <c r="A18" s="111" t="s">
        <v>26</v>
      </c>
      <c r="B18" s="111"/>
      <c r="C18" s="111"/>
      <c r="D18" s="111"/>
      <c r="E18" s="111"/>
      <c r="F18" s="111"/>
      <c r="G18" s="111"/>
      <c r="H18" s="58"/>
      <c r="I18" s="38"/>
      <c r="J18" s="38"/>
      <c r="K18" s="39">
        <f>SUM(K6:K17)</f>
        <v>100695111</v>
      </c>
      <c r="L18" s="39"/>
      <c r="M18" s="39"/>
      <c r="N18" s="39"/>
      <c r="O18" s="39"/>
      <c r="P18" s="38"/>
      <c r="Q18" s="38"/>
      <c r="R18" s="38"/>
      <c r="S18" s="39">
        <f>SUM(S6:S17)</f>
        <v>68870091</v>
      </c>
      <c r="T18" s="39"/>
      <c r="U18" s="39"/>
      <c r="V18" s="39"/>
      <c r="W18" s="39"/>
      <c r="X18" s="39"/>
      <c r="Y18" s="39"/>
      <c r="Z18" s="40"/>
      <c r="AA18" s="40"/>
      <c r="AB18" s="41">
        <f>SUM(AB6:AB17)</f>
        <v>86686605</v>
      </c>
      <c r="AC18" s="37"/>
      <c r="AD18" s="35"/>
      <c r="AE18" s="12">
        <f>SUM(AE6:AE17)</f>
        <v>86686605</v>
      </c>
      <c r="AF18" s="13"/>
      <c r="AG18" s="11"/>
      <c r="AH18" s="12">
        <f>SUM(AH6:AH17)</f>
        <v>81723509</v>
      </c>
      <c r="AI18" s="13"/>
      <c r="AJ18" s="11"/>
      <c r="AK18" s="12">
        <f>SUM(AK6:AK17)</f>
        <v>77318009</v>
      </c>
    </row>
    <row r="19" spans="1:37" ht="15.5">
      <c r="A19" s="112" t="s">
        <v>492</v>
      </c>
      <c r="B19" s="113"/>
      <c r="C19" s="113"/>
      <c r="D19" s="113"/>
      <c r="E19" s="113"/>
      <c r="F19" s="113"/>
      <c r="G19" s="113"/>
      <c r="H19" s="113"/>
      <c r="I19" s="113"/>
      <c r="J19" s="113"/>
      <c r="K19" s="113"/>
      <c r="L19" s="113"/>
      <c r="M19" s="113"/>
      <c r="N19" s="113"/>
      <c r="O19" s="113"/>
      <c r="P19" s="113"/>
      <c r="Q19" s="113"/>
      <c r="R19" s="113"/>
      <c r="S19" s="113"/>
      <c r="T19" s="113"/>
      <c r="U19" s="113"/>
      <c r="V19" s="113"/>
      <c r="W19" s="113"/>
      <c r="X19" s="113"/>
      <c r="Y19" s="113"/>
      <c r="Z19" s="113"/>
      <c r="AA19" s="113"/>
      <c r="AB19" s="114"/>
      <c r="AC19" s="36"/>
      <c r="AD19" s="14"/>
      <c r="AE19" s="14"/>
      <c r="AF19" s="14"/>
      <c r="AG19" s="14"/>
      <c r="AH19" s="14"/>
      <c r="AI19" s="14"/>
      <c r="AJ19" s="14"/>
      <c r="AK19" s="14"/>
    </row>
    <row r="20" spans="1:37" ht="15.5">
      <c r="A20" s="115"/>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7"/>
      <c r="AC20" s="36"/>
      <c r="AE20" s="14"/>
      <c r="AF20" s="14"/>
      <c r="AG20" s="14"/>
      <c r="AH20" s="14"/>
      <c r="AI20" s="14"/>
      <c r="AJ20" s="14"/>
      <c r="AK20" s="14"/>
    </row>
    <row r="21" spans="1:37" ht="15.5">
      <c r="A21" s="115"/>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7"/>
      <c r="AC21" s="36"/>
      <c r="AD21" s="14"/>
      <c r="AE21" s="14"/>
      <c r="AF21" s="34"/>
      <c r="AG21" s="14"/>
      <c r="AH21" s="14"/>
      <c r="AI21" s="14"/>
      <c r="AJ21" s="14"/>
      <c r="AK21" s="14"/>
    </row>
    <row r="22" spans="1:37" ht="36" customHeight="1" thickBot="1">
      <c r="A22" s="118"/>
      <c r="B22" s="119"/>
      <c r="C22" s="119"/>
      <c r="D22" s="119"/>
      <c r="E22" s="119"/>
      <c r="F22" s="119"/>
      <c r="G22" s="119"/>
      <c r="H22" s="119"/>
      <c r="I22" s="119"/>
      <c r="J22" s="119"/>
      <c r="K22" s="119"/>
      <c r="L22" s="119"/>
      <c r="M22" s="119"/>
      <c r="N22" s="119"/>
      <c r="O22" s="119"/>
      <c r="P22" s="119"/>
      <c r="Q22" s="119"/>
      <c r="R22" s="119"/>
      <c r="S22" s="119"/>
      <c r="T22" s="119"/>
      <c r="U22" s="119"/>
      <c r="V22" s="119"/>
      <c r="W22" s="119"/>
      <c r="X22" s="119"/>
      <c r="Y22" s="119"/>
      <c r="Z22" s="119"/>
      <c r="AA22" s="119"/>
      <c r="AB22" s="120"/>
      <c r="AC22" s="36"/>
      <c r="AD22" s="14"/>
      <c r="AE22" s="33"/>
      <c r="AF22" s="33"/>
      <c r="AG22" s="33"/>
      <c r="AH22" s="34"/>
      <c r="AI22" s="14"/>
      <c r="AJ22" s="14"/>
      <c r="AK22" s="14"/>
    </row>
    <row r="23" spans="1:37" ht="15.5">
      <c r="K23" s="46"/>
      <c r="L23" s="46"/>
      <c r="M23" s="46"/>
      <c r="N23" s="46"/>
      <c r="O23" s="46"/>
      <c r="AC23" s="36"/>
      <c r="AE23" s="33"/>
      <c r="AF23" s="32"/>
      <c r="AG23" s="32"/>
      <c r="AH23" s="34"/>
    </row>
    <row r="24" spans="1:37">
      <c r="K24" s="47"/>
      <c r="L24" s="47"/>
      <c r="M24" s="47"/>
      <c r="N24" s="47"/>
      <c r="O24" s="47"/>
      <c r="AH24" s="45"/>
    </row>
    <row r="25" spans="1:37">
      <c r="AH25" s="34"/>
    </row>
    <row r="26" spans="1:37" s="15" customFormat="1">
      <c r="G26" s="16"/>
      <c r="H26" s="16"/>
    </row>
    <row r="31" spans="1:37" s="15" customFormat="1">
      <c r="G31" s="16"/>
      <c r="H31" s="16"/>
    </row>
    <row r="32" spans="1:37" s="15" customFormat="1">
      <c r="G32" s="16"/>
      <c r="H32" s="16"/>
    </row>
    <row r="33" spans="7:8" s="15" customFormat="1">
      <c r="G33" s="16"/>
      <c r="H33" s="16"/>
    </row>
  </sheetData>
  <sheetProtection algorithmName="SHA-512" hashValue="BuESGM2rJgDSqzHpecvktePdWgMOjz5fJ8+8oRYlhAAdRUyYrl/60p/yB4Vg20OPJzsuGMS/8vpqcykZYVVFqw==" saltValue="MclTz1giprkfhDCdgYDnIw==" spinCount="100000" sheet="1" objects="1" scenarios="1"/>
  <autoFilter ref="A5:AK23" xr:uid="{00000000-0009-0000-0000-000000000000}"/>
  <mergeCells count="15">
    <mergeCell ref="A18:G18"/>
    <mergeCell ref="A19:AB22"/>
    <mergeCell ref="AC4:AE4"/>
    <mergeCell ref="AF4:AH4"/>
    <mergeCell ref="A4:H4"/>
    <mergeCell ref="L4:S4"/>
    <mergeCell ref="AC3:AK3"/>
    <mergeCell ref="AI4:AK4"/>
    <mergeCell ref="Z1:AB2"/>
    <mergeCell ref="A3:AB3"/>
    <mergeCell ref="I4:K4"/>
    <mergeCell ref="A1:Y1"/>
    <mergeCell ref="A2:Y2"/>
    <mergeCell ref="T4:Y4"/>
    <mergeCell ref="Z4:AB4"/>
  </mergeCells>
  <phoneticPr fontId="24" type="noConversion"/>
  <conditionalFormatting sqref="A1:A2">
    <cfRule type="duplicateValues" dxfId="2" priority="1"/>
  </conditionalFormatting>
  <printOptions horizontalCentered="1"/>
  <pageMargins left="0.74803149606299213" right="0.74803149606299213" top="0.98425196850393704" bottom="0.98425196850393704" header="0.51181102362204722" footer="0.51181102362204722"/>
  <pageSetup paperSize="41" scale="10" orientation="landscape" r:id="rId1"/>
  <headerFooter>
    <oddHeader>&amp;L&amp;"Calibri"&amp;15&amp;K000000 Información Pública Clasificada&amp;1#_x000D_</oddHead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A5FA5-2F41-49DD-9A7C-CAEDF5D8EBDF}">
  <dimension ref="A1:BG37"/>
  <sheetViews>
    <sheetView zoomScale="38" zoomScaleNormal="59" workbookViewId="0">
      <selection activeCell="K22" sqref="K22"/>
    </sheetView>
  </sheetViews>
  <sheetFormatPr baseColWidth="10" defaultColWidth="0" defaultRowHeight="14" customHeight="1" zeroHeight="1"/>
  <cols>
    <col min="1" max="1" width="1.453125" style="61" customWidth="1"/>
    <col min="2" max="2" width="18.1796875" style="61" customWidth="1"/>
    <col min="3" max="4" width="33.453125" style="61" customWidth="1"/>
    <col min="5" max="5" width="12.453125" style="61" customWidth="1"/>
    <col min="6" max="6" width="10.453125" style="61" customWidth="1"/>
    <col min="7" max="7" width="12.6328125" style="61" customWidth="1"/>
    <col min="8" max="8" width="12.453125" style="61" customWidth="1"/>
    <col min="9" max="9" width="14" style="61" customWidth="1"/>
    <col min="10" max="24" width="18.1796875" style="61" customWidth="1"/>
    <col min="25" max="25" width="3.453125" style="61" customWidth="1"/>
    <col min="26" max="26" width="8.453125" style="61" hidden="1" customWidth="1"/>
    <col min="27" max="27" width="14.1796875" style="61" hidden="1" customWidth="1"/>
    <col min="28" max="28" width="15.81640625" style="61" hidden="1" customWidth="1"/>
    <col min="29" max="29" width="2.1796875" style="61" hidden="1" customWidth="1"/>
    <col min="30" max="38" width="14.6328125" style="61" hidden="1" customWidth="1"/>
    <col min="39" max="39" width="12.26953125" style="61" bestFit="1" customWidth="1"/>
    <col min="40" max="40" width="14.6328125" style="61" customWidth="1"/>
    <col min="41" max="42" width="22" style="61" customWidth="1"/>
    <col min="43" max="43" width="2.453125" style="61" customWidth="1"/>
    <col min="44" max="59" width="15.81640625" style="61" hidden="1" customWidth="1"/>
    <col min="60" max="16384" width="11.453125" style="61" hidden="1"/>
  </cols>
  <sheetData>
    <row r="1" spans="2:9"/>
    <row r="2" spans="2:9">
      <c r="B2" s="124"/>
      <c r="C2" s="125" t="s">
        <v>444</v>
      </c>
      <c r="D2" s="126"/>
      <c r="E2" s="126"/>
      <c r="F2" s="126"/>
      <c r="G2" s="126"/>
      <c r="H2" s="127"/>
      <c r="I2" s="124"/>
    </row>
    <row r="3" spans="2:9">
      <c r="B3" s="124"/>
      <c r="C3" s="125" t="s">
        <v>445</v>
      </c>
      <c r="D3" s="126"/>
      <c r="E3" s="126"/>
      <c r="F3" s="126"/>
      <c r="G3" s="126"/>
      <c r="H3" s="127"/>
      <c r="I3" s="124"/>
    </row>
    <row r="4" spans="2:9">
      <c r="B4" s="124"/>
      <c r="C4" s="125" t="s">
        <v>446</v>
      </c>
      <c r="D4" s="126"/>
      <c r="E4" s="126"/>
      <c r="F4" s="126"/>
      <c r="G4" s="126"/>
      <c r="H4" s="127"/>
      <c r="I4" s="124"/>
    </row>
    <row r="5" spans="2:9">
      <c r="B5" s="124"/>
      <c r="C5" s="125" t="s">
        <v>447</v>
      </c>
      <c r="D5" s="126"/>
      <c r="E5" s="126"/>
      <c r="F5" s="126"/>
      <c r="G5" s="126"/>
      <c r="H5" s="127"/>
      <c r="I5" s="124"/>
    </row>
    <row r="6" spans="2:9"/>
    <row r="7" spans="2:9">
      <c r="B7" s="128" t="s">
        <v>448</v>
      </c>
      <c r="C7" s="129"/>
      <c r="D7" s="132" t="s">
        <v>449</v>
      </c>
      <c r="E7" s="133"/>
      <c r="F7" s="133"/>
      <c r="G7" s="133"/>
      <c r="H7" s="133"/>
      <c r="I7" s="134"/>
    </row>
    <row r="8" spans="2:9">
      <c r="B8" s="130"/>
      <c r="C8" s="131"/>
      <c r="D8" s="135"/>
      <c r="E8" s="136"/>
      <c r="F8" s="136"/>
      <c r="G8" s="136"/>
      <c r="H8" s="136"/>
      <c r="I8" s="137"/>
    </row>
    <row r="9" spans="2:9"/>
    <row r="10" spans="2:9"/>
    <row r="11" spans="2:9"/>
    <row r="12" spans="2:9">
      <c r="B12" s="138" t="s">
        <v>450</v>
      </c>
      <c r="C12" s="139"/>
      <c r="D12" s="139"/>
      <c r="E12" s="139"/>
      <c r="F12" s="139"/>
      <c r="G12" s="139"/>
      <c r="H12" s="139"/>
      <c r="I12" s="140"/>
    </row>
    <row r="13" spans="2:9"/>
    <row r="14" spans="2:9" ht="18">
      <c r="B14" s="141" t="s">
        <v>451</v>
      </c>
      <c r="C14" s="142"/>
      <c r="D14" s="62" t="s">
        <v>452</v>
      </c>
      <c r="E14" s="63"/>
      <c r="F14" s="63"/>
    </row>
    <row r="15" spans="2:9" ht="18">
      <c r="B15" s="64"/>
      <c r="C15" s="64"/>
      <c r="D15" s="63"/>
      <c r="E15" s="63"/>
      <c r="F15" s="63"/>
    </row>
    <row r="16" spans="2:9" hidden="1">
      <c r="B16" s="143" t="s">
        <v>453</v>
      </c>
      <c r="C16" s="143"/>
      <c r="D16" s="65">
        <v>0</v>
      </c>
      <c r="E16" s="63"/>
      <c r="F16" s="63"/>
    </row>
    <row r="17" spans="2:59" ht="18">
      <c r="B17" s="64"/>
      <c r="C17" s="64"/>
      <c r="D17" s="63"/>
      <c r="E17" s="63"/>
      <c r="F17" s="63"/>
      <c r="AM17" s="66" t="s">
        <v>454</v>
      </c>
    </row>
    <row r="18" spans="2:59">
      <c r="J18" s="150" t="s">
        <v>455</v>
      </c>
      <c r="K18" s="150"/>
      <c r="L18" s="150"/>
      <c r="M18" s="150" t="s">
        <v>456</v>
      </c>
      <c r="N18" s="150"/>
      <c r="O18" s="150"/>
      <c r="P18" s="150" t="s">
        <v>457</v>
      </c>
      <c r="Q18" s="150"/>
      <c r="R18" s="150"/>
      <c r="S18" s="150" t="s">
        <v>458</v>
      </c>
      <c r="T18" s="150"/>
      <c r="U18" s="150"/>
      <c r="V18" s="150" t="s">
        <v>459</v>
      </c>
      <c r="W18" s="150"/>
      <c r="X18" s="150"/>
      <c r="Z18" s="151"/>
      <c r="AA18" s="151"/>
      <c r="AB18" s="151"/>
      <c r="AD18" s="148" t="s">
        <v>460</v>
      </c>
      <c r="AE18" s="149"/>
      <c r="AF18" s="149"/>
      <c r="AG18" s="146" t="s">
        <v>461</v>
      </c>
      <c r="AH18" s="147"/>
      <c r="AI18" s="147"/>
      <c r="AJ18" s="148" t="s">
        <v>462</v>
      </c>
      <c r="AK18" s="149"/>
      <c r="AL18" s="149"/>
      <c r="AM18" s="148" t="s">
        <v>463</v>
      </c>
      <c r="AN18" s="149"/>
      <c r="AO18" s="149"/>
      <c r="AP18" s="68"/>
      <c r="AR18" s="148" t="s">
        <v>464</v>
      </c>
      <c r="AS18" s="149"/>
      <c r="AT18" s="149"/>
      <c r="AV18" s="148" t="s">
        <v>460</v>
      </c>
      <c r="AW18" s="149"/>
      <c r="AX18" s="149"/>
      <c r="AY18" s="146" t="s">
        <v>461</v>
      </c>
      <c r="AZ18" s="147"/>
      <c r="BA18" s="147"/>
      <c r="BB18" s="148" t="s">
        <v>462</v>
      </c>
      <c r="BC18" s="149"/>
      <c r="BD18" s="149"/>
      <c r="BE18" s="148" t="s">
        <v>463</v>
      </c>
      <c r="BF18" s="149"/>
      <c r="BG18" s="149"/>
    </row>
    <row r="19" spans="2:59" s="67" customFormat="1" ht="42">
      <c r="B19" s="51" t="s">
        <v>465</v>
      </c>
      <c r="C19" s="152" t="s">
        <v>466</v>
      </c>
      <c r="D19" s="152"/>
      <c r="E19" s="51" t="s">
        <v>416</v>
      </c>
      <c r="F19" s="51" t="s">
        <v>467</v>
      </c>
      <c r="G19" s="51" t="s">
        <v>439</v>
      </c>
      <c r="H19" s="51" t="s">
        <v>437</v>
      </c>
      <c r="I19" s="51" t="s">
        <v>468</v>
      </c>
      <c r="J19" s="51" t="s">
        <v>469</v>
      </c>
      <c r="K19" s="51" t="s">
        <v>470</v>
      </c>
      <c r="L19" s="51" t="s">
        <v>471</v>
      </c>
      <c r="M19" s="51" t="s">
        <v>469</v>
      </c>
      <c r="N19" s="51" t="s">
        <v>470</v>
      </c>
      <c r="O19" s="51" t="s">
        <v>471</v>
      </c>
      <c r="P19" s="51" t="s">
        <v>469</v>
      </c>
      <c r="Q19" s="51" t="s">
        <v>470</v>
      </c>
      <c r="R19" s="51" t="s">
        <v>471</v>
      </c>
      <c r="S19" s="51" t="s">
        <v>469</v>
      </c>
      <c r="T19" s="51" t="s">
        <v>470</v>
      </c>
      <c r="U19" s="51" t="s">
        <v>471</v>
      </c>
      <c r="V19" s="51" t="s">
        <v>469</v>
      </c>
      <c r="W19" s="51" t="s">
        <v>470</v>
      </c>
      <c r="X19" s="51" t="s">
        <v>471</v>
      </c>
      <c r="Z19" s="69"/>
      <c r="AA19" s="69"/>
      <c r="AB19" s="69"/>
      <c r="AD19" s="51" t="s">
        <v>469</v>
      </c>
      <c r="AE19" s="51" t="s">
        <v>470</v>
      </c>
      <c r="AF19" s="51" t="s">
        <v>471</v>
      </c>
      <c r="AG19" s="51" t="s">
        <v>469</v>
      </c>
      <c r="AH19" s="51" t="s">
        <v>470</v>
      </c>
      <c r="AI19" s="51" t="s">
        <v>471</v>
      </c>
      <c r="AJ19" s="51" t="s">
        <v>469</v>
      </c>
      <c r="AK19" s="51" t="s">
        <v>470</v>
      </c>
      <c r="AL19" s="51" t="s">
        <v>471</v>
      </c>
      <c r="AM19" s="51" t="s">
        <v>469</v>
      </c>
      <c r="AN19" s="51" t="s">
        <v>470</v>
      </c>
      <c r="AO19" s="51" t="s">
        <v>471</v>
      </c>
      <c r="AP19" s="51" t="s">
        <v>472</v>
      </c>
      <c r="AR19" s="51" t="s">
        <v>464</v>
      </c>
      <c r="AS19" s="51" t="s">
        <v>473</v>
      </c>
      <c r="AT19" s="51" t="s">
        <v>474</v>
      </c>
      <c r="AV19" s="51" t="s">
        <v>469</v>
      </c>
      <c r="AW19" s="51" t="s">
        <v>470</v>
      </c>
      <c r="AX19" s="51" t="s">
        <v>471</v>
      </c>
      <c r="AY19" s="51" t="s">
        <v>469</v>
      </c>
      <c r="AZ19" s="51" t="s">
        <v>470</v>
      </c>
      <c r="BA19" s="51" t="s">
        <v>471</v>
      </c>
      <c r="BB19" s="51" t="s">
        <v>469</v>
      </c>
      <c r="BC19" s="51" t="s">
        <v>470</v>
      </c>
      <c r="BD19" s="51" t="s">
        <v>471</v>
      </c>
      <c r="BE19" s="51" t="s">
        <v>469</v>
      </c>
      <c r="BF19" s="51" t="s">
        <v>470</v>
      </c>
      <c r="BG19" s="51" t="s">
        <v>471</v>
      </c>
    </row>
    <row r="20" spans="2:59" s="72" customFormat="1" ht="76" customHeight="1">
      <c r="B20" s="62">
        <v>1</v>
      </c>
      <c r="C20" s="153" t="s">
        <v>475</v>
      </c>
      <c r="D20" s="153"/>
      <c r="E20" s="52" t="s">
        <v>418</v>
      </c>
      <c r="F20" s="53" t="s">
        <v>438</v>
      </c>
      <c r="G20" s="57">
        <v>2</v>
      </c>
      <c r="H20" s="70">
        <v>2671</v>
      </c>
      <c r="I20" s="71">
        <v>0.19</v>
      </c>
      <c r="J20" s="60">
        <v>17815570</v>
      </c>
      <c r="K20" s="60">
        <v>21200528</v>
      </c>
      <c r="L20" s="60">
        <v>42401056</v>
      </c>
      <c r="M20" s="60">
        <v>14690500</v>
      </c>
      <c r="N20" s="60">
        <v>17481695</v>
      </c>
      <c r="O20" s="60">
        <v>34963390</v>
      </c>
      <c r="P20" s="60">
        <v>6677500</v>
      </c>
      <c r="Q20" s="60">
        <v>7946225</v>
      </c>
      <c r="R20" s="60">
        <v>15892450</v>
      </c>
      <c r="S20" s="60">
        <v>1940800</v>
      </c>
      <c r="T20" s="60">
        <v>2309552</v>
      </c>
      <c r="U20" s="60">
        <v>4619104</v>
      </c>
      <c r="V20" s="60">
        <v>34381000</v>
      </c>
      <c r="W20" s="60">
        <v>40913390</v>
      </c>
      <c r="X20" s="60">
        <v>81826780</v>
      </c>
      <c r="AA20" s="73"/>
      <c r="AB20" s="73"/>
      <c r="AD20" s="74">
        <f>IFERROR(ROUND(AVERAGE(J20,M20,P20,S20,V20),0),"")</f>
        <v>15101074</v>
      </c>
      <c r="AE20" s="60">
        <f>ROUND(I20*AD20+AD20,0)</f>
        <v>17970278</v>
      </c>
      <c r="AF20" s="60">
        <f>ROUND(AE20*G20,0)</f>
        <v>35940556</v>
      </c>
      <c r="AG20" s="74">
        <f>IFERROR(ROUND(GEOMEAN(J20,M20,P20,S20,V20),0),"")</f>
        <v>10312166</v>
      </c>
      <c r="AH20" s="60">
        <f>ROUND(I20*AG20+AG20,0)</f>
        <v>12271478</v>
      </c>
      <c r="AI20" s="60">
        <f>ROUND(AH20*G20,0)</f>
        <v>24542956</v>
      </c>
      <c r="AJ20" s="74" cm="1">
        <f t="array" ref="AJ20">IFERROR(ROUND(AVERAGE(SMALL((J20,M20,P20,S20,V20),{1;2;3})),0),"")</f>
        <v>7769600</v>
      </c>
      <c r="AK20" s="60">
        <f>ROUND(I20*AJ20+AJ20,0)</f>
        <v>9245824</v>
      </c>
      <c r="AL20" s="60">
        <f>ROUND(AK20*G20,0)</f>
        <v>18491648</v>
      </c>
      <c r="AM20" s="74" cm="1">
        <f t="array" ref="AM20">IFERROR(ROUND(AVERAGE(SMALL((J20,M20,P20,S20,V20),{2;3;4})),0),"")</f>
        <v>13061190</v>
      </c>
      <c r="AN20" s="60">
        <f>ROUND(I20*AM20+AM20,0)</f>
        <v>15542816</v>
      </c>
      <c r="AO20" s="60">
        <f>ROUND(AN20*G20,0)</f>
        <v>31085632</v>
      </c>
      <c r="AP20" s="75">
        <f>AN20/H20</f>
        <v>5819.0999625608383</v>
      </c>
      <c r="AR20" s="74">
        <f>+STDEV(J20,M20,P20,S20,V20)</f>
        <v>12484009.940695338</v>
      </c>
      <c r="AS20" s="76">
        <f>+AD20-AR20</f>
        <v>2617064.059304662</v>
      </c>
      <c r="AT20" s="76">
        <f>+AD20+AR20</f>
        <v>27585083.940695338</v>
      </c>
      <c r="AV20" s="74">
        <f>IFERROR(ROUND(AVERAGE(J20,M20,P20,S20),0),"")</f>
        <v>10281093</v>
      </c>
      <c r="AW20" s="60">
        <f>ROUND(I20*AV20+AV20,0)</f>
        <v>12234501</v>
      </c>
      <c r="AX20" s="60">
        <f>ROUND(AW20*G20,0)</f>
        <v>24469002</v>
      </c>
      <c r="AY20" s="74">
        <f>IFERROR(ROUND(GEOMEAN(J20,M20,P20,S20),0),"")</f>
        <v>7631462</v>
      </c>
      <c r="AZ20" s="60">
        <f>ROUND(I20*AY20+AY20,0)</f>
        <v>9081440</v>
      </c>
      <c r="BA20" s="60">
        <f>ROUND(AZ20*G20,0)</f>
        <v>18162880</v>
      </c>
      <c r="BB20" s="74" cm="1">
        <f t="array" ref="BB20">IFERROR(ROUND(AVERAGE(SMALL((J20,M20,P20,S20),{1;2;3})),0),"")</f>
        <v>7769600</v>
      </c>
      <c r="BC20" s="60">
        <f>ROUND(I20*BB20+BB20,0)</f>
        <v>9245824</v>
      </c>
      <c r="BD20" s="60">
        <f>ROUND(BC20*G20,0)</f>
        <v>18491648</v>
      </c>
      <c r="BE20" s="74" cm="1">
        <f t="array" ref="BE20">IFERROR(ROUND(AVERAGE(SMALL((J20,M20,P20,S20),{2;3;4})),0),"")</f>
        <v>13061190</v>
      </c>
      <c r="BF20" s="60">
        <f>ROUND(I20*BE20+BE20,0)</f>
        <v>15542816</v>
      </c>
      <c r="BG20" s="60">
        <f>ROUND(BF20*G20,0)</f>
        <v>31085632</v>
      </c>
    </row>
    <row r="21" spans="2:59" s="72" customFormat="1" ht="76" customHeight="1">
      <c r="B21" s="62">
        <v>2</v>
      </c>
      <c r="C21" s="144" t="s">
        <v>476</v>
      </c>
      <c r="D21" s="145"/>
      <c r="E21" s="52" t="s">
        <v>477</v>
      </c>
      <c r="F21" s="53" t="s">
        <v>438</v>
      </c>
      <c r="G21" s="57">
        <v>2</v>
      </c>
      <c r="H21" s="53">
        <v>72.38</v>
      </c>
      <c r="I21" s="71">
        <v>0.19</v>
      </c>
      <c r="J21" s="60">
        <v>482775</v>
      </c>
      <c r="K21" s="60">
        <v>574502</v>
      </c>
      <c r="L21" s="60">
        <v>1149004</v>
      </c>
      <c r="M21" s="60">
        <v>398090</v>
      </c>
      <c r="N21" s="60">
        <v>473727</v>
      </c>
      <c r="O21" s="60">
        <v>947454</v>
      </c>
      <c r="P21" s="60">
        <v>2500000</v>
      </c>
      <c r="Q21" s="60">
        <v>2975000</v>
      </c>
      <c r="R21" s="60">
        <v>5950000</v>
      </c>
      <c r="S21" s="60">
        <v>1174800</v>
      </c>
      <c r="T21" s="60">
        <v>1398012</v>
      </c>
      <c r="U21" s="60">
        <v>2796024</v>
      </c>
      <c r="V21" s="60">
        <v>796180</v>
      </c>
      <c r="W21" s="60">
        <v>947454</v>
      </c>
      <c r="X21" s="60">
        <v>1894908</v>
      </c>
      <c r="AA21" s="73"/>
      <c r="AB21" s="73"/>
      <c r="AD21" s="74">
        <f t="shared" ref="AD21:AD30" si="0">IFERROR(ROUND(AVERAGE(J21,M21,P21,S21,V21),0),"")</f>
        <v>1070369</v>
      </c>
      <c r="AE21" s="60">
        <f t="shared" ref="AE21:AE30" si="1">ROUND(I21*AD21+AD21,0)</f>
        <v>1273739</v>
      </c>
      <c r="AF21" s="60">
        <f t="shared" ref="AF21:AF30" si="2">ROUND(AE21*G21,0)</f>
        <v>2547478</v>
      </c>
      <c r="AG21" s="74">
        <f t="shared" ref="AG21:AG30" si="3">IFERROR(ROUND(GEOMEAN(J21,M21,P21,S21,V21),0),"")</f>
        <v>852174</v>
      </c>
      <c r="AH21" s="60">
        <f>ROUND(I21*AG21+AG21,0)</f>
        <v>1014087</v>
      </c>
      <c r="AI21" s="60">
        <f t="shared" ref="AI21:AI30" si="4">ROUND(AH21*G21,0)</f>
        <v>2028174</v>
      </c>
      <c r="AJ21" s="74" cm="1">
        <f t="array" ref="AJ21">IFERROR(ROUND(AVERAGE(SMALL((J21,M21,P21,S21,V21),{1;2;3})),0),"")</f>
        <v>559015</v>
      </c>
      <c r="AK21" s="60">
        <f t="shared" ref="AK21:AK30" si="5">ROUND(I21*AJ21+AJ21,0)</f>
        <v>665228</v>
      </c>
      <c r="AL21" s="60">
        <f t="shared" ref="AL21:AL30" si="6">ROUND(AK21*G21,0)</f>
        <v>1330456</v>
      </c>
      <c r="AM21" s="74" cm="1">
        <f t="array" ref="AM21">IFERROR(ROUND(AVERAGE(SMALL((J21,M21,P21,S21,V21),{2;3;4})),0),"")</f>
        <v>817918</v>
      </c>
      <c r="AN21" s="60">
        <f>ROUND(I21*AM21+AM21,0)</f>
        <v>973322</v>
      </c>
      <c r="AO21" s="60">
        <f>ROUND(AN21*G21,0)</f>
        <v>1946644</v>
      </c>
      <c r="AP21" s="75">
        <f>AN21/H21</f>
        <v>13447.388781431335</v>
      </c>
      <c r="AR21" s="74">
        <f t="shared" ref="AR21:AR30" si="7">+STDEV(J21,M21,P21,S21,V21)</f>
        <v>855446.66699917649</v>
      </c>
      <c r="AS21" s="76">
        <f t="shared" ref="AS21:AS30" si="8">+AD21-AR21</f>
        <v>214922.33300082351</v>
      </c>
      <c r="AT21" s="76">
        <f t="shared" ref="AT21:AT30" si="9">+AD21+AR21</f>
        <v>1925815.6669991766</v>
      </c>
      <c r="AV21" s="74">
        <f t="shared" ref="AV21:AV30" si="10">IFERROR(ROUND(AVERAGE(J21,M21,P21,S21),0),"")</f>
        <v>1138916</v>
      </c>
      <c r="AW21" s="60">
        <f t="shared" ref="AW21:AW30" si="11">ROUND(I21*AV21+AV21,0)</f>
        <v>1355310</v>
      </c>
      <c r="AX21" s="60">
        <f t="shared" ref="AX21:AX30" si="12">ROUND(AW21*G21,0)</f>
        <v>2710620</v>
      </c>
      <c r="AY21" s="74">
        <f t="shared" ref="AY21:AY30" si="13">IFERROR(ROUND(GEOMEAN(J21,M21,P21,S21),0),"")</f>
        <v>866777</v>
      </c>
      <c r="AZ21" s="60">
        <f t="shared" ref="AZ21:AZ30" si="14">ROUND(I21*AY21+AY21,0)</f>
        <v>1031465</v>
      </c>
      <c r="BA21" s="60">
        <f t="shared" ref="BA21:BA30" si="15">ROUND(AZ21*G21,0)</f>
        <v>2062930</v>
      </c>
      <c r="BB21" s="74" cm="1">
        <f t="array" ref="BB21">IFERROR(ROUND(AVERAGE(SMALL((J21,M21,P21,S21),{1;2;3})),0),"")</f>
        <v>685222</v>
      </c>
      <c r="BC21" s="60">
        <f t="shared" ref="BC21:BC30" si="16">ROUND(I21*BB21+BB21,0)</f>
        <v>815414</v>
      </c>
      <c r="BD21" s="60">
        <f t="shared" ref="BD21:BD30" si="17">ROUND(BC21*G21,0)</f>
        <v>1630828</v>
      </c>
      <c r="BE21" s="74" cm="1">
        <f t="array" ref="BE21">IFERROR(ROUND(AVERAGE(SMALL((J21,M21,P21,S21),{2;3;4})),0),"")</f>
        <v>1385858</v>
      </c>
      <c r="BF21" s="60">
        <f t="shared" ref="BF21:BF30" si="18">ROUND(I21*BE21+BE21,0)</f>
        <v>1649171</v>
      </c>
      <c r="BG21" s="60">
        <f t="shared" ref="BG21:BG30" si="19">ROUND(BF21*G21,0)</f>
        <v>3298342</v>
      </c>
    </row>
    <row r="22" spans="2:59" s="72" customFormat="1" ht="76" customHeight="1">
      <c r="B22" s="62">
        <v>3</v>
      </c>
      <c r="C22" s="144" t="s">
        <v>478</v>
      </c>
      <c r="D22" s="145"/>
      <c r="E22" s="52" t="s">
        <v>423</v>
      </c>
      <c r="F22" s="53" t="s">
        <v>438</v>
      </c>
      <c r="G22" s="57">
        <v>2</v>
      </c>
      <c r="H22" s="53">
        <v>381.94</v>
      </c>
      <c r="I22" s="71">
        <v>0.19</v>
      </c>
      <c r="J22" s="60">
        <v>2157961</v>
      </c>
      <c r="K22" s="60">
        <v>2567974</v>
      </c>
      <c r="L22" s="60">
        <v>5135948</v>
      </c>
      <c r="M22" s="60">
        <v>2100670</v>
      </c>
      <c r="N22" s="60">
        <v>2499797</v>
      </c>
      <c r="O22" s="60">
        <v>4999594</v>
      </c>
      <c r="P22" s="60">
        <v>1371440</v>
      </c>
      <c r="Q22" s="60">
        <v>1632014</v>
      </c>
      <c r="R22" s="60">
        <v>3264028</v>
      </c>
      <c r="S22" s="60">
        <v>1432800</v>
      </c>
      <c r="T22" s="60">
        <v>1705032</v>
      </c>
      <c r="U22" s="60">
        <v>3410064</v>
      </c>
      <c r="V22" s="60">
        <v>4201340</v>
      </c>
      <c r="W22" s="60">
        <v>4999595</v>
      </c>
      <c r="X22" s="60">
        <v>9999190</v>
      </c>
      <c r="AA22" s="73"/>
      <c r="AB22" s="73"/>
      <c r="AD22" s="74">
        <f t="shared" si="0"/>
        <v>2252842</v>
      </c>
      <c r="AE22" s="60">
        <f t="shared" si="1"/>
        <v>2680882</v>
      </c>
      <c r="AF22" s="60">
        <f t="shared" si="2"/>
        <v>5361764</v>
      </c>
      <c r="AG22" s="74">
        <f t="shared" si="3"/>
        <v>2063623</v>
      </c>
      <c r="AH22" s="60">
        <f t="shared" ref="AH22:AH30" si="20">ROUND(I22*AG22+AG22,0)</f>
        <v>2455711</v>
      </c>
      <c r="AI22" s="60">
        <f t="shared" si="4"/>
        <v>4911422</v>
      </c>
      <c r="AJ22" s="74" cm="1">
        <f t="array" ref="AJ22">IFERROR(ROUND(AVERAGE(SMALL((J22,M22,P22,S22,V22),{1;2;3})),0),"")</f>
        <v>1634970</v>
      </c>
      <c r="AK22" s="60">
        <f t="shared" si="5"/>
        <v>1945614</v>
      </c>
      <c r="AL22" s="60">
        <f t="shared" si="6"/>
        <v>3891228</v>
      </c>
      <c r="AM22" s="74" cm="1">
        <f t="array" ref="AM22">IFERROR(ROUND(AVERAGE(SMALL((J22,M22,P22,S22,V22),{2;3;4})),0),"")</f>
        <v>1897144</v>
      </c>
      <c r="AN22" s="60">
        <f t="shared" ref="AN22:AN30" si="21">ROUND(I22*AM22+AM22,0)</f>
        <v>2257601</v>
      </c>
      <c r="AO22" s="60">
        <f>ROUND(AN22*G22,0)</f>
        <v>4515202</v>
      </c>
      <c r="AP22" s="75">
        <f t="shared" ref="AP22:AP29" si="22">AN22/H22</f>
        <v>5910.8786720427297</v>
      </c>
      <c r="AR22" s="74">
        <f t="shared" si="7"/>
        <v>1148710.3143435251</v>
      </c>
      <c r="AS22" s="76">
        <f t="shared" si="8"/>
        <v>1104131.6856564749</v>
      </c>
      <c r="AT22" s="76">
        <f t="shared" si="9"/>
        <v>3401552.3143435251</v>
      </c>
      <c r="AV22" s="74">
        <f t="shared" si="10"/>
        <v>1765718</v>
      </c>
      <c r="AW22" s="60">
        <f t="shared" si="11"/>
        <v>2101204</v>
      </c>
      <c r="AX22" s="60">
        <f t="shared" si="12"/>
        <v>4202408</v>
      </c>
      <c r="AY22" s="74">
        <f t="shared" si="13"/>
        <v>1727591</v>
      </c>
      <c r="AZ22" s="60">
        <f t="shared" si="14"/>
        <v>2055833</v>
      </c>
      <c r="BA22" s="60">
        <f t="shared" si="15"/>
        <v>4111666</v>
      </c>
      <c r="BB22" s="74" cm="1">
        <f t="array" ref="BB22">IFERROR(ROUND(AVERAGE(SMALL((J22,M22,P22,S22),{1;2;3})),0),"")</f>
        <v>1634970</v>
      </c>
      <c r="BC22" s="60">
        <f t="shared" si="16"/>
        <v>1945614</v>
      </c>
      <c r="BD22" s="60">
        <f t="shared" si="17"/>
        <v>3891228</v>
      </c>
      <c r="BE22" s="74" cm="1">
        <f t="array" ref="BE22">IFERROR(ROUND(AVERAGE(SMALL((J22,M22,P22,S22),{2;3;4})),0),"")</f>
        <v>1897144</v>
      </c>
      <c r="BF22" s="60">
        <f t="shared" si="18"/>
        <v>2257601</v>
      </c>
      <c r="BG22" s="60">
        <f t="shared" si="19"/>
        <v>4515202</v>
      </c>
    </row>
    <row r="23" spans="2:59" s="72" customFormat="1" ht="76" customHeight="1">
      <c r="B23" s="62">
        <v>4</v>
      </c>
      <c r="C23" s="144" t="s">
        <v>479</v>
      </c>
      <c r="D23" s="145"/>
      <c r="E23" s="52" t="s">
        <v>480</v>
      </c>
      <c r="F23" s="53" t="s">
        <v>438</v>
      </c>
      <c r="G23" s="57">
        <v>2</v>
      </c>
      <c r="H23" s="70">
        <v>1115</v>
      </c>
      <c r="I23" s="71">
        <v>0.19</v>
      </c>
      <c r="J23" s="60">
        <v>6299750</v>
      </c>
      <c r="K23" s="60">
        <v>7496703</v>
      </c>
      <c r="L23" s="60">
        <v>14993406</v>
      </c>
      <c r="M23" s="60">
        <v>6132500</v>
      </c>
      <c r="N23" s="60">
        <v>7297675</v>
      </c>
      <c r="O23" s="60">
        <v>14595350</v>
      </c>
      <c r="P23" s="60">
        <v>5575000</v>
      </c>
      <c r="Q23" s="60">
        <v>6634250</v>
      </c>
      <c r="R23" s="60">
        <v>13268500</v>
      </c>
      <c r="S23" s="60">
        <v>1640800</v>
      </c>
      <c r="T23" s="60">
        <v>1952552</v>
      </c>
      <c r="U23" s="60">
        <v>3905104</v>
      </c>
      <c r="V23" s="60">
        <v>20070000</v>
      </c>
      <c r="W23" s="60">
        <v>23883300</v>
      </c>
      <c r="X23" s="60">
        <v>47766600</v>
      </c>
      <c r="AA23" s="73"/>
      <c r="AB23" s="73"/>
      <c r="AD23" s="74">
        <f t="shared" si="0"/>
        <v>7943610</v>
      </c>
      <c r="AE23" s="60">
        <f t="shared" si="1"/>
        <v>9452896</v>
      </c>
      <c r="AF23" s="60">
        <f t="shared" si="2"/>
        <v>18905792</v>
      </c>
      <c r="AG23" s="74">
        <f t="shared" si="3"/>
        <v>5890630</v>
      </c>
      <c r="AH23" s="60">
        <f t="shared" si="20"/>
        <v>7009850</v>
      </c>
      <c r="AI23" s="60">
        <f t="shared" si="4"/>
        <v>14019700</v>
      </c>
      <c r="AJ23" s="74" cm="1">
        <f t="array" ref="AJ23">IFERROR(ROUND(AVERAGE(SMALL((J23,M23,P23,S23,V23),{1;2;3})),0),"")</f>
        <v>4449433</v>
      </c>
      <c r="AK23" s="60">
        <f t="shared" si="5"/>
        <v>5294825</v>
      </c>
      <c r="AL23" s="60">
        <f t="shared" si="6"/>
        <v>10589650</v>
      </c>
      <c r="AM23" s="74" cm="1">
        <f t="array" ref="AM23">IFERROR(ROUND(AVERAGE(SMALL((J23,M23,P23,S23,V23),{2;3;4})),0),"")</f>
        <v>6002417</v>
      </c>
      <c r="AN23" s="60">
        <f t="shared" si="21"/>
        <v>7142876</v>
      </c>
      <c r="AO23" s="60">
        <f>ROUND(AN23*G23,0)</f>
        <v>14285752</v>
      </c>
      <c r="AP23" s="75">
        <f t="shared" si="22"/>
        <v>6406.1668161434982</v>
      </c>
      <c r="AR23" s="74">
        <f t="shared" si="7"/>
        <v>7042149.1178474771</v>
      </c>
      <c r="AS23" s="76">
        <f t="shared" si="8"/>
        <v>901460.88215252291</v>
      </c>
      <c r="AT23" s="76">
        <f t="shared" si="9"/>
        <v>14985759.117847476</v>
      </c>
      <c r="AV23" s="74">
        <f t="shared" si="10"/>
        <v>4912013</v>
      </c>
      <c r="AW23" s="60">
        <f t="shared" si="11"/>
        <v>5845295</v>
      </c>
      <c r="AX23" s="60">
        <f t="shared" si="12"/>
        <v>11690590</v>
      </c>
      <c r="AY23" s="74">
        <f t="shared" si="13"/>
        <v>4335761</v>
      </c>
      <c r="AZ23" s="60">
        <f t="shared" si="14"/>
        <v>5159556</v>
      </c>
      <c r="BA23" s="60">
        <f t="shared" si="15"/>
        <v>10319112</v>
      </c>
      <c r="BB23" s="74" cm="1">
        <f t="array" ref="BB23">IFERROR(ROUND(AVERAGE(SMALL((J23,M23,P23,S23),{1;2;3})),0),"")</f>
        <v>4449433</v>
      </c>
      <c r="BC23" s="60">
        <f t="shared" si="16"/>
        <v>5294825</v>
      </c>
      <c r="BD23" s="60">
        <f t="shared" si="17"/>
        <v>10589650</v>
      </c>
      <c r="BE23" s="74" cm="1">
        <f t="array" ref="BE23">IFERROR(ROUND(AVERAGE(SMALL((J23,M23,P23,S23),{2;3;4})),0),"")</f>
        <v>6002417</v>
      </c>
      <c r="BF23" s="60">
        <f t="shared" si="18"/>
        <v>7142876</v>
      </c>
      <c r="BG23" s="60">
        <f t="shared" si="19"/>
        <v>14285752</v>
      </c>
    </row>
    <row r="24" spans="2:59" s="72" customFormat="1" ht="76" customHeight="1">
      <c r="B24" s="62">
        <v>5</v>
      </c>
      <c r="C24" s="144" t="s">
        <v>481</v>
      </c>
      <c r="D24" s="145"/>
      <c r="E24" s="52" t="s">
        <v>427</v>
      </c>
      <c r="F24" s="53" t="s">
        <v>438</v>
      </c>
      <c r="G24" s="57">
        <v>2</v>
      </c>
      <c r="H24" s="53">
        <v>627</v>
      </c>
      <c r="I24" s="71">
        <v>0.19</v>
      </c>
      <c r="J24" s="60">
        <v>3901194</v>
      </c>
      <c r="K24" s="60">
        <v>4642421</v>
      </c>
      <c r="L24" s="60">
        <v>9284842</v>
      </c>
      <c r="M24" s="60">
        <v>3448500</v>
      </c>
      <c r="N24" s="60">
        <v>4103715</v>
      </c>
      <c r="O24" s="60">
        <v>8207430</v>
      </c>
      <c r="P24" s="60">
        <v>1567500</v>
      </c>
      <c r="Q24" s="60">
        <v>1865325</v>
      </c>
      <c r="R24" s="60">
        <v>3730650</v>
      </c>
      <c r="S24" s="60">
        <v>1540800</v>
      </c>
      <c r="T24" s="60">
        <v>1833552</v>
      </c>
      <c r="U24" s="60">
        <v>3667104</v>
      </c>
      <c r="V24" s="60">
        <v>11286000</v>
      </c>
      <c r="W24" s="60">
        <v>13430340</v>
      </c>
      <c r="X24" s="60">
        <v>26860680</v>
      </c>
      <c r="AA24" s="73"/>
      <c r="AB24" s="73"/>
      <c r="AD24" s="74">
        <f t="shared" si="0"/>
        <v>4348799</v>
      </c>
      <c r="AE24" s="60">
        <f t="shared" si="1"/>
        <v>5175071</v>
      </c>
      <c r="AF24" s="60">
        <f t="shared" si="2"/>
        <v>10350142</v>
      </c>
      <c r="AG24" s="74">
        <f t="shared" si="3"/>
        <v>3257349</v>
      </c>
      <c r="AH24" s="60">
        <f t="shared" si="20"/>
        <v>3876245</v>
      </c>
      <c r="AI24" s="60">
        <f t="shared" si="4"/>
        <v>7752490</v>
      </c>
      <c r="AJ24" s="74" cm="1">
        <f t="array" ref="AJ24">IFERROR(ROUND(AVERAGE(SMALL((J24,M24,P24,S24,V24),{1;2;3})),0),"")</f>
        <v>2185600</v>
      </c>
      <c r="AK24" s="60">
        <f t="shared" si="5"/>
        <v>2600864</v>
      </c>
      <c r="AL24" s="60">
        <f t="shared" si="6"/>
        <v>5201728</v>
      </c>
      <c r="AM24" s="74" cm="1">
        <f t="array" ref="AM24">IFERROR(ROUND(AVERAGE(SMALL((J24,M24,P24,S24,V24),{2;3;4})),0),"")</f>
        <v>2972398</v>
      </c>
      <c r="AN24" s="60">
        <f t="shared" si="21"/>
        <v>3537154</v>
      </c>
      <c r="AO24" s="60">
        <f>ROUND(AN24*G24,0)</f>
        <v>7074308</v>
      </c>
      <c r="AP24" s="75">
        <f t="shared" si="22"/>
        <v>5641.393939393939</v>
      </c>
      <c r="AR24" s="74">
        <f t="shared" si="7"/>
        <v>4023559.641388108</v>
      </c>
      <c r="AS24" s="76">
        <f t="shared" si="8"/>
        <v>325239.35861189198</v>
      </c>
      <c r="AT24" s="76">
        <f t="shared" si="9"/>
        <v>8372358.641388108</v>
      </c>
      <c r="AV24" s="74">
        <f t="shared" si="10"/>
        <v>2614499</v>
      </c>
      <c r="AW24" s="60">
        <f t="shared" si="11"/>
        <v>3111254</v>
      </c>
      <c r="AX24" s="60">
        <f t="shared" si="12"/>
        <v>6222508</v>
      </c>
      <c r="AY24" s="74">
        <f t="shared" si="13"/>
        <v>2387511</v>
      </c>
      <c r="AZ24" s="60">
        <f t="shared" si="14"/>
        <v>2841138</v>
      </c>
      <c r="BA24" s="60">
        <f t="shared" si="15"/>
        <v>5682276</v>
      </c>
      <c r="BB24" s="74" cm="1">
        <f t="array" ref="BB24">IFERROR(ROUND(AVERAGE(SMALL((J24,M24,P24,S24),{1;2;3})),0),"")</f>
        <v>2185600</v>
      </c>
      <c r="BC24" s="60">
        <f t="shared" si="16"/>
        <v>2600864</v>
      </c>
      <c r="BD24" s="60">
        <f t="shared" si="17"/>
        <v>5201728</v>
      </c>
      <c r="BE24" s="74" cm="1">
        <f t="array" ref="BE24">IFERROR(ROUND(AVERAGE(SMALL((J24,M24,P24,S24),{2;3;4})),0),"")</f>
        <v>2972398</v>
      </c>
      <c r="BF24" s="60">
        <f t="shared" si="18"/>
        <v>3537154</v>
      </c>
      <c r="BG24" s="60">
        <f t="shared" si="19"/>
        <v>7074308</v>
      </c>
    </row>
    <row r="25" spans="2:59" s="72" customFormat="1" ht="76" customHeight="1">
      <c r="B25" s="62">
        <v>6</v>
      </c>
      <c r="C25" s="144" t="s">
        <v>482</v>
      </c>
      <c r="D25" s="145"/>
      <c r="E25" s="52" t="s">
        <v>429</v>
      </c>
      <c r="F25" s="53" t="s">
        <v>438</v>
      </c>
      <c r="G25" s="57">
        <v>1</v>
      </c>
      <c r="H25" s="54">
        <v>200</v>
      </c>
      <c r="I25" s="71">
        <v>0.19</v>
      </c>
      <c r="J25" s="60">
        <v>1310000</v>
      </c>
      <c r="K25" s="60">
        <v>1558900</v>
      </c>
      <c r="L25" s="60">
        <v>1558900</v>
      </c>
      <c r="M25" s="60">
        <v>1100000</v>
      </c>
      <c r="N25" s="60">
        <v>1309000</v>
      </c>
      <c r="O25" s="60">
        <v>1309000</v>
      </c>
      <c r="P25" s="60">
        <v>1000000</v>
      </c>
      <c r="Q25" s="60">
        <v>1190000</v>
      </c>
      <c r="R25" s="60">
        <v>1190000</v>
      </c>
      <c r="S25" s="60">
        <v>1375100</v>
      </c>
      <c r="T25" s="60">
        <v>1636369</v>
      </c>
      <c r="U25" s="60">
        <v>1636369</v>
      </c>
      <c r="V25" s="60">
        <v>3600000</v>
      </c>
      <c r="W25" s="60">
        <v>4284000</v>
      </c>
      <c r="X25" s="60">
        <v>4284000</v>
      </c>
      <c r="AA25" s="73"/>
      <c r="AB25" s="73"/>
      <c r="AD25" s="74">
        <f t="shared" si="0"/>
        <v>1677020</v>
      </c>
      <c r="AE25" s="60">
        <f t="shared" si="1"/>
        <v>1995654</v>
      </c>
      <c r="AF25" s="60">
        <f t="shared" si="2"/>
        <v>1995654</v>
      </c>
      <c r="AG25" s="74">
        <f t="shared" si="3"/>
        <v>1481358</v>
      </c>
      <c r="AH25" s="60">
        <f t="shared" si="20"/>
        <v>1762816</v>
      </c>
      <c r="AI25" s="60">
        <f t="shared" si="4"/>
        <v>1762816</v>
      </c>
      <c r="AJ25" s="74" cm="1">
        <f t="array" ref="AJ25">IFERROR(ROUND(AVERAGE(SMALL((J25,M25,P25,S25,V25),{1;2;3})),0),"")</f>
        <v>1136667</v>
      </c>
      <c r="AK25" s="60">
        <f t="shared" si="5"/>
        <v>1352634</v>
      </c>
      <c r="AL25" s="60">
        <f t="shared" si="6"/>
        <v>1352634</v>
      </c>
      <c r="AM25" s="74" cm="1">
        <f t="array" ref="AM25">IFERROR(ROUND(AVERAGE(SMALL((J25,M25,P25,S25,V25),{2;3;4})),0),"")</f>
        <v>1261700</v>
      </c>
      <c r="AN25" s="60">
        <f t="shared" si="21"/>
        <v>1501423</v>
      </c>
      <c r="AO25" s="60">
        <f t="shared" ref="AO25:AO26" si="23">ROUND(AN25*G25,0)</f>
        <v>1501423</v>
      </c>
      <c r="AP25" s="75">
        <f t="shared" si="22"/>
        <v>7507.1149999999998</v>
      </c>
      <c r="AR25" s="74">
        <f t="shared" si="7"/>
        <v>1085704.7950525042</v>
      </c>
      <c r="AS25" s="76">
        <f t="shared" si="8"/>
        <v>591315.20494749583</v>
      </c>
      <c r="AT25" s="76">
        <f t="shared" si="9"/>
        <v>2762724.7950525042</v>
      </c>
      <c r="AV25" s="74">
        <f t="shared" si="10"/>
        <v>1196275</v>
      </c>
      <c r="AW25" s="60">
        <f t="shared" si="11"/>
        <v>1423567</v>
      </c>
      <c r="AX25" s="60">
        <f t="shared" si="12"/>
        <v>1423567</v>
      </c>
      <c r="AY25" s="74">
        <f t="shared" si="13"/>
        <v>1186450</v>
      </c>
      <c r="AZ25" s="60">
        <f t="shared" si="14"/>
        <v>1411876</v>
      </c>
      <c r="BA25" s="60">
        <f t="shared" si="15"/>
        <v>1411876</v>
      </c>
      <c r="BB25" s="74" cm="1">
        <f t="array" ref="BB25">IFERROR(ROUND(AVERAGE(SMALL((J25,M25,P25,S25),{1;2;3})),0),"")</f>
        <v>1136667</v>
      </c>
      <c r="BC25" s="60">
        <f t="shared" si="16"/>
        <v>1352634</v>
      </c>
      <c r="BD25" s="60">
        <f t="shared" si="17"/>
        <v>1352634</v>
      </c>
      <c r="BE25" s="74" cm="1">
        <f t="array" ref="BE25">IFERROR(ROUND(AVERAGE(SMALL((J25,M25,P25,S25),{2;3;4})),0),"")</f>
        <v>1261700</v>
      </c>
      <c r="BF25" s="60">
        <f t="shared" si="18"/>
        <v>1501423</v>
      </c>
      <c r="BG25" s="60">
        <f t="shared" si="19"/>
        <v>1501423</v>
      </c>
    </row>
    <row r="26" spans="2:59" s="72" customFormat="1" ht="76" customHeight="1">
      <c r="B26" s="62">
        <v>7</v>
      </c>
      <c r="C26" s="144" t="s">
        <v>483</v>
      </c>
      <c r="D26" s="145"/>
      <c r="E26" s="52" t="s">
        <v>431</v>
      </c>
      <c r="F26" s="53" t="s">
        <v>438</v>
      </c>
      <c r="G26" s="57">
        <v>2</v>
      </c>
      <c r="H26" s="55">
        <v>560</v>
      </c>
      <c r="I26" s="71">
        <v>0.19</v>
      </c>
      <c r="J26" s="60">
        <v>1988000</v>
      </c>
      <c r="K26" s="60">
        <v>2365720</v>
      </c>
      <c r="L26" s="60">
        <v>4731440</v>
      </c>
      <c r="M26" s="60">
        <v>3080000</v>
      </c>
      <c r="N26" s="60">
        <v>3665200</v>
      </c>
      <c r="O26" s="60">
        <v>7330400</v>
      </c>
      <c r="P26" s="60">
        <v>840000</v>
      </c>
      <c r="Q26" s="60">
        <v>999600</v>
      </c>
      <c r="R26" s="60">
        <v>1999200</v>
      </c>
      <c r="S26" s="60">
        <v>1440800</v>
      </c>
      <c r="T26" s="60">
        <v>1714552</v>
      </c>
      <c r="U26" s="60">
        <v>3429104</v>
      </c>
      <c r="V26" s="60">
        <v>6160000</v>
      </c>
      <c r="W26" s="60">
        <v>7330400</v>
      </c>
      <c r="X26" s="60">
        <v>14660800</v>
      </c>
      <c r="AA26" s="73"/>
      <c r="AB26" s="73"/>
      <c r="AD26" s="74">
        <f t="shared" si="0"/>
        <v>2701760</v>
      </c>
      <c r="AE26" s="60">
        <f t="shared" si="1"/>
        <v>3215094</v>
      </c>
      <c r="AF26" s="60">
        <f t="shared" si="2"/>
        <v>6430188</v>
      </c>
      <c r="AG26" s="74">
        <f t="shared" si="3"/>
        <v>2147268</v>
      </c>
      <c r="AH26" s="60">
        <f t="shared" si="20"/>
        <v>2555249</v>
      </c>
      <c r="AI26" s="60">
        <f t="shared" si="4"/>
        <v>5110498</v>
      </c>
      <c r="AJ26" s="74" cm="1">
        <f t="array" ref="AJ26">IFERROR(ROUND(AVERAGE(SMALL((J26,M26,P26,S26,V26),{1;2;3})),0),"")</f>
        <v>1422933</v>
      </c>
      <c r="AK26" s="60">
        <f t="shared" si="5"/>
        <v>1693290</v>
      </c>
      <c r="AL26" s="60">
        <f t="shared" si="6"/>
        <v>3386580</v>
      </c>
      <c r="AM26" s="74" cm="1">
        <f t="array" ref="AM26">IFERROR(ROUND(AVERAGE(SMALL((J26,M26,P26,S26,V26),{2;3;4})),0),"")</f>
        <v>2169600</v>
      </c>
      <c r="AN26" s="60">
        <f t="shared" si="21"/>
        <v>2581824</v>
      </c>
      <c r="AO26" s="60">
        <f t="shared" si="23"/>
        <v>5163648</v>
      </c>
      <c r="AP26" s="75">
        <f t="shared" si="22"/>
        <v>4610.3999999999996</v>
      </c>
      <c r="AR26" s="74">
        <f t="shared" si="7"/>
        <v>2101672.7357036346</v>
      </c>
      <c r="AS26" s="76">
        <f t="shared" si="8"/>
        <v>600087.26429636544</v>
      </c>
      <c r="AT26" s="76">
        <f t="shared" si="9"/>
        <v>4803432.7357036341</v>
      </c>
      <c r="AV26" s="74">
        <f t="shared" si="10"/>
        <v>1837200</v>
      </c>
      <c r="AW26" s="60">
        <f t="shared" si="11"/>
        <v>2186268</v>
      </c>
      <c r="AX26" s="60">
        <f t="shared" si="12"/>
        <v>4372536</v>
      </c>
      <c r="AY26" s="74">
        <f t="shared" si="13"/>
        <v>1649919</v>
      </c>
      <c r="AZ26" s="60">
        <f t="shared" si="14"/>
        <v>1963404</v>
      </c>
      <c r="BA26" s="60">
        <f t="shared" si="15"/>
        <v>3926808</v>
      </c>
      <c r="BB26" s="74" cm="1">
        <f t="array" ref="BB26">IFERROR(ROUND(AVERAGE(SMALL((J26,M26,P26,S26),{1;2;3})),0),"")</f>
        <v>1422933</v>
      </c>
      <c r="BC26" s="60">
        <f t="shared" si="16"/>
        <v>1693290</v>
      </c>
      <c r="BD26" s="60">
        <f t="shared" si="17"/>
        <v>3386580</v>
      </c>
      <c r="BE26" s="74" cm="1">
        <f t="array" ref="BE26">IFERROR(ROUND(AVERAGE(SMALL((J26,M26,P26,S26),{2;3;4})),0),"")</f>
        <v>2169600</v>
      </c>
      <c r="BF26" s="60">
        <f t="shared" si="18"/>
        <v>2581824</v>
      </c>
      <c r="BG26" s="60">
        <f t="shared" si="19"/>
        <v>5163648</v>
      </c>
    </row>
    <row r="27" spans="2:59" s="72" customFormat="1" ht="76" customHeight="1">
      <c r="B27" s="62">
        <v>8</v>
      </c>
      <c r="C27" s="144" t="s">
        <v>484</v>
      </c>
      <c r="D27" s="145"/>
      <c r="E27" s="52" t="s">
        <v>431</v>
      </c>
      <c r="F27" s="53" t="s">
        <v>438</v>
      </c>
      <c r="G27" s="57">
        <v>2</v>
      </c>
      <c r="H27" s="70">
        <v>1700</v>
      </c>
      <c r="I27" s="71">
        <v>0.19</v>
      </c>
      <c r="J27" s="60">
        <v>6035000</v>
      </c>
      <c r="K27" s="60">
        <v>7181650</v>
      </c>
      <c r="L27" s="60">
        <v>14363300</v>
      </c>
      <c r="M27" s="60">
        <v>9350000</v>
      </c>
      <c r="N27" s="60">
        <v>11126500</v>
      </c>
      <c r="O27" s="60">
        <v>22253000</v>
      </c>
      <c r="P27" s="60">
        <v>2550000</v>
      </c>
      <c r="Q27" s="60">
        <v>3034500</v>
      </c>
      <c r="R27" s="60">
        <v>6069000</v>
      </c>
      <c r="S27" s="60">
        <v>1810000</v>
      </c>
      <c r="T27" s="60">
        <v>2153900</v>
      </c>
      <c r="U27" s="60">
        <v>4307800</v>
      </c>
      <c r="V27" s="60">
        <v>18700000</v>
      </c>
      <c r="W27" s="60">
        <v>22253000</v>
      </c>
      <c r="X27" s="60">
        <v>44506000</v>
      </c>
      <c r="AA27" s="73"/>
      <c r="AB27" s="73"/>
      <c r="AD27" s="74">
        <f t="shared" si="0"/>
        <v>7689000</v>
      </c>
      <c r="AE27" s="60">
        <f t="shared" si="1"/>
        <v>9149910</v>
      </c>
      <c r="AF27" s="60">
        <f t="shared" si="2"/>
        <v>18299820</v>
      </c>
      <c r="AG27" s="74">
        <f t="shared" si="3"/>
        <v>5463989</v>
      </c>
      <c r="AH27" s="60">
        <f t="shared" si="20"/>
        <v>6502147</v>
      </c>
      <c r="AI27" s="60">
        <f t="shared" si="4"/>
        <v>13004294</v>
      </c>
      <c r="AJ27" s="74" cm="1">
        <f t="array" ref="AJ27">IFERROR(ROUND(AVERAGE(SMALL((J27,M27,P27,S27,V27),{1;2;3})),0),"")</f>
        <v>3465000</v>
      </c>
      <c r="AK27" s="60">
        <f t="shared" si="5"/>
        <v>4123350</v>
      </c>
      <c r="AL27" s="60">
        <f t="shared" si="6"/>
        <v>8246700</v>
      </c>
      <c r="AM27" s="74" cm="1">
        <f t="array" ref="AM27">IFERROR(ROUND(AVERAGE(SMALL((J27,M27,P27,S27,V27),{2;3;4})),0),"")</f>
        <v>5978333</v>
      </c>
      <c r="AN27" s="60">
        <f t="shared" si="21"/>
        <v>7114216</v>
      </c>
      <c r="AO27" s="60">
        <f>ROUND(AN27*G27,0)</f>
        <v>14228432</v>
      </c>
      <c r="AP27" s="75">
        <f t="shared" si="22"/>
        <v>4184.8329411764707</v>
      </c>
      <c r="AR27" s="74">
        <f t="shared" si="7"/>
        <v>6850341.5973219909</v>
      </c>
      <c r="AS27" s="76">
        <f t="shared" si="8"/>
        <v>838658.40267800912</v>
      </c>
      <c r="AT27" s="76">
        <f t="shared" si="9"/>
        <v>14539341.597321991</v>
      </c>
      <c r="AV27" s="74">
        <f t="shared" si="10"/>
        <v>4936250</v>
      </c>
      <c r="AW27" s="60">
        <f t="shared" si="11"/>
        <v>5874138</v>
      </c>
      <c r="AX27" s="60">
        <f t="shared" si="12"/>
        <v>11748276</v>
      </c>
      <c r="AY27" s="74">
        <f t="shared" si="13"/>
        <v>4017232</v>
      </c>
      <c r="AZ27" s="60">
        <f t="shared" si="14"/>
        <v>4780506</v>
      </c>
      <c r="BA27" s="60">
        <f t="shared" si="15"/>
        <v>9561012</v>
      </c>
      <c r="BB27" s="74" cm="1">
        <f t="array" ref="BB27">IFERROR(ROUND(AVERAGE(SMALL((J27,M27,P27,S27),{1;2;3})),0),"")</f>
        <v>3465000</v>
      </c>
      <c r="BC27" s="60">
        <f t="shared" si="16"/>
        <v>4123350</v>
      </c>
      <c r="BD27" s="60">
        <f t="shared" si="17"/>
        <v>8246700</v>
      </c>
      <c r="BE27" s="74" cm="1">
        <f t="array" ref="BE27">IFERROR(ROUND(AVERAGE(SMALL((J27,M27,P27,S27),{2;3;4})),0),"")</f>
        <v>5978333</v>
      </c>
      <c r="BF27" s="60">
        <f t="shared" si="18"/>
        <v>7114216</v>
      </c>
      <c r="BG27" s="60">
        <f t="shared" si="19"/>
        <v>14228432</v>
      </c>
    </row>
    <row r="28" spans="2:59" s="72" customFormat="1" ht="76" customHeight="1">
      <c r="B28" s="62">
        <v>9</v>
      </c>
      <c r="C28" s="144" t="s">
        <v>485</v>
      </c>
      <c r="D28" s="145"/>
      <c r="E28" s="52" t="s">
        <v>431</v>
      </c>
      <c r="F28" s="53" t="s">
        <v>438</v>
      </c>
      <c r="G28" s="57">
        <v>2</v>
      </c>
      <c r="H28" s="55">
        <v>978</v>
      </c>
      <c r="I28" s="71">
        <v>0.19</v>
      </c>
      <c r="J28" s="60">
        <v>3471900</v>
      </c>
      <c r="K28" s="60">
        <v>4131561</v>
      </c>
      <c r="L28" s="60">
        <v>8263122</v>
      </c>
      <c r="M28" s="60">
        <v>5379000</v>
      </c>
      <c r="N28" s="60">
        <v>6401010</v>
      </c>
      <c r="O28" s="60">
        <v>12802020</v>
      </c>
      <c r="P28" s="60">
        <v>1467000</v>
      </c>
      <c r="Q28" s="60">
        <v>1745730</v>
      </c>
      <c r="R28" s="60">
        <v>3491460</v>
      </c>
      <c r="S28" s="60">
        <v>1540800</v>
      </c>
      <c r="T28" s="60">
        <v>1833552</v>
      </c>
      <c r="U28" s="60">
        <v>3667104</v>
      </c>
      <c r="V28" s="60">
        <v>10758000</v>
      </c>
      <c r="W28" s="60">
        <v>12802020</v>
      </c>
      <c r="X28" s="60">
        <v>25604040</v>
      </c>
      <c r="AA28" s="73"/>
      <c r="AB28" s="73"/>
      <c r="AD28" s="74">
        <f t="shared" si="0"/>
        <v>4523340</v>
      </c>
      <c r="AE28" s="60">
        <f t="shared" si="1"/>
        <v>5382775</v>
      </c>
      <c r="AF28" s="60">
        <f t="shared" si="2"/>
        <v>10765550</v>
      </c>
      <c r="AG28" s="74">
        <f t="shared" si="3"/>
        <v>3399659</v>
      </c>
      <c r="AH28" s="60">
        <f t="shared" si="20"/>
        <v>4045594</v>
      </c>
      <c r="AI28" s="60">
        <f t="shared" si="4"/>
        <v>8091188</v>
      </c>
      <c r="AJ28" s="74" cm="1">
        <f t="array" ref="AJ28">IFERROR(ROUND(AVERAGE(SMALL((J28,M28,P28,S28,V28),{1;2;3})),0),"")</f>
        <v>2159900</v>
      </c>
      <c r="AK28" s="60">
        <f t="shared" si="5"/>
        <v>2570281</v>
      </c>
      <c r="AL28" s="60">
        <f t="shared" si="6"/>
        <v>5140562</v>
      </c>
      <c r="AM28" s="74" cm="1">
        <f t="array" ref="AM28">IFERROR(ROUND(AVERAGE(SMALL((J28,M28,P28,S28,V28),{2;3;4})),0),"")</f>
        <v>3463900</v>
      </c>
      <c r="AN28" s="60">
        <f t="shared" si="21"/>
        <v>4122041</v>
      </c>
      <c r="AO28" s="60">
        <f t="shared" ref="AO28:AO29" si="24">ROUND(AN28*G28,0)</f>
        <v>8244082</v>
      </c>
      <c r="AP28" s="75">
        <f t="shared" si="22"/>
        <v>4214.7658486707569</v>
      </c>
      <c r="AR28" s="74">
        <f t="shared" si="7"/>
        <v>3838796.1808358622</v>
      </c>
      <c r="AS28" s="76">
        <f t="shared" si="8"/>
        <v>684543.81916413782</v>
      </c>
      <c r="AT28" s="76">
        <f t="shared" si="9"/>
        <v>8362136.1808358617</v>
      </c>
      <c r="AV28" s="74">
        <f t="shared" si="10"/>
        <v>2964675</v>
      </c>
      <c r="AW28" s="60">
        <f t="shared" si="11"/>
        <v>3527963</v>
      </c>
      <c r="AX28" s="60">
        <f t="shared" si="12"/>
        <v>7055926</v>
      </c>
      <c r="AY28" s="74">
        <f t="shared" si="13"/>
        <v>2548950</v>
      </c>
      <c r="AZ28" s="60">
        <f t="shared" si="14"/>
        <v>3033251</v>
      </c>
      <c r="BA28" s="60">
        <f t="shared" si="15"/>
        <v>6066502</v>
      </c>
      <c r="BB28" s="74" cm="1">
        <f t="array" ref="BB28">IFERROR(ROUND(AVERAGE(SMALL((J28,M28,P28,S28),{1;2;3})),0),"")</f>
        <v>2159900</v>
      </c>
      <c r="BC28" s="60">
        <f t="shared" si="16"/>
        <v>2570281</v>
      </c>
      <c r="BD28" s="60">
        <f t="shared" si="17"/>
        <v>5140562</v>
      </c>
      <c r="BE28" s="74" cm="1">
        <f t="array" ref="BE28">IFERROR(ROUND(AVERAGE(SMALL((J28,M28,P28,S28),{2;3;4})),0),"")</f>
        <v>3463900</v>
      </c>
      <c r="BF28" s="60">
        <f t="shared" si="18"/>
        <v>4122041</v>
      </c>
      <c r="BG28" s="60">
        <f t="shared" si="19"/>
        <v>8244082</v>
      </c>
    </row>
    <row r="29" spans="2:59" s="72" customFormat="1" ht="76" customHeight="1">
      <c r="B29" s="62">
        <v>10</v>
      </c>
      <c r="C29" s="144" t="s">
        <v>486</v>
      </c>
      <c r="D29" s="145"/>
      <c r="E29" s="52" t="s">
        <v>431</v>
      </c>
      <c r="F29" s="53" t="s">
        <v>438</v>
      </c>
      <c r="G29" s="57">
        <v>2</v>
      </c>
      <c r="H29" s="70">
        <v>1500</v>
      </c>
      <c r="I29" s="71">
        <v>0.19</v>
      </c>
      <c r="J29" s="60">
        <v>5250000</v>
      </c>
      <c r="K29" s="60">
        <v>6247500</v>
      </c>
      <c r="L29" s="60">
        <v>12495000</v>
      </c>
      <c r="M29" s="60">
        <v>8250000</v>
      </c>
      <c r="N29" s="60">
        <v>9817500</v>
      </c>
      <c r="O29" s="60">
        <v>19635000</v>
      </c>
      <c r="P29" s="60">
        <v>2250000</v>
      </c>
      <c r="Q29" s="60">
        <v>2677500</v>
      </c>
      <c r="R29" s="60">
        <v>5355000</v>
      </c>
      <c r="S29" s="60">
        <v>1710800</v>
      </c>
      <c r="T29" s="60">
        <v>2035852</v>
      </c>
      <c r="U29" s="60">
        <v>4071704</v>
      </c>
      <c r="V29" s="60">
        <v>16500000</v>
      </c>
      <c r="W29" s="60">
        <v>19635000</v>
      </c>
      <c r="X29" s="60">
        <v>39270000</v>
      </c>
      <c r="AA29" s="73"/>
      <c r="AB29" s="73"/>
      <c r="AD29" s="74">
        <f t="shared" si="0"/>
        <v>6792160</v>
      </c>
      <c r="AE29" s="60">
        <f t="shared" si="1"/>
        <v>8082670</v>
      </c>
      <c r="AF29" s="60">
        <f t="shared" si="2"/>
        <v>16165340</v>
      </c>
      <c r="AG29" s="74">
        <f t="shared" si="3"/>
        <v>4874115</v>
      </c>
      <c r="AH29" s="60">
        <f t="shared" si="20"/>
        <v>5800197</v>
      </c>
      <c r="AI29" s="60">
        <f t="shared" si="4"/>
        <v>11600394</v>
      </c>
      <c r="AJ29" s="74" cm="1">
        <f t="array" ref="AJ29">IFERROR(ROUND(AVERAGE(SMALL((J29,M29,P29,S29,V29),{1;2;3})),0),"")</f>
        <v>3070267</v>
      </c>
      <c r="AK29" s="60">
        <f t="shared" si="5"/>
        <v>3653618</v>
      </c>
      <c r="AL29" s="60">
        <f t="shared" si="6"/>
        <v>7307236</v>
      </c>
      <c r="AM29" s="74" cm="1">
        <f t="array" ref="AM29">IFERROR(ROUND(AVERAGE(SMALL((J29,M29,P29,S29,V29),{2;3;4})),0),"")</f>
        <v>5250000</v>
      </c>
      <c r="AN29" s="60">
        <f t="shared" si="21"/>
        <v>6247500</v>
      </c>
      <c r="AO29" s="60">
        <f t="shared" si="24"/>
        <v>12495000</v>
      </c>
      <c r="AP29" s="75">
        <f t="shared" si="22"/>
        <v>4165</v>
      </c>
      <c r="AR29" s="74">
        <f t="shared" si="7"/>
        <v>6024888.9888528241</v>
      </c>
      <c r="AS29" s="76">
        <f t="shared" si="8"/>
        <v>767271.01114717592</v>
      </c>
      <c r="AT29" s="76">
        <f t="shared" si="9"/>
        <v>12817048.988852825</v>
      </c>
      <c r="AV29" s="74">
        <f t="shared" si="10"/>
        <v>4365200</v>
      </c>
      <c r="AW29" s="60">
        <f t="shared" si="11"/>
        <v>5194588</v>
      </c>
      <c r="AX29" s="60">
        <f t="shared" si="12"/>
        <v>10389176</v>
      </c>
      <c r="AY29" s="74">
        <f t="shared" si="13"/>
        <v>3593344</v>
      </c>
      <c r="AZ29" s="60">
        <f t="shared" si="14"/>
        <v>4276079</v>
      </c>
      <c r="BA29" s="60">
        <f t="shared" si="15"/>
        <v>8552158</v>
      </c>
      <c r="BB29" s="74" cm="1">
        <f t="array" ref="BB29">IFERROR(ROUND(AVERAGE(SMALL((J29,M29,P29,S29),{1;2;3})),0),"")</f>
        <v>3070267</v>
      </c>
      <c r="BC29" s="60">
        <f t="shared" si="16"/>
        <v>3653618</v>
      </c>
      <c r="BD29" s="60">
        <f t="shared" si="17"/>
        <v>7307236</v>
      </c>
      <c r="BE29" s="74" cm="1">
        <f t="array" ref="BE29">IFERROR(ROUND(AVERAGE(SMALL((J29,M29,P29,S29),{2;3;4})),0),"")</f>
        <v>5250000</v>
      </c>
      <c r="BF29" s="60">
        <f t="shared" si="18"/>
        <v>6247500</v>
      </c>
      <c r="BG29" s="60">
        <f t="shared" si="19"/>
        <v>12495000</v>
      </c>
    </row>
    <row r="30" spans="2:59" s="72" customFormat="1" ht="76" customHeight="1">
      <c r="B30" s="62">
        <v>11</v>
      </c>
      <c r="C30" s="144" t="s">
        <v>487</v>
      </c>
      <c r="D30" s="145"/>
      <c r="E30" s="52" t="s">
        <v>431</v>
      </c>
      <c r="F30" s="53" t="s">
        <v>438</v>
      </c>
      <c r="G30" s="57">
        <v>2</v>
      </c>
      <c r="H30" s="56">
        <v>935</v>
      </c>
      <c r="I30" s="71">
        <v>0.19</v>
      </c>
      <c r="J30" s="60">
        <v>3272500</v>
      </c>
      <c r="K30" s="60">
        <v>3894275</v>
      </c>
      <c r="L30" s="60">
        <v>7788550</v>
      </c>
      <c r="M30" s="60">
        <v>5142500</v>
      </c>
      <c r="N30" s="60">
        <v>6119575</v>
      </c>
      <c r="O30" s="60">
        <v>12239150</v>
      </c>
      <c r="P30" s="60">
        <v>1402500</v>
      </c>
      <c r="Q30" s="60">
        <v>1668975</v>
      </c>
      <c r="R30" s="60">
        <v>3337950</v>
      </c>
      <c r="S30" s="60">
        <v>1475800</v>
      </c>
      <c r="T30" s="60">
        <v>1756202</v>
      </c>
      <c r="U30" s="60">
        <v>3512404</v>
      </c>
      <c r="V30" s="60">
        <v>10285000</v>
      </c>
      <c r="W30" s="60">
        <v>12239150</v>
      </c>
      <c r="X30" s="60">
        <v>24478300</v>
      </c>
      <c r="AA30" s="73"/>
      <c r="AB30" s="73"/>
      <c r="AD30" s="74">
        <f t="shared" si="0"/>
        <v>4315660</v>
      </c>
      <c r="AE30" s="60">
        <f t="shared" si="1"/>
        <v>5135635</v>
      </c>
      <c r="AF30" s="60">
        <f t="shared" si="2"/>
        <v>10271270</v>
      </c>
      <c r="AG30" s="74">
        <f t="shared" si="3"/>
        <v>3242185</v>
      </c>
      <c r="AH30" s="60">
        <f t="shared" si="20"/>
        <v>3858200</v>
      </c>
      <c r="AI30" s="60">
        <f t="shared" si="4"/>
        <v>7716400</v>
      </c>
      <c r="AJ30" s="74" cm="1">
        <f t="array" ref="AJ30">IFERROR(ROUND(AVERAGE(SMALL((J30,M30,P30,S30,V30),{1;2;3})),0),"")</f>
        <v>2050267</v>
      </c>
      <c r="AK30" s="60">
        <f t="shared" si="5"/>
        <v>2439818</v>
      </c>
      <c r="AL30" s="60">
        <f t="shared" si="6"/>
        <v>4879636</v>
      </c>
      <c r="AM30" s="74" cm="1">
        <f t="array" ref="AM30">IFERROR(ROUND(AVERAGE(SMALL((J30,M30,P30,S30,V30),{2;3;4})),0),"")</f>
        <v>3296933</v>
      </c>
      <c r="AN30" s="60">
        <f t="shared" si="21"/>
        <v>3923350</v>
      </c>
      <c r="AO30" s="60">
        <f>ROUND(AN30*G30,0)</f>
        <v>7846700</v>
      </c>
      <c r="AP30" s="75">
        <f>AN30/H30</f>
        <v>4196.0962566844919</v>
      </c>
      <c r="AR30" s="74">
        <f t="shared" si="7"/>
        <v>3672743.2939153262</v>
      </c>
      <c r="AS30" s="76">
        <f t="shared" si="8"/>
        <v>642916.70608467376</v>
      </c>
      <c r="AT30" s="76">
        <f t="shared" si="9"/>
        <v>7988403.2939153258</v>
      </c>
      <c r="AV30" s="74">
        <f t="shared" si="10"/>
        <v>2823325</v>
      </c>
      <c r="AW30" s="60">
        <f t="shared" si="11"/>
        <v>3359757</v>
      </c>
      <c r="AX30" s="60">
        <f t="shared" si="12"/>
        <v>6719514</v>
      </c>
      <c r="AY30" s="74">
        <f t="shared" si="13"/>
        <v>2429384</v>
      </c>
      <c r="AZ30" s="60">
        <f t="shared" si="14"/>
        <v>2890967</v>
      </c>
      <c r="BA30" s="60">
        <f t="shared" si="15"/>
        <v>5781934</v>
      </c>
      <c r="BB30" s="74" cm="1">
        <f t="array" ref="BB30">IFERROR(ROUND(AVERAGE(SMALL((J30,M30,P30,S30),{1;2;3})),0),"")</f>
        <v>2050267</v>
      </c>
      <c r="BC30" s="60">
        <f t="shared" si="16"/>
        <v>2439818</v>
      </c>
      <c r="BD30" s="60">
        <f t="shared" si="17"/>
        <v>4879636</v>
      </c>
      <c r="BE30" s="74" cm="1">
        <f t="array" ref="BE30">IFERROR(ROUND(AVERAGE(SMALL((J30,M30,P30,S30),{2;3;4})),0),"")</f>
        <v>3296933</v>
      </c>
      <c r="BF30" s="60">
        <f t="shared" si="18"/>
        <v>3923350</v>
      </c>
      <c r="BG30" s="60">
        <f t="shared" si="19"/>
        <v>7846700</v>
      </c>
    </row>
    <row r="31" spans="2:59" s="72" customFormat="1" ht="20">
      <c r="B31" s="154" t="s">
        <v>11</v>
      </c>
      <c r="C31" s="155"/>
      <c r="D31" s="155"/>
      <c r="E31" s="155"/>
      <c r="F31" s="155"/>
      <c r="G31" s="155"/>
      <c r="H31" s="155"/>
      <c r="I31" s="156"/>
      <c r="L31" s="77">
        <f>SUM(L20:L30)</f>
        <v>122164568</v>
      </c>
      <c r="O31" s="77">
        <f>SUM(O20:O30)</f>
        <v>139281788</v>
      </c>
      <c r="R31" s="77">
        <f>SUM(R20:R30)</f>
        <v>63548238</v>
      </c>
      <c r="U31" s="77">
        <f>SUM(U20:U30)</f>
        <v>39021885</v>
      </c>
      <c r="X31" s="77">
        <f>SUM(X20:X30)</f>
        <v>321151298</v>
      </c>
      <c r="AB31" s="78"/>
      <c r="AF31" s="77">
        <f>SUM(AF20:AF30)</f>
        <v>137033554</v>
      </c>
      <c r="AI31" s="77">
        <f>SUM(AI20:AI30)</f>
        <v>100540332</v>
      </c>
      <c r="AL31" s="77">
        <f>SUM(AL20:AL30)</f>
        <v>69818058</v>
      </c>
      <c r="AO31" s="77">
        <f>SUM(AO20:AO30)</f>
        <v>108386823</v>
      </c>
      <c r="AP31" s="78"/>
      <c r="AX31" s="77">
        <f>SUM(AX20:AX30)</f>
        <v>91004123</v>
      </c>
      <c r="BA31" s="77">
        <f>SUM(BA20:BA30)</f>
        <v>75639154</v>
      </c>
      <c r="BD31" s="77">
        <f>SUM(BD20:BD30)</f>
        <v>70118430</v>
      </c>
      <c r="BG31" s="77">
        <f>SUM(BG20:BG30)</f>
        <v>109738521</v>
      </c>
    </row>
    <row r="32" spans="2:59"/>
    <row r="33" spans="10:38">
      <c r="J33" s="79"/>
      <c r="L33" s="79"/>
      <c r="M33" s="79"/>
      <c r="O33" s="79"/>
      <c r="P33" s="79"/>
      <c r="R33" s="79"/>
      <c r="S33" s="79"/>
      <c r="U33" s="79"/>
      <c r="V33" s="79"/>
      <c r="X33" s="79"/>
      <c r="AB33" s="79"/>
      <c r="AF33" s="79"/>
      <c r="AI33" s="79"/>
      <c r="AL33" s="79"/>
    </row>
    <row r="34" spans="10:38">
      <c r="J34" s="79"/>
      <c r="L34" s="79"/>
      <c r="M34" s="79"/>
      <c r="O34" s="79"/>
      <c r="P34" s="79"/>
      <c r="R34" s="79"/>
      <c r="S34" s="79"/>
      <c r="U34" s="79"/>
      <c r="V34" s="79"/>
      <c r="X34" s="79"/>
      <c r="AB34" s="79"/>
      <c r="AF34" s="79"/>
      <c r="AI34" s="79"/>
      <c r="AL34" s="79"/>
    </row>
    <row r="35" spans="10:38"/>
    <row r="36" spans="10:38"/>
    <row r="37" spans="10:38"/>
  </sheetData>
  <sheetProtection algorithmName="SHA-512" hashValue="12R8j5akCdOLxJZMCst1oWIB/+qQv1R4GMDxDHMv5FyT9ESfpgZcq/5+ywD7H3oGJZinET8BGL9uagD5PxPAgQ==" saltValue="BYqtSqWWy9OJDFFp8ErPUg==" spinCount="100000" sheet="1" objects="1" scenarios="1"/>
  <mergeCells count="39">
    <mergeCell ref="C29:D29"/>
    <mergeCell ref="C30:D30"/>
    <mergeCell ref="B31:I31"/>
    <mergeCell ref="C23:D23"/>
    <mergeCell ref="C24:D24"/>
    <mergeCell ref="C25:D25"/>
    <mergeCell ref="C26:D26"/>
    <mergeCell ref="C27:D27"/>
    <mergeCell ref="C28:D28"/>
    <mergeCell ref="BB18:BD18"/>
    <mergeCell ref="BE18:BG18"/>
    <mergeCell ref="C19:D19"/>
    <mergeCell ref="C20:D20"/>
    <mergeCell ref="C21:D21"/>
    <mergeCell ref="AV18:AX18"/>
    <mergeCell ref="AY18:BA18"/>
    <mergeCell ref="C22:D22"/>
    <mergeCell ref="AG18:AI18"/>
    <mergeCell ref="AJ18:AL18"/>
    <mergeCell ref="AM18:AO18"/>
    <mergeCell ref="AR18:AT18"/>
    <mergeCell ref="M18:O18"/>
    <mergeCell ref="P18:R18"/>
    <mergeCell ref="S18:U18"/>
    <mergeCell ref="V18:X18"/>
    <mergeCell ref="Z18:AB18"/>
    <mergeCell ref="AD18:AF18"/>
    <mergeCell ref="J18:L18"/>
    <mergeCell ref="B7:C8"/>
    <mergeCell ref="D7:I8"/>
    <mergeCell ref="B12:I12"/>
    <mergeCell ref="B14:C14"/>
    <mergeCell ref="B16:C16"/>
    <mergeCell ref="B2:B5"/>
    <mergeCell ref="C2:H2"/>
    <mergeCell ref="I2:I5"/>
    <mergeCell ref="C3:H3"/>
    <mergeCell ref="C4:H4"/>
    <mergeCell ref="C5:H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A083A-C4E7-4FFF-BC8F-040F178C2395}">
  <sheetPr codeName="Hoja2">
    <pageSetUpPr fitToPage="1"/>
  </sheetPr>
  <dimension ref="A1:G21"/>
  <sheetViews>
    <sheetView showGridLines="0" topLeftCell="A13" zoomScale="70" zoomScaleNormal="70" workbookViewId="0">
      <selection activeCell="H17" sqref="H17"/>
    </sheetView>
  </sheetViews>
  <sheetFormatPr baseColWidth="10" defaultColWidth="9.1796875" defaultRowHeight="12.5"/>
  <cols>
    <col min="1" max="1" width="11" style="27" customWidth="1"/>
    <col min="2" max="2" width="65" style="27" customWidth="1"/>
    <col min="3" max="3" width="14.1796875" style="27" customWidth="1"/>
    <col min="4" max="4" width="12" style="27" customWidth="1"/>
    <col min="5" max="5" width="21.7265625" style="27" customWidth="1"/>
    <col min="6" max="6" width="21.1796875" style="27" customWidth="1"/>
    <col min="7" max="16384" width="9.1796875" style="19"/>
  </cols>
  <sheetData>
    <row r="1" spans="1:7" ht="32.25" customHeight="1">
      <c r="A1" s="169" t="s">
        <v>0</v>
      </c>
      <c r="B1" s="104"/>
      <c r="C1" s="104"/>
      <c r="D1" s="104"/>
      <c r="E1" s="105"/>
      <c r="F1" s="157"/>
      <c r="G1" s="18"/>
    </row>
    <row r="2" spans="1:7" ht="32.25" customHeight="1">
      <c r="A2" s="170" t="s">
        <v>1</v>
      </c>
      <c r="B2" s="171"/>
      <c r="C2" s="171"/>
      <c r="D2" s="171"/>
      <c r="E2" s="172"/>
      <c r="F2" s="158"/>
      <c r="G2" s="18"/>
    </row>
    <row r="3" spans="1:7" ht="53.5" customHeight="1">
      <c r="A3" s="20" t="s">
        <v>6</v>
      </c>
      <c r="B3" s="5" t="s">
        <v>31</v>
      </c>
      <c r="C3" s="5" t="s">
        <v>9</v>
      </c>
      <c r="D3" s="5" t="s">
        <v>8</v>
      </c>
      <c r="E3" s="5" t="s">
        <v>12</v>
      </c>
      <c r="F3" s="5" t="s">
        <v>32</v>
      </c>
    </row>
    <row r="4" spans="1:7" ht="108.5">
      <c r="A4" s="21" t="s">
        <v>13</v>
      </c>
      <c r="B4" s="22" t="str">
        <f>'Estudio de mercado'!B6</f>
        <v xml:space="preserve">Servicio de fumigación y desinfección de ambientes en áreas interiores, utilizando técnicas como: desinfección desinsectación, Inmunización de maderas y desratización para el control de plagas y mantenimiento de las instalaciones libres de microorganismos (hongos, levaduras, bacterias), aplicación de cebos especiales para roedores y voladores, en el parque Arqueológico de San Agustín - </v>
      </c>
      <c r="C4" s="23">
        <f>'Estudio de mercado'!G6</f>
        <v>1</v>
      </c>
      <c r="D4" s="24" t="str">
        <f>'Estudio de mercado'!F6</f>
        <v>Servicio</v>
      </c>
      <c r="E4" s="25">
        <f>'Estudio de mercado'!AA6</f>
        <v>28402123</v>
      </c>
      <c r="F4" s="25">
        <f>'Estudio de mercado'!AB6</f>
        <v>28402123</v>
      </c>
    </row>
    <row r="5" spans="1:7" ht="124">
      <c r="A5" s="21">
        <f>+A4+1</f>
        <v>2</v>
      </c>
      <c r="B5" s="22" t="str">
        <f>'Estudio de mercado'!B7</f>
        <v>Servicio de fumigación y desinfección de ambientes en áreas interiores, utilizando técnicas como:        desinfección desinsectación, Inmunización de maderas y desratización para el control de plagas y mantenimiento de las instalaciones libres de microorganismos  (hongos,levaduras,bacterias), aplicación de cebos especiales para roedores y voladores, en el Parque Arqueológico Ídolos, ubicado en la Vereda Ídolos, municipio de Isnos – Huila.</v>
      </c>
      <c r="C5" s="23">
        <f>'Estudio de mercado'!G7</f>
        <v>1</v>
      </c>
      <c r="D5" s="24" t="str">
        <f>'Estudio de mercado'!F7</f>
        <v>Servicio</v>
      </c>
      <c r="E5" s="25">
        <f>'Estudio de mercado'!AA7</f>
        <v>7782313</v>
      </c>
      <c r="F5" s="25">
        <f>'Estudio de mercado'!AB7</f>
        <v>7782313</v>
      </c>
    </row>
    <row r="6" spans="1:7" ht="124">
      <c r="A6" s="21">
        <f t="shared" ref="A6:A15" si="0">+A5+1</f>
        <v>3</v>
      </c>
      <c r="B6" s="22" t="str">
        <f>'Estudio de mercado'!B8</f>
        <v>Servicio de fumigación y desinfección de ambientes en áreas interiores, utilizando técnicas        como:        desinfección desinsectación, Inmunización de maderas y desratización para el control de plagas y mantenimiento de las instalaciones libres de microorganismos (hongos,levaduras,bacterias), aplicación de cebos especiales para roedores y voladores, en el Parque Arqueológico Alto de las Piedras, ubicado en la Vereda Las Delicias, municipio de Isnos – Huila.</v>
      </c>
      <c r="C6" s="23">
        <f>'Estudio de mercado'!G8</f>
        <v>1</v>
      </c>
      <c r="D6" s="24" t="str">
        <f>'Estudio de mercado'!F8</f>
        <v>Servicio</v>
      </c>
      <c r="E6" s="25">
        <f>'Estudio de mercado'!AA8</f>
        <v>3808000</v>
      </c>
      <c r="F6" s="25">
        <f>'Estudio de mercado'!AB8</f>
        <v>3808000</v>
      </c>
    </row>
    <row r="7" spans="1:7" ht="108.5">
      <c r="A7" s="21">
        <f t="shared" si="0"/>
        <v>4</v>
      </c>
      <c r="B7" s="22" t="str">
        <f>'Estudio de mercado'!B9</f>
        <v>Servicio de fumigación y desinfección de ambientes en áreas interiores, utilizando técnicas como: desinfección desinsectación,  Inmunización  de maderas y desratización para el control de plagas y mantenimiento de las instalaciones libres de microorganismos (hongos, levaduras,bacterias), aplicación de cebos especiales para roedores y voladores, en el parque Arqueológico de Tierradentro – Inzá,Cauca.</v>
      </c>
      <c r="C7" s="23">
        <f>'Estudio de mercado'!G9</f>
        <v>1</v>
      </c>
      <c r="D7" s="24" t="str">
        <f>'Estudio de mercado'!F9</f>
        <v>Servicio</v>
      </c>
      <c r="E7" s="25">
        <f>'Estudio de mercado'!AA9</f>
        <v>4895868</v>
      </c>
      <c r="F7" s="25">
        <f>'Estudio de mercado'!AB9</f>
        <v>4895868</v>
      </c>
    </row>
    <row r="8" spans="1:7" ht="108.5">
      <c r="A8" s="21">
        <f t="shared" si="0"/>
        <v>5</v>
      </c>
      <c r="B8" s="22" t="str">
        <f>'Estudio de mercado'!B10</f>
        <v>Servicio de fumigación y desinfección de ambientes en áreas interiores, utilizando técnicas como:  desinfección desinsectación, Inmunización  de maderas y desratización para el control de plagas y mantenimiento de las instalaciones libres de microorganismos (hongos, levaduras, bacterias), aplicación de cebos especiales para roedores y voladores, en el parque Arqueológico de Santa María de La Antigua del Darién, Chocó.</v>
      </c>
      <c r="C8" s="23">
        <f>'Estudio de mercado'!G10</f>
        <v>1</v>
      </c>
      <c r="D8" s="24" t="str">
        <f>'Estudio de mercado'!F10</f>
        <v>Servicio</v>
      </c>
      <c r="E8" s="25">
        <f>'Estudio de mercado'!AA10</f>
        <v>9067884</v>
      </c>
      <c r="F8" s="25">
        <f>'Estudio de mercado'!AB10</f>
        <v>9067884</v>
      </c>
    </row>
    <row r="9" spans="1:7" ht="108.5">
      <c r="A9" s="21">
        <f t="shared" si="0"/>
        <v>6</v>
      </c>
      <c r="B9" s="22" t="str">
        <f>'Estudio de mercado'!B11</f>
        <v>Servicio de fumigación y desinfección de ambientes en áreas interiores, utilizando técnicas como:        desinfección desinsectación, Inmunización de maderas y desratización para el control de plagas y mantenimiento de las instalaciones libres de microorganismos (hongos, levaduras, bacterias), aplicación de cebos especiales para roedores y voladores, en la sede administrativa Santa Marta, Magdalena.</v>
      </c>
      <c r="C9" s="23">
        <f>'Estudio de mercado'!G11</f>
        <v>1</v>
      </c>
      <c r="D9" s="24" t="str">
        <f>'Estudio de mercado'!F11</f>
        <v>Servicio</v>
      </c>
      <c r="E9" s="25">
        <f>'Estudio de mercado'!AA11</f>
        <v>5049431</v>
      </c>
      <c r="F9" s="25">
        <f>'Estudio de mercado'!AB11</f>
        <v>5049431</v>
      </c>
    </row>
    <row r="10" spans="1:7" ht="108.5">
      <c r="A10" s="21">
        <f t="shared" si="0"/>
        <v>7</v>
      </c>
      <c r="B10" s="22" t="str">
        <f>'Estudio de mercado'!B12</f>
        <v>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en la sede administrativa de San José del Guaviare</v>
      </c>
      <c r="C10" s="23">
        <f>'Estudio de mercado'!G12</f>
        <v>1</v>
      </c>
      <c r="D10" s="24" t="str">
        <f>'Estudio de mercado'!F12</f>
        <v>Servicio</v>
      </c>
      <c r="E10" s="25">
        <f>'Estudio de mercado'!AA12</f>
        <v>5565775</v>
      </c>
      <c r="F10" s="25">
        <f>'Estudio de mercado'!AB12</f>
        <v>5565775</v>
      </c>
    </row>
    <row r="11" spans="1:7" ht="108.5">
      <c r="A11" s="21">
        <f t="shared" si="0"/>
        <v>8</v>
      </c>
      <c r="B11" s="22" t="str">
        <f>'Estudio de mercado'!B13</f>
        <v>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en la bodega ubicada en la Carrera 73A # 69A-33 en Bogotá</v>
      </c>
      <c r="C11" s="23">
        <f>'Estudio de mercado'!G13</f>
        <v>1</v>
      </c>
      <c r="D11" s="24" t="str">
        <f>'Estudio de mercado'!F13</f>
        <v>Servicio</v>
      </c>
      <c r="E11" s="25">
        <f>'Estudio de mercado'!AA13</f>
        <v>6490279</v>
      </c>
      <c r="F11" s="25">
        <f>'Estudio de mercado'!AB13</f>
        <v>6490279</v>
      </c>
    </row>
    <row r="12" spans="1:7" ht="108.5">
      <c r="A12" s="21">
        <f t="shared" si="0"/>
        <v>9</v>
      </c>
      <c r="B12" s="22" t="str">
        <f>'Estudio de mercado'!B14</f>
        <v>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en la sede administrativa ubicada en Calle 12 # 2 -38 en Bogotá</v>
      </c>
      <c r="C12" s="23">
        <f>'Estudio de mercado'!G14</f>
        <v>1</v>
      </c>
      <c r="D12" s="24" t="str">
        <f>'Estudio de mercado'!F14</f>
        <v>Servicio</v>
      </c>
      <c r="E12" s="25">
        <f>'Estudio de mercado'!AA14</f>
        <v>3530698</v>
      </c>
      <c r="F12" s="25">
        <f>'Estudio de mercado'!AB14</f>
        <v>3530698</v>
      </c>
    </row>
    <row r="13" spans="1:7" ht="108.5">
      <c r="A13" s="21">
        <f t="shared" si="0"/>
        <v>10</v>
      </c>
      <c r="B13" s="22" t="str">
        <f>'Estudio de mercado'!B15</f>
        <v>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en la sede del edificio nuevo ubicado en la calle 12 b # 2 - 37</v>
      </c>
      <c r="C13" s="23">
        <f>'Estudio de mercado'!G15</f>
        <v>1</v>
      </c>
      <c r="D13" s="24" t="str">
        <f>'Estudio de mercado'!F15</f>
        <v>Servicio</v>
      </c>
      <c r="E13" s="25">
        <f>'Estudio de mercado'!AA15</f>
        <v>5912120</v>
      </c>
      <c r="F13" s="25">
        <f>'Estudio de mercado'!AB15</f>
        <v>5912120</v>
      </c>
    </row>
    <row r="14" spans="1:7" ht="93">
      <c r="A14" s="21">
        <f t="shared" si="0"/>
        <v>11</v>
      </c>
      <c r="B14" s="22" t="str">
        <f>'Estudio de mercado'!B16</f>
        <v>Servicio de fumigación y desinfección de ambientes en áreas interiores, utilizando técnicas	como:	desinfección desinsectación y desratización para el control de plagas y mantenimiento de las instalaciones libres de microorganismos (hongos, levaduras, bacterias), aplicación de cebos especiales para roedores y voladores en la sede misional ubicada en la calle 12 # 2- 41</v>
      </c>
      <c r="C14" s="23">
        <f>'Estudio de mercado'!G16</f>
        <v>1</v>
      </c>
      <c r="D14" s="24" t="str">
        <f>'Estudio de mercado'!F16</f>
        <v>Servicio</v>
      </c>
      <c r="E14" s="25">
        <f>'Estudio de mercado'!AA16</f>
        <v>3837906</v>
      </c>
      <c r="F14" s="25">
        <f>'Estudio de mercado'!AB16</f>
        <v>3837906</v>
      </c>
    </row>
    <row r="15" spans="1:7" ht="62">
      <c r="A15" s="21">
        <f t="shared" si="0"/>
        <v>12</v>
      </c>
      <c r="B15" s="22" t="str">
        <f>'Estudio de mercado'!B17</f>
        <v>- La prestación de servicio consiste en la aspersión de un amonio cuaternario para el control de hongos, virus y bacterias.
- Toma de muestras de frotis de superficie antes y después de la desinfección en la Biblioteca SEDE Bogotá ICANH</v>
      </c>
      <c r="C15" s="23">
        <f>'Estudio de mercado'!G17</f>
        <v>2</v>
      </c>
      <c r="D15" s="24" t="str">
        <f>'Estudio de mercado'!F17</f>
        <v>Servicio</v>
      </c>
      <c r="E15" s="25">
        <f>'Estudio de mercado'!AA17</f>
        <v>1172104</v>
      </c>
      <c r="F15" s="25">
        <f>'Estudio de mercado'!AB17</f>
        <v>2344208</v>
      </c>
    </row>
    <row r="16" spans="1:7" ht="15.5">
      <c r="A16" s="159" t="s">
        <v>26</v>
      </c>
      <c r="B16" s="159"/>
      <c r="C16" s="159"/>
      <c r="D16" s="159"/>
      <c r="E16" s="159"/>
      <c r="F16" s="31">
        <f>SUM(F4:F15)</f>
        <v>86686605</v>
      </c>
    </row>
    <row r="17" spans="1:6" ht="15.5">
      <c r="A17" s="26"/>
      <c r="B17" s="26"/>
      <c r="C17" s="26"/>
      <c r="D17" s="26"/>
      <c r="E17" s="26"/>
      <c r="F17" s="26"/>
    </row>
    <row r="18" spans="1:6" ht="16" thickBot="1">
      <c r="A18" s="26"/>
      <c r="B18" s="26"/>
      <c r="C18" s="26"/>
      <c r="D18" s="26"/>
      <c r="E18" s="26"/>
      <c r="F18" s="26"/>
    </row>
    <row r="19" spans="1:6">
      <c r="A19" s="160" t="s">
        <v>33</v>
      </c>
      <c r="B19" s="161"/>
      <c r="C19" s="161"/>
      <c r="D19" s="161"/>
      <c r="E19" s="161"/>
      <c r="F19" s="162"/>
    </row>
    <row r="20" spans="1:6">
      <c r="A20" s="163"/>
      <c r="B20" s="164"/>
      <c r="C20" s="164"/>
      <c r="D20" s="164"/>
      <c r="E20" s="164"/>
      <c r="F20" s="165"/>
    </row>
    <row r="21" spans="1:6" ht="13" thickBot="1">
      <c r="A21" s="166"/>
      <c r="B21" s="167"/>
      <c r="C21" s="167"/>
      <c r="D21" s="167"/>
      <c r="E21" s="167"/>
      <c r="F21" s="168"/>
    </row>
  </sheetData>
  <sheetProtection algorithmName="SHA-512" hashValue="4scKOdPzmAW1R1fDKCBwlyU2UY/8VLM34zBnk+eX+QDDjanNivhyRd1PGVUklMzyOxUvafGHq2+n35Om9b6Oyg==" saltValue="IaTH4Y4YpdYCHDDVPJi2gA==" spinCount="100000" sheet="1" objects="1" scenarios="1"/>
  <mergeCells count="5">
    <mergeCell ref="F1:F2"/>
    <mergeCell ref="A16:E16"/>
    <mergeCell ref="A19:F21"/>
    <mergeCell ref="A1:E1"/>
    <mergeCell ref="A2:E2"/>
  </mergeCells>
  <conditionalFormatting sqref="A1">
    <cfRule type="duplicateValues" dxfId="1" priority="2"/>
  </conditionalFormatting>
  <conditionalFormatting sqref="A2">
    <cfRule type="duplicateValues" dxfId="0" priority="1"/>
  </conditionalFormatting>
  <pageMargins left="0.74803149606299213" right="0.74803149606299213" top="0.98425196850393704" bottom="0.98425196850393704" header="0.51181102362204722" footer="0.51181102362204722"/>
  <pageSetup scale="70" fitToHeight="3" orientation="landscape" r:id="rId1"/>
  <headerFooter>
    <oddHeader>&amp;L&amp;"Calibri"&amp;15&amp;K000000 Información Pública Clasificada&amp;1#_x000D_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F378E-7007-48FE-9459-E6C98CC3068B}">
  <sheetPr codeName="Hoja3"/>
  <dimension ref="A1:B186"/>
  <sheetViews>
    <sheetView workbookViewId="0">
      <selection activeCell="A186" sqref="A186"/>
    </sheetView>
  </sheetViews>
  <sheetFormatPr baseColWidth="10" defaultColWidth="11.453125" defaultRowHeight="12.5"/>
  <cols>
    <col min="1" max="1" width="11.453125" style="1"/>
    <col min="2" max="2" width="35.26953125" style="1" bestFit="1" customWidth="1"/>
    <col min="3" max="16384" width="11.453125" style="1"/>
  </cols>
  <sheetData>
    <row r="1" spans="1:2" ht="15.5">
      <c r="A1" s="173" t="s">
        <v>34</v>
      </c>
      <c r="B1" s="173"/>
    </row>
    <row r="2" spans="1:2" ht="15.5">
      <c r="A2" s="28" t="s">
        <v>35</v>
      </c>
      <c r="B2" s="29" t="s">
        <v>31</v>
      </c>
    </row>
    <row r="3" spans="1:2" ht="15.5">
      <c r="A3" s="30" t="s">
        <v>36</v>
      </c>
      <c r="B3" s="30" t="s">
        <v>37</v>
      </c>
    </row>
    <row r="4" spans="1:2" ht="15.5">
      <c r="A4" s="30" t="s">
        <v>38</v>
      </c>
      <c r="B4" s="30" t="s">
        <v>39</v>
      </c>
    </row>
    <row r="5" spans="1:2" ht="15.5">
      <c r="A5" s="30" t="s">
        <v>40</v>
      </c>
      <c r="B5" s="30" t="s">
        <v>41</v>
      </c>
    </row>
    <row r="6" spans="1:2" ht="15.5">
      <c r="A6" s="30" t="s">
        <v>42</v>
      </c>
      <c r="B6" s="30" t="s">
        <v>43</v>
      </c>
    </row>
    <row r="7" spans="1:2" ht="15.5">
      <c r="A7" s="30" t="s">
        <v>44</v>
      </c>
      <c r="B7" s="30" t="s">
        <v>45</v>
      </c>
    </row>
    <row r="8" spans="1:2" ht="15.5">
      <c r="A8" s="30" t="s">
        <v>46</v>
      </c>
      <c r="B8" s="30" t="s">
        <v>47</v>
      </c>
    </row>
    <row r="9" spans="1:2" ht="15.5">
      <c r="A9" s="30" t="s">
        <v>48</v>
      </c>
      <c r="B9" s="30" t="s">
        <v>49</v>
      </c>
    </row>
    <row r="10" spans="1:2" ht="15.5">
      <c r="A10" s="30" t="s">
        <v>50</v>
      </c>
      <c r="B10" s="30" t="s">
        <v>51</v>
      </c>
    </row>
    <row r="11" spans="1:2" ht="15.5">
      <c r="A11" s="30" t="s">
        <v>52</v>
      </c>
      <c r="B11" s="30" t="s">
        <v>53</v>
      </c>
    </row>
    <row r="12" spans="1:2" ht="15.5">
      <c r="A12" s="30" t="s">
        <v>54</v>
      </c>
      <c r="B12" s="30" t="s">
        <v>55</v>
      </c>
    </row>
    <row r="13" spans="1:2" ht="15.5">
      <c r="A13" s="30" t="s">
        <v>56</v>
      </c>
      <c r="B13" s="30" t="s">
        <v>57</v>
      </c>
    </row>
    <row r="14" spans="1:2" ht="15.5">
      <c r="A14" s="30" t="s">
        <v>58</v>
      </c>
      <c r="B14" s="30" t="s">
        <v>59</v>
      </c>
    </row>
    <row r="15" spans="1:2" ht="15.5">
      <c r="A15" s="30" t="s">
        <v>60</v>
      </c>
      <c r="B15" s="30" t="s">
        <v>61</v>
      </c>
    </row>
    <row r="16" spans="1:2" ht="15.5">
      <c r="A16" s="30" t="s">
        <v>62</v>
      </c>
      <c r="B16" s="30" t="s">
        <v>63</v>
      </c>
    </row>
    <row r="17" spans="1:2" ht="15.5">
      <c r="A17" s="30" t="s">
        <v>64</v>
      </c>
      <c r="B17" s="30" t="s">
        <v>65</v>
      </c>
    </row>
    <row r="18" spans="1:2" ht="15.5">
      <c r="A18" s="30" t="s">
        <v>66</v>
      </c>
      <c r="B18" s="30" t="s">
        <v>67</v>
      </c>
    </row>
    <row r="19" spans="1:2" ht="15.5">
      <c r="A19" s="30" t="s">
        <v>68</v>
      </c>
      <c r="B19" s="30" t="s">
        <v>69</v>
      </c>
    </row>
    <row r="20" spans="1:2" ht="15.5">
      <c r="A20" s="30" t="s">
        <v>70</v>
      </c>
      <c r="B20" s="30" t="s">
        <v>71</v>
      </c>
    </row>
    <row r="21" spans="1:2" ht="15.5">
      <c r="A21" s="30" t="s">
        <v>72</v>
      </c>
      <c r="B21" s="30" t="s">
        <v>73</v>
      </c>
    </row>
    <row r="22" spans="1:2" ht="15.5">
      <c r="A22" s="30" t="s">
        <v>74</v>
      </c>
      <c r="B22" s="30" t="s">
        <v>75</v>
      </c>
    </row>
    <row r="23" spans="1:2" ht="15.5">
      <c r="A23" s="30" t="s">
        <v>76</v>
      </c>
      <c r="B23" s="30" t="s">
        <v>77</v>
      </c>
    </row>
    <row r="24" spans="1:2" ht="15.5">
      <c r="A24" s="30" t="s">
        <v>78</v>
      </c>
      <c r="B24" s="30" t="s">
        <v>28</v>
      </c>
    </row>
    <row r="25" spans="1:2" ht="15.5">
      <c r="A25" s="30" t="s">
        <v>79</v>
      </c>
      <c r="B25" s="30" t="s">
        <v>80</v>
      </c>
    </row>
    <row r="26" spans="1:2" ht="15.5">
      <c r="A26" s="30" t="s">
        <v>81</v>
      </c>
      <c r="B26" s="30" t="s">
        <v>28</v>
      </c>
    </row>
    <row r="27" spans="1:2" ht="15.5">
      <c r="A27" s="30" t="s">
        <v>82</v>
      </c>
      <c r="B27" s="30" t="s">
        <v>83</v>
      </c>
    </row>
    <row r="28" spans="1:2" ht="15.5">
      <c r="A28" s="30" t="s">
        <v>84</v>
      </c>
      <c r="B28" s="30" t="s">
        <v>85</v>
      </c>
    </row>
    <row r="29" spans="1:2" ht="15.5">
      <c r="A29" s="30" t="s">
        <v>86</v>
      </c>
      <c r="B29" s="30" t="s">
        <v>87</v>
      </c>
    </row>
    <row r="30" spans="1:2" ht="15.5">
      <c r="A30" s="30" t="s">
        <v>88</v>
      </c>
      <c r="B30" s="30" t="s">
        <v>89</v>
      </c>
    </row>
    <row r="31" spans="1:2" ht="15.5">
      <c r="A31" s="30" t="s">
        <v>90</v>
      </c>
      <c r="B31" s="30" t="s">
        <v>91</v>
      </c>
    </row>
    <row r="32" spans="1:2" ht="15.5">
      <c r="A32" s="30" t="s">
        <v>92</v>
      </c>
      <c r="B32" s="30" t="s">
        <v>93</v>
      </c>
    </row>
    <row r="33" spans="1:2" ht="15.5">
      <c r="A33" s="30" t="s">
        <v>94</v>
      </c>
      <c r="B33" s="30" t="s">
        <v>95</v>
      </c>
    </row>
    <row r="34" spans="1:2" ht="15.5">
      <c r="A34" s="30" t="s">
        <v>96</v>
      </c>
      <c r="B34" s="30" t="s">
        <v>97</v>
      </c>
    </row>
    <row r="35" spans="1:2" ht="15.5">
      <c r="A35" s="30" t="s">
        <v>98</v>
      </c>
      <c r="B35" s="30" t="s">
        <v>99</v>
      </c>
    </row>
    <row r="36" spans="1:2" ht="15.5">
      <c r="A36" s="30" t="s">
        <v>100</v>
      </c>
      <c r="B36" s="30" t="s">
        <v>101</v>
      </c>
    </row>
    <row r="37" spans="1:2" ht="15.5">
      <c r="A37" s="30" t="s">
        <v>102</v>
      </c>
      <c r="B37" s="30" t="s">
        <v>103</v>
      </c>
    </row>
    <row r="38" spans="1:2" ht="15.5">
      <c r="A38" s="30" t="s">
        <v>104</v>
      </c>
      <c r="B38" s="30" t="s">
        <v>105</v>
      </c>
    </row>
    <row r="39" spans="1:2" ht="15.5">
      <c r="A39" s="30" t="s">
        <v>106</v>
      </c>
      <c r="B39" s="30" t="s">
        <v>107</v>
      </c>
    </row>
    <row r="40" spans="1:2" ht="15.5">
      <c r="A40" s="30" t="s">
        <v>108</v>
      </c>
      <c r="B40" s="30" t="s">
        <v>109</v>
      </c>
    </row>
    <row r="41" spans="1:2" ht="15.5">
      <c r="A41" s="30" t="s">
        <v>110</v>
      </c>
      <c r="B41" s="30" t="s">
        <v>111</v>
      </c>
    </row>
    <row r="42" spans="1:2" ht="15.5">
      <c r="A42" s="30" t="s">
        <v>112</v>
      </c>
      <c r="B42" s="30" t="s">
        <v>113</v>
      </c>
    </row>
    <row r="43" spans="1:2" ht="15.5">
      <c r="A43" s="30" t="s">
        <v>114</v>
      </c>
      <c r="B43" s="30" t="s">
        <v>115</v>
      </c>
    </row>
    <row r="44" spans="1:2" ht="15.5">
      <c r="A44" s="30" t="s">
        <v>116</v>
      </c>
      <c r="B44" s="30" t="s">
        <v>117</v>
      </c>
    </row>
    <row r="45" spans="1:2" ht="15.5">
      <c r="A45" s="30" t="s">
        <v>118</v>
      </c>
      <c r="B45" s="30" t="s">
        <v>119</v>
      </c>
    </row>
    <row r="46" spans="1:2" ht="15.5">
      <c r="A46" s="30" t="s">
        <v>120</v>
      </c>
      <c r="B46" s="30" t="s">
        <v>121</v>
      </c>
    </row>
    <row r="47" spans="1:2" ht="15.5">
      <c r="A47" s="30" t="s">
        <v>122</v>
      </c>
      <c r="B47" s="30" t="s">
        <v>123</v>
      </c>
    </row>
    <row r="48" spans="1:2" ht="15.5">
      <c r="A48" s="30" t="s">
        <v>124</v>
      </c>
      <c r="B48" s="30" t="s">
        <v>125</v>
      </c>
    </row>
    <row r="49" spans="1:2" ht="15.5">
      <c r="A49" s="30" t="s">
        <v>126</v>
      </c>
      <c r="B49" s="30" t="s">
        <v>127</v>
      </c>
    </row>
    <row r="50" spans="1:2" ht="15.5">
      <c r="A50" s="30" t="s">
        <v>128</v>
      </c>
      <c r="B50" s="30" t="s">
        <v>129</v>
      </c>
    </row>
    <row r="51" spans="1:2" ht="15.5">
      <c r="A51" s="30" t="s">
        <v>130</v>
      </c>
      <c r="B51" s="30" t="s">
        <v>131</v>
      </c>
    </row>
    <row r="52" spans="1:2" ht="15.5">
      <c r="A52" s="30" t="s">
        <v>132</v>
      </c>
      <c r="B52" s="30" t="s">
        <v>133</v>
      </c>
    </row>
    <row r="53" spans="1:2" ht="15.5">
      <c r="A53" s="30" t="s">
        <v>134</v>
      </c>
      <c r="B53" s="30" t="s">
        <v>135</v>
      </c>
    </row>
    <row r="54" spans="1:2" ht="15.5">
      <c r="A54" s="30" t="s">
        <v>136</v>
      </c>
      <c r="B54" s="30" t="s">
        <v>137</v>
      </c>
    </row>
    <row r="55" spans="1:2" ht="15.5">
      <c r="A55" s="30" t="s">
        <v>138</v>
      </c>
      <c r="B55" s="30" t="s">
        <v>139</v>
      </c>
    </row>
    <row r="56" spans="1:2" ht="15.5">
      <c r="A56" s="30" t="s">
        <v>140</v>
      </c>
      <c r="B56" s="30" t="s">
        <v>141</v>
      </c>
    </row>
    <row r="57" spans="1:2" ht="15.5">
      <c r="A57" s="30" t="s">
        <v>142</v>
      </c>
      <c r="B57" s="30" t="s">
        <v>143</v>
      </c>
    </row>
    <row r="58" spans="1:2" ht="15.5">
      <c r="A58" s="30" t="s">
        <v>144</v>
      </c>
      <c r="B58" s="30" t="s">
        <v>145</v>
      </c>
    </row>
    <row r="59" spans="1:2" ht="15.5">
      <c r="A59" s="30" t="s">
        <v>146</v>
      </c>
      <c r="B59" s="30" t="s">
        <v>147</v>
      </c>
    </row>
    <row r="60" spans="1:2" ht="15.5">
      <c r="A60" s="30" t="s">
        <v>148</v>
      </c>
      <c r="B60" s="30" t="s">
        <v>149</v>
      </c>
    </row>
    <row r="61" spans="1:2" ht="15.5">
      <c r="A61" s="30" t="s">
        <v>150</v>
      </c>
      <c r="B61" s="30" t="s">
        <v>151</v>
      </c>
    </row>
    <row r="62" spans="1:2" ht="15.5">
      <c r="A62" s="30" t="s">
        <v>152</v>
      </c>
      <c r="B62" s="30" t="s">
        <v>153</v>
      </c>
    </row>
    <row r="63" spans="1:2" ht="15.5">
      <c r="A63" s="30" t="s">
        <v>154</v>
      </c>
      <c r="B63" s="30" t="s">
        <v>155</v>
      </c>
    </row>
    <row r="64" spans="1:2" ht="15.5">
      <c r="A64" s="30" t="s">
        <v>156</v>
      </c>
      <c r="B64" s="30" t="s">
        <v>157</v>
      </c>
    </row>
    <row r="65" spans="1:2" ht="15.5">
      <c r="A65" s="30" t="s">
        <v>158</v>
      </c>
      <c r="B65" s="30" t="s">
        <v>159</v>
      </c>
    </row>
    <row r="66" spans="1:2" ht="15.5">
      <c r="A66" s="30" t="s">
        <v>160</v>
      </c>
      <c r="B66" s="30" t="s">
        <v>161</v>
      </c>
    </row>
    <row r="67" spans="1:2" ht="15.5">
      <c r="A67" s="30" t="s">
        <v>162</v>
      </c>
      <c r="B67" s="30" t="s">
        <v>163</v>
      </c>
    </row>
    <row r="68" spans="1:2" ht="15.5">
      <c r="A68" s="30" t="s">
        <v>164</v>
      </c>
      <c r="B68" s="30" t="s">
        <v>165</v>
      </c>
    </row>
    <row r="69" spans="1:2" ht="15.5">
      <c r="A69" s="30" t="s">
        <v>166</v>
      </c>
      <c r="B69" s="30" t="s">
        <v>167</v>
      </c>
    </row>
    <row r="70" spans="1:2" ht="15.5">
      <c r="A70" s="30" t="s">
        <v>168</v>
      </c>
      <c r="B70" s="30" t="s">
        <v>169</v>
      </c>
    </row>
    <row r="71" spans="1:2" ht="15.5">
      <c r="A71" s="30" t="s">
        <v>170</v>
      </c>
      <c r="B71" s="30" t="s">
        <v>171</v>
      </c>
    </row>
    <row r="72" spans="1:2" ht="15.5">
      <c r="A72" s="30" t="s">
        <v>172</v>
      </c>
      <c r="B72" s="30" t="s">
        <v>173</v>
      </c>
    </row>
    <row r="73" spans="1:2" ht="15.5">
      <c r="A73" s="30" t="s">
        <v>174</v>
      </c>
      <c r="B73" s="30" t="s">
        <v>175</v>
      </c>
    </row>
    <row r="74" spans="1:2" ht="15.5">
      <c r="A74" s="30" t="s">
        <v>176</v>
      </c>
      <c r="B74" s="30" t="s">
        <v>177</v>
      </c>
    </row>
    <row r="75" spans="1:2" ht="15.5">
      <c r="A75" s="30" t="s">
        <v>178</v>
      </c>
      <c r="B75" s="30" t="s">
        <v>179</v>
      </c>
    </row>
    <row r="76" spans="1:2" ht="15.5">
      <c r="A76" s="30" t="s">
        <v>180</v>
      </c>
      <c r="B76" s="30" t="s">
        <v>181</v>
      </c>
    </row>
    <row r="77" spans="1:2" ht="15.5">
      <c r="A77" s="30" t="s">
        <v>182</v>
      </c>
      <c r="B77" s="30" t="s">
        <v>183</v>
      </c>
    </row>
    <row r="78" spans="1:2" ht="15.5">
      <c r="A78" s="30" t="s">
        <v>184</v>
      </c>
      <c r="B78" s="30" t="s">
        <v>185</v>
      </c>
    </row>
    <row r="79" spans="1:2" ht="15.5">
      <c r="A79" s="30" t="s">
        <v>186</v>
      </c>
      <c r="B79" s="30" t="s">
        <v>187</v>
      </c>
    </row>
    <row r="80" spans="1:2" ht="15.5">
      <c r="A80" s="30" t="s">
        <v>188</v>
      </c>
      <c r="B80" s="30" t="s">
        <v>189</v>
      </c>
    </row>
    <row r="81" spans="1:2" ht="15.5">
      <c r="A81" s="30" t="s">
        <v>190</v>
      </c>
      <c r="B81" s="30" t="s">
        <v>191</v>
      </c>
    </row>
    <row r="82" spans="1:2" ht="15.5">
      <c r="A82" s="30" t="s">
        <v>192</v>
      </c>
      <c r="B82" s="30" t="s">
        <v>193</v>
      </c>
    </row>
    <row r="83" spans="1:2" ht="15.5">
      <c r="A83" s="30" t="s">
        <v>194</v>
      </c>
      <c r="B83" s="30" t="s">
        <v>195</v>
      </c>
    </row>
    <row r="84" spans="1:2" ht="15.5">
      <c r="A84" s="30" t="s">
        <v>196</v>
      </c>
      <c r="B84" s="30" t="s">
        <v>197</v>
      </c>
    </row>
    <row r="85" spans="1:2" ht="15.5">
      <c r="A85" s="30" t="s">
        <v>198</v>
      </c>
      <c r="B85" s="30" t="s">
        <v>199</v>
      </c>
    </row>
    <row r="86" spans="1:2" ht="15.5">
      <c r="A86" s="30" t="s">
        <v>200</v>
      </c>
      <c r="B86" s="30" t="s">
        <v>201</v>
      </c>
    </row>
    <row r="87" spans="1:2" ht="15.5">
      <c r="A87" s="30" t="s">
        <v>202</v>
      </c>
      <c r="B87" s="30" t="s">
        <v>203</v>
      </c>
    </row>
    <row r="88" spans="1:2" ht="15.5">
      <c r="A88" s="30" t="s">
        <v>204</v>
      </c>
      <c r="B88" s="30" t="s">
        <v>205</v>
      </c>
    </row>
    <row r="89" spans="1:2" ht="15.5">
      <c r="A89" s="30" t="s">
        <v>206</v>
      </c>
      <c r="B89" s="30" t="s">
        <v>207</v>
      </c>
    </row>
    <row r="90" spans="1:2" ht="15.5">
      <c r="A90" s="30" t="s">
        <v>208</v>
      </c>
      <c r="B90" s="30" t="s">
        <v>209</v>
      </c>
    </row>
    <row r="91" spans="1:2" ht="15.5">
      <c r="A91" s="30" t="s">
        <v>210</v>
      </c>
      <c r="B91" s="30" t="s">
        <v>211</v>
      </c>
    </row>
    <row r="92" spans="1:2" ht="15.5">
      <c r="A92" s="30" t="s">
        <v>212</v>
      </c>
      <c r="B92" s="30" t="s">
        <v>213</v>
      </c>
    </row>
    <row r="93" spans="1:2" ht="15.5">
      <c r="A93" s="30" t="s">
        <v>214</v>
      </c>
      <c r="B93" s="30" t="s">
        <v>215</v>
      </c>
    </row>
    <row r="94" spans="1:2" ht="15.5">
      <c r="A94" s="30" t="s">
        <v>216</v>
      </c>
      <c r="B94" s="30" t="s">
        <v>217</v>
      </c>
    </row>
    <row r="95" spans="1:2" ht="15.5">
      <c r="A95" s="30" t="s">
        <v>218</v>
      </c>
      <c r="B95" s="30" t="s">
        <v>219</v>
      </c>
    </row>
    <row r="96" spans="1:2" ht="15.5">
      <c r="A96" s="30" t="s">
        <v>220</v>
      </c>
      <c r="B96" s="30" t="s">
        <v>221</v>
      </c>
    </row>
    <row r="97" spans="1:2" ht="15.5">
      <c r="A97" s="30" t="s">
        <v>222</v>
      </c>
      <c r="B97" s="30" t="s">
        <v>223</v>
      </c>
    </row>
    <row r="98" spans="1:2" ht="15.5">
      <c r="A98" s="30" t="s">
        <v>224</v>
      </c>
      <c r="B98" s="30" t="s">
        <v>225</v>
      </c>
    </row>
    <row r="99" spans="1:2" ht="15.5">
      <c r="A99" s="30" t="s">
        <v>226</v>
      </c>
      <c r="B99" s="30" t="s">
        <v>227</v>
      </c>
    </row>
    <row r="100" spans="1:2" ht="15.5">
      <c r="A100" s="30" t="s">
        <v>228</v>
      </c>
      <c r="B100" s="30" t="s">
        <v>229</v>
      </c>
    </row>
    <row r="101" spans="1:2" ht="15.5">
      <c r="A101" s="30" t="s">
        <v>230</v>
      </c>
      <c r="B101" s="30" t="s">
        <v>231</v>
      </c>
    </row>
    <row r="102" spans="1:2" ht="15.5">
      <c r="A102" s="30" t="s">
        <v>232</v>
      </c>
      <c r="B102" s="30" t="s">
        <v>233</v>
      </c>
    </row>
    <row r="103" spans="1:2" ht="15.5">
      <c r="A103" s="30" t="s">
        <v>234</v>
      </c>
      <c r="B103" s="30" t="s">
        <v>235</v>
      </c>
    </row>
    <row r="104" spans="1:2" ht="15.5">
      <c r="A104" s="30" t="s">
        <v>236</v>
      </c>
      <c r="B104" s="30" t="s">
        <v>93</v>
      </c>
    </row>
    <row r="105" spans="1:2" ht="15.5">
      <c r="A105" s="30" t="s">
        <v>237</v>
      </c>
      <c r="B105" s="30" t="s">
        <v>238</v>
      </c>
    </row>
    <row r="106" spans="1:2" ht="15.5">
      <c r="A106" s="30" t="s">
        <v>239</v>
      </c>
      <c r="B106" s="30" t="s">
        <v>240</v>
      </c>
    </row>
    <row r="107" spans="1:2" ht="15.5">
      <c r="A107" s="30" t="s">
        <v>241</v>
      </c>
      <c r="B107" s="30" t="s">
        <v>242</v>
      </c>
    </row>
    <row r="108" spans="1:2" ht="15.5">
      <c r="A108" s="30" t="s">
        <v>243</v>
      </c>
      <c r="B108" s="30" t="s">
        <v>244</v>
      </c>
    </row>
    <row r="109" spans="1:2" ht="15.5">
      <c r="A109" s="30" t="s">
        <v>245</v>
      </c>
      <c r="B109" s="30" t="s">
        <v>246</v>
      </c>
    </row>
    <row r="110" spans="1:2" ht="15.5">
      <c r="A110" s="30" t="s">
        <v>247</v>
      </c>
      <c r="B110" s="30" t="s">
        <v>248</v>
      </c>
    </row>
    <row r="111" spans="1:2" ht="15.5">
      <c r="A111" s="30" t="s">
        <v>249</v>
      </c>
      <c r="B111" s="30" t="s">
        <v>250</v>
      </c>
    </row>
    <row r="112" spans="1:2" ht="15.5">
      <c r="A112" s="30" t="s">
        <v>251</v>
      </c>
      <c r="B112" s="30" t="s">
        <v>252</v>
      </c>
    </row>
    <row r="113" spans="1:2" ht="15.5">
      <c r="A113" s="30" t="s">
        <v>253</v>
      </c>
      <c r="B113" s="30" t="s">
        <v>254</v>
      </c>
    </row>
    <row r="114" spans="1:2" ht="15.5">
      <c r="A114" s="30" t="s">
        <v>255</v>
      </c>
      <c r="B114" s="30" t="s">
        <v>256</v>
      </c>
    </row>
    <row r="115" spans="1:2" ht="15.5">
      <c r="A115" s="30" t="s">
        <v>257</v>
      </c>
      <c r="B115" s="30" t="s">
        <v>258</v>
      </c>
    </row>
    <row r="116" spans="1:2" ht="15.5">
      <c r="A116" s="30" t="s">
        <v>259</v>
      </c>
      <c r="B116" s="30" t="s">
        <v>260</v>
      </c>
    </row>
    <row r="117" spans="1:2" ht="15.5">
      <c r="A117" s="30" t="s">
        <v>261</v>
      </c>
      <c r="B117" s="30" t="s">
        <v>262</v>
      </c>
    </row>
    <row r="118" spans="1:2" ht="15.5">
      <c r="A118" s="30" t="s">
        <v>263</v>
      </c>
      <c r="B118" s="30" t="s">
        <v>264</v>
      </c>
    </row>
    <row r="119" spans="1:2" ht="15.5">
      <c r="A119" s="30" t="s">
        <v>265</v>
      </c>
      <c r="B119" s="30" t="s">
        <v>266</v>
      </c>
    </row>
    <row r="120" spans="1:2" ht="15.5">
      <c r="A120" s="30" t="s">
        <v>267</v>
      </c>
      <c r="B120" s="30" t="s">
        <v>268</v>
      </c>
    </row>
    <row r="121" spans="1:2" ht="15.5">
      <c r="A121" s="30" t="s">
        <v>269</v>
      </c>
      <c r="B121" s="30" t="s">
        <v>270</v>
      </c>
    </row>
    <row r="122" spans="1:2" ht="15.5">
      <c r="A122" s="30" t="s">
        <v>271</v>
      </c>
      <c r="B122" s="30" t="s">
        <v>272</v>
      </c>
    </row>
    <row r="123" spans="1:2" ht="15.5">
      <c r="A123" s="30" t="s">
        <v>273</v>
      </c>
      <c r="B123" s="30" t="s">
        <v>274</v>
      </c>
    </row>
    <row r="124" spans="1:2" ht="15.5">
      <c r="A124" s="30" t="s">
        <v>275</v>
      </c>
      <c r="B124" s="30" t="s">
        <v>276</v>
      </c>
    </row>
    <row r="125" spans="1:2" ht="15.5">
      <c r="A125" s="30" t="s">
        <v>277</v>
      </c>
      <c r="B125" s="30" t="s">
        <v>278</v>
      </c>
    </row>
    <row r="126" spans="1:2" ht="15.5">
      <c r="A126" s="30" t="s">
        <v>279</v>
      </c>
      <c r="B126" s="30" t="s">
        <v>280</v>
      </c>
    </row>
    <row r="127" spans="1:2" ht="15.5">
      <c r="A127" s="30" t="s">
        <v>281</v>
      </c>
      <c r="B127" s="30" t="s">
        <v>282</v>
      </c>
    </row>
    <row r="128" spans="1:2" ht="15.5">
      <c r="A128" s="30" t="s">
        <v>283</v>
      </c>
      <c r="B128" s="30" t="s">
        <v>284</v>
      </c>
    </row>
    <row r="129" spans="1:2" ht="15.5">
      <c r="A129" s="30" t="s">
        <v>285</v>
      </c>
      <c r="B129" s="30" t="s">
        <v>286</v>
      </c>
    </row>
    <row r="130" spans="1:2" ht="15.5">
      <c r="A130" s="30" t="s">
        <v>287</v>
      </c>
      <c r="B130" s="30" t="s">
        <v>288</v>
      </c>
    </row>
    <row r="131" spans="1:2" ht="15.5">
      <c r="A131" s="30" t="s">
        <v>289</v>
      </c>
      <c r="B131" s="30" t="s">
        <v>290</v>
      </c>
    </row>
    <row r="132" spans="1:2" ht="15.5">
      <c r="A132" s="30" t="s">
        <v>291</v>
      </c>
      <c r="B132" s="30" t="s">
        <v>292</v>
      </c>
    </row>
    <row r="133" spans="1:2" ht="15.5">
      <c r="A133" s="30" t="s">
        <v>293</v>
      </c>
      <c r="B133" s="30" t="s">
        <v>294</v>
      </c>
    </row>
    <row r="134" spans="1:2" ht="15.5">
      <c r="A134" s="30" t="s">
        <v>295</v>
      </c>
      <c r="B134" s="30" t="s">
        <v>296</v>
      </c>
    </row>
    <row r="135" spans="1:2" ht="15.5">
      <c r="A135" s="30" t="s">
        <v>297</v>
      </c>
      <c r="B135" s="30" t="s">
        <v>298</v>
      </c>
    </row>
    <row r="136" spans="1:2" ht="15.5">
      <c r="A136" s="30" t="s">
        <v>299</v>
      </c>
      <c r="B136" s="30" t="s">
        <v>300</v>
      </c>
    </row>
    <row r="137" spans="1:2" ht="15.5">
      <c r="A137" s="30" t="s">
        <v>301</v>
      </c>
      <c r="B137" s="30" t="s">
        <v>302</v>
      </c>
    </row>
    <row r="138" spans="1:2" ht="15.5">
      <c r="A138" s="30" t="s">
        <v>303</v>
      </c>
      <c r="B138" s="30" t="s">
        <v>304</v>
      </c>
    </row>
    <row r="139" spans="1:2" ht="15.5">
      <c r="A139" s="30" t="s">
        <v>305</v>
      </c>
      <c r="B139" s="30" t="s">
        <v>306</v>
      </c>
    </row>
    <row r="140" spans="1:2" ht="15.5">
      <c r="A140" s="30" t="s">
        <v>307</v>
      </c>
      <c r="B140" s="30" t="s">
        <v>308</v>
      </c>
    </row>
    <row r="141" spans="1:2" ht="15.5">
      <c r="A141" s="30" t="s">
        <v>309</v>
      </c>
      <c r="B141" s="30" t="s">
        <v>310</v>
      </c>
    </row>
    <row r="142" spans="1:2" ht="15.5">
      <c r="A142" s="30" t="s">
        <v>311</v>
      </c>
      <c r="B142" s="30" t="s">
        <v>312</v>
      </c>
    </row>
    <row r="143" spans="1:2" ht="15.5">
      <c r="A143" s="30" t="s">
        <v>313</v>
      </c>
      <c r="B143" s="30" t="s">
        <v>313</v>
      </c>
    </row>
    <row r="144" spans="1:2" ht="15.5">
      <c r="A144" s="30" t="s">
        <v>314</v>
      </c>
      <c r="B144" s="30" t="s">
        <v>315</v>
      </c>
    </row>
    <row r="145" spans="1:2" ht="15.5">
      <c r="A145" s="30" t="s">
        <v>316</v>
      </c>
      <c r="B145" s="30" t="s">
        <v>317</v>
      </c>
    </row>
    <row r="146" spans="1:2" ht="15.5">
      <c r="A146" s="30" t="s">
        <v>318</v>
      </c>
      <c r="B146" s="30" t="s">
        <v>319</v>
      </c>
    </row>
    <row r="147" spans="1:2" ht="15.5">
      <c r="A147" s="30" t="s">
        <v>320</v>
      </c>
      <c r="B147" s="30" t="s">
        <v>93</v>
      </c>
    </row>
    <row r="148" spans="1:2" ht="15.5">
      <c r="A148" s="30" t="s">
        <v>321</v>
      </c>
      <c r="B148" s="30" t="s">
        <v>322</v>
      </c>
    </row>
    <row r="149" spans="1:2" ht="15.5">
      <c r="A149" s="30" t="s">
        <v>323</v>
      </c>
      <c r="B149" s="30" t="s">
        <v>324</v>
      </c>
    </row>
    <row r="150" spans="1:2" ht="15.5">
      <c r="A150" s="30" t="s">
        <v>16</v>
      </c>
      <c r="B150" s="30" t="s">
        <v>27</v>
      </c>
    </row>
    <row r="151" spans="1:2" ht="15.5">
      <c r="A151" s="30" t="s">
        <v>325</v>
      </c>
      <c r="B151" s="30" t="s">
        <v>326</v>
      </c>
    </row>
    <row r="152" spans="1:2" ht="15.5">
      <c r="A152" s="30" t="s">
        <v>327</v>
      </c>
      <c r="B152" s="30" t="s">
        <v>328</v>
      </c>
    </row>
    <row r="153" spans="1:2" ht="15.5">
      <c r="A153" s="30" t="s">
        <v>329</v>
      </c>
      <c r="B153" s="30" t="s">
        <v>330</v>
      </c>
    </row>
    <row r="154" spans="1:2" ht="15.5">
      <c r="A154" s="30" t="s">
        <v>331</v>
      </c>
      <c r="B154" s="30" t="s">
        <v>332</v>
      </c>
    </row>
    <row r="155" spans="1:2" ht="15.5">
      <c r="A155" s="30" t="s">
        <v>333</v>
      </c>
      <c r="B155" s="30" t="s">
        <v>334</v>
      </c>
    </row>
    <row r="156" spans="1:2" ht="15.5">
      <c r="A156" s="30" t="s">
        <v>335</v>
      </c>
      <c r="B156" s="30" t="s">
        <v>155</v>
      </c>
    </row>
    <row r="157" spans="1:2" ht="15.5">
      <c r="A157" s="30" t="s">
        <v>336</v>
      </c>
      <c r="B157" s="30" t="s">
        <v>337</v>
      </c>
    </row>
    <row r="158" spans="1:2" ht="15.5">
      <c r="A158" s="30" t="s">
        <v>338</v>
      </c>
      <c r="B158" s="30" t="s">
        <v>339</v>
      </c>
    </row>
    <row r="159" spans="1:2" ht="15.5">
      <c r="A159" s="30" t="s">
        <v>340</v>
      </c>
      <c r="B159" s="30" t="s">
        <v>341</v>
      </c>
    </row>
    <row r="160" spans="1:2" ht="15.5">
      <c r="A160" s="30" t="s">
        <v>342</v>
      </c>
      <c r="B160" s="30" t="s">
        <v>343</v>
      </c>
    </row>
    <row r="161" spans="1:2" ht="15.5">
      <c r="A161" s="30" t="s">
        <v>344</v>
      </c>
      <c r="B161" s="30" t="s">
        <v>345</v>
      </c>
    </row>
    <row r="162" spans="1:2" ht="15.5">
      <c r="A162" s="30" t="s">
        <v>346</v>
      </c>
      <c r="B162" s="30" t="s">
        <v>347</v>
      </c>
    </row>
    <row r="163" spans="1:2" ht="15.5">
      <c r="A163" s="30" t="s">
        <v>348</v>
      </c>
      <c r="B163" s="30" t="s">
        <v>349</v>
      </c>
    </row>
    <row r="164" spans="1:2" ht="15.5">
      <c r="A164" s="30" t="s">
        <v>350</v>
      </c>
      <c r="B164" s="30" t="s">
        <v>351</v>
      </c>
    </row>
    <row r="165" spans="1:2" ht="15.5">
      <c r="A165" s="30" t="s">
        <v>352</v>
      </c>
      <c r="B165" s="30" t="s">
        <v>353</v>
      </c>
    </row>
    <row r="166" spans="1:2" ht="15.5">
      <c r="A166" s="30" t="s">
        <v>354</v>
      </c>
      <c r="B166" s="30" t="s">
        <v>355</v>
      </c>
    </row>
    <row r="167" spans="1:2" ht="15.5">
      <c r="A167" s="30" t="s">
        <v>356</v>
      </c>
      <c r="B167" s="30" t="s">
        <v>357</v>
      </c>
    </row>
    <row r="168" spans="1:2" ht="15.5">
      <c r="A168" s="30" t="s">
        <v>358</v>
      </c>
      <c r="B168" s="30" t="s">
        <v>359</v>
      </c>
    </row>
    <row r="169" spans="1:2" ht="15.5">
      <c r="A169" s="30" t="s">
        <v>360</v>
      </c>
      <c r="B169" s="30" t="s">
        <v>361</v>
      </c>
    </row>
    <row r="170" spans="1:2" ht="15.5">
      <c r="A170" s="30" t="s">
        <v>362</v>
      </c>
      <c r="B170" s="30" t="s">
        <v>363</v>
      </c>
    </row>
    <row r="171" spans="1:2" ht="15.5">
      <c r="A171" s="30" t="s">
        <v>364</v>
      </c>
      <c r="B171" s="30" t="s">
        <v>365</v>
      </c>
    </row>
    <row r="172" spans="1:2" ht="15.5">
      <c r="A172" s="30" t="s">
        <v>366</v>
      </c>
      <c r="B172" s="30" t="s">
        <v>367</v>
      </c>
    </row>
    <row r="173" spans="1:2" ht="15.5">
      <c r="A173" s="30" t="s">
        <v>368</v>
      </c>
      <c r="B173" s="30" t="s">
        <v>369</v>
      </c>
    </row>
    <row r="174" spans="1:2" ht="15.5">
      <c r="A174" s="30" t="s">
        <v>370</v>
      </c>
      <c r="B174" s="30" t="s">
        <v>371</v>
      </c>
    </row>
    <row r="175" spans="1:2" ht="15.5">
      <c r="A175" s="30" t="s">
        <v>372</v>
      </c>
      <c r="B175" s="30" t="s">
        <v>373</v>
      </c>
    </row>
    <row r="176" spans="1:2" ht="15.5">
      <c r="A176" s="30" t="s">
        <v>374</v>
      </c>
      <c r="B176" s="30" t="s">
        <v>375</v>
      </c>
    </row>
    <row r="177" spans="1:2" ht="15.5">
      <c r="A177" s="30" t="s">
        <v>376</v>
      </c>
      <c r="B177" s="30" t="s">
        <v>377</v>
      </c>
    </row>
    <row r="178" spans="1:2" ht="15.5">
      <c r="A178" s="30" t="s">
        <v>378</v>
      </c>
      <c r="B178" s="30" t="s">
        <v>379</v>
      </c>
    </row>
    <row r="179" spans="1:2" ht="15.5">
      <c r="A179" s="30" t="s">
        <v>380</v>
      </c>
      <c r="B179" s="30" t="s">
        <v>381</v>
      </c>
    </row>
    <row r="180" spans="1:2" ht="15.5">
      <c r="A180" s="30" t="s">
        <v>382</v>
      </c>
      <c r="B180" s="30" t="s">
        <v>383</v>
      </c>
    </row>
    <row r="181" spans="1:2" ht="15.5">
      <c r="A181" s="30" t="s">
        <v>384</v>
      </c>
      <c r="B181" s="30" t="s">
        <v>385</v>
      </c>
    </row>
    <row r="182" spans="1:2" ht="15.5">
      <c r="A182" s="30" t="s">
        <v>386</v>
      </c>
      <c r="B182" s="30" t="s">
        <v>387</v>
      </c>
    </row>
    <row r="183" spans="1:2" ht="15.5">
      <c r="A183" s="30" t="s">
        <v>388</v>
      </c>
      <c r="B183" s="30" t="s">
        <v>389</v>
      </c>
    </row>
    <row r="184" spans="1:2" ht="15.5">
      <c r="A184" s="30" t="s">
        <v>390</v>
      </c>
      <c r="B184" s="30" t="s">
        <v>391</v>
      </c>
    </row>
    <row r="185" spans="1:2" ht="15.5">
      <c r="A185" s="30" t="s">
        <v>392</v>
      </c>
      <c r="B185" s="30" t="s">
        <v>393</v>
      </c>
    </row>
    <row r="186" spans="1:2" ht="15.5">
      <c r="A186" s="30" t="s">
        <v>394</v>
      </c>
      <c r="B186" s="30" t="s">
        <v>395</v>
      </c>
    </row>
  </sheetData>
  <sheetProtection algorithmName="SHA-512" hashValue="R27FqeHvP57RvAcR/rZodzghWtibmpmBn1MxKRof+FTqRhcj4VtnAuOoj+KAIpg5Nqg30G4325LlQZN0wIvQTw==" saltValue="j9B/wJDnaqR6lxNkUUtfCQ==" spinCount="100000" sheet="1" objects="1" scenarios="1"/>
  <mergeCells count="1">
    <mergeCell ref="A1:B1"/>
  </mergeCells>
  <pageMargins left="0.7" right="0.7" top="0.75" bottom="0.75" header="0.3" footer="0.3"/>
  <pageSetup orientation="portrait" r:id="rId1"/>
  <headerFooter>
    <oddHeader>&amp;L&amp;"Calibri"&amp;15&amp;K000000 Información Pública Clasificada&amp;1#_x000D_</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Estudio de mercado</vt:lpstr>
      <vt:lpstr>PROCESO 2024</vt:lpstr>
      <vt:lpstr>Resumen</vt:lpstr>
      <vt:lpstr>listado de unidades</vt:lpstr>
      <vt:lpstr>'Estudio de mercado'!Área_de_impresión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Yuliet Camila Gutierrez Riveros</dc:creator>
  <cp:lastModifiedBy>Camila Gutierrez</cp:lastModifiedBy>
  <dcterms:created xsi:type="dcterms:W3CDTF">2025-04-14T22:36:49Z</dcterms:created>
  <dcterms:modified xsi:type="dcterms:W3CDTF">2026-07-31T07:40:22Z</dcterms:modified>
</cp:coreProperties>
</file>