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licitaciones2\Downloads\"/>
    </mc:Choice>
  </mc:AlternateContent>
  <xr:revisionPtr revIDLastSave="0" documentId="13_ncr:1_{68C0AB84-8B2B-4192-B3D9-E1F8A6BF9DC6}" xr6:coauthVersionLast="47" xr6:coauthVersionMax="47" xr10:uidLastSave="{00000000-0000-0000-0000-000000000000}"/>
  <bookViews>
    <workbookView xWindow="-120" yWindow="-120" windowWidth="19440" windowHeight="11160" tabRatio="770" activeTab="4" xr2:uid="{00000000-000D-0000-FFFF-FFFF00000000}"/>
  </bookViews>
  <sheets>
    <sheet name="Intructivo Diligenciamiento" sheetId="14" r:id="rId1"/>
    <sheet name="Anexo tecnico 0 resumen" sheetId="13" state="hidden" r:id="rId2"/>
    <sheet name="Anexo tecnico 1 LP-2026" sheetId="5" r:id="rId3"/>
    <sheet name="Anexo tecnico 2" sheetId="1" r:id="rId4"/>
    <sheet name="Anexo tecnico 4" sheetId="16" r:id="rId5"/>
  </sheets>
  <definedNames>
    <definedName name="_xlnm._FilterDatabase" localSheetId="2" hidden="1">'Anexo tecnico 1 LP-2026'!$A$15:$O$39</definedName>
    <definedName name="_xlnm.Print_Area" localSheetId="2">'Anexo tecnico 1 LP-2026'!$A$1:$O$61</definedName>
    <definedName name="_xlnm.Print_Area" localSheetId="3">'Anexo tecnico 2'!$A$1:$E$9</definedName>
    <definedName name="_xlnm.Print_Area" localSheetId="4">'Anexo tecnico 4'!$A$2:$E$3</definedName>
    <definedName name="_xlnm.Print_Area" localSheetId="0">'Intructivo Diligenciamiento'!$A$1:$N$14</definedName>
    <definedName name="_xlnm.Print_Titles" localSheetId="2">'Anexo tecnico 1 LP-2026'!$14:$15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 i="16" l="1"/>
  <c r="E8" i="16"/>
  <c r="I19" i="5"/>
  <c r="C9" i="16"/>
  <c r="C8" i="16"/>
  <c r="I28" i="5"/>
  <c r="I21" i="5"/>
  <c r="I46" i="5"/>
  <c r="I48" i="5"/>
  <c r="I45" i="5"/>
  <c r="H47" i="5"/>
  <c r="H49" i="5" s="1"/>
  <c r="G47" i="5"/>
  <c r="G49" i="5" s="1"/>
  <c r="I49" i="5" l="1"/>
  <c r="L19" i="5"/>
  <c r="M19" i="5" s="1"/>
  <c r="I47" i="5"/>
  <c r="L21" i="5"/>
  <c r="M21" i="5" s="1"/>
  <c r="N21" i="5" s="1"/>
  <c r="L28" i="5"/>
  <c r="M28" i="5" s="1"/>
  <c r="N28" i="5" s="1"/>
  <c r="N19" i="5" l="1"/>
  <c r="I18" i="5" l="1"/>
  <c r="I24" i="5"/>
  <c r="I26" i="5"/>
  <c r="J26" i="5" s="1"/>
  <c r="I22" i="5"/>
  <c r="J22" i="5" s="1"/>
  <c r="I29" i="5"/>
  <c r="J29" i="5" s="1"/>
  <c r="I27" i="5"/>
  <c r="J27" i="5" s="1"/>
  <c r="I23" i="5"/>
  <c r="J23" i="5" s="1"/>
  <c r="I17" i="5"/>
  <c r="J17" i="5" s="1"/>
  <c r="I25" i="5"/>
  <c r="J25" i="5" s="1"/>
  <c r="I20" i="5"/>
  <c r="J20" i="5" s="1"/>
  <c r="J18" i="5"/>
  <c r="J24" i="5"/>
  <c r="K18" i="5" l="1"/>
  <c r="L18" i="5" s="1"/>
  <c r="M18" i="5" s="1"/>
  <c r="N18" i="5" s="1"/>
  <c r="K25" i="5"/>
  <c r="K20" i="5"/>
  <c r="L20" i="5" s="1"/>
  <c r="M20" i="5" s="1"/>
  <c r="N20" i="5" s="1"/>
  <c r="K17" i="5"/>
  <c r="K27" i="5"/>
  <c r="K23" i="5"/>
  <c r="K22" i="5"/>
  <c r="K24" i="5"/>
  <c r="K29" i="5"/>
  <c r="K26" i="5"/>
  <c r="F25" i="13"/>
  <c r="J8" i="13"/>
  <c r="L25" i="5" l="1"/>
  <c r="M25" i="5" s="1"/>
  <c r="N25" i="5" s="1"/>
  <c r="L17" i="5"/>
  <c r="M17" i="5" s="1"/>
  <c r="L24" i="5"/>
  <c r="M24" i="5" s="1"/>
  <c r="N24" i="5" s="1"/>
  <c r="L27" i="5"/>
  <c r="M27" i="5" s="1"/>
  <c r="N27" i="5" s="1"/>
  <c r="L29" i="5"/>
  <c r="M29" i="5" s="1"/>
  <c r="N29" i="5" s="1"/>
  <c r="L23" i="5"/>
  <c r="M23" i="5" s="1"/>
  <c r="N23" i="5" s="1"/>
  <c r="L22" i="5"/>
  <c r="M22" i="5" s="1"/>
  <c r="N22" i="5" s="1"/>
  <c r="L26" i="5"/>
  <c r="M26" i="5" s="1"/>
  <c r="N26" i="5" s="1"/>
  <c r="G27" i="13"/>
  <c r="F27" i="13"/>
  <c r="G26" i="13"/>
  <c r="F26" i="13"/>
  <c r="H26" i="13" s="1"/>
  <c r="G25" i="13"/>
  <c r="N17" i="5" l="1"/>
  <c r="M30" i="5"/>
  <c r="N30" i="5"/>
  <c r="N35" i="5" s="1"/>
  <c r="H27" i="13"/>
  <c r="H25" i="13"/>
  <c r="L46" i="5" l="1"/>
  <c r="L52" i="5"/>
  <c r="D8" i="1"/>
  <c r="E8" i="1" s="1"/>
  <c r="L59" i="5" l="1"/>
  <c r="W16" i="13" l="1"/>
  <c r="Z16" i="13" s="1"/>
  <c r="P16" i="13"/>
  <c r="W17" i="13"/>
  <c r="P17" i="13"/>
  <c r="I16" i="13"/>
  <c r="L16" i="13" s="1"/>
  <c r="I17" i="13"/>
  <c r="L17" i="13" s="1"/>
  <c r="M17" i="13" s="1"/>
  <c r="N17" i="13" s="1"/>
  <c r="AA16" i="13" l="1"/>
  <c r="AC16" i="13" s="1"/>
  <c r="O17" i="13"/>
  <c r="AD17" i="13" s="1"/>
  <c r="M16" i="13"/>
  <c r="Z17" i="13"/>
  <c r="AA17" i="13" s="1"/>
  <c r="S17" i="13"/>
  <c r="T17" i="13" s="1"/>
  <c r="S16" i="13"/>
  <c r="T16" i="13" s="1"/>
  <c r="I19" i="13" l="1"/>
  <c r="W19" i="13"/>
  <c r="P19" i="13"/>
  <c r="AB16" i="13"/>
  <c r="AF16" i="13" s="1"/>
  <c r="U16" i="13"/>
  <c r="V16" i="13"/>
  <c r="V17" i="13"/>
  <c r="U17" i="13"/>
  <c r="AC17" i="13"/>
  <c r="AB17" i="13"/>
  <c r="N16" i="13"/>
  <c r="O16" i="13"/>
  <c r="I18" i="13" l="1"/>
  <c r="J18" i="13" s="1"/>
  <c r="K18" i="13" s="1"/>
  <c r="L18" i="13" s="1"/>
  <c r="X19" i="13"/>
  <c r="Y19" i="13" s="1"/>
  <c r="Z19" i="13" s="1"/>
  <c r="J19" i="13"/>
  <c r="K19" i="13" s="1"/>
  <c r="L19" i="13" s="1"/>
  <c r="M19" i="13" s="1"/>
  <c r="AD16" i="13"/>
  <c r="AE16" i="13"/>
  <c r="AF17" i="13"/>
  <c r="AE17" i="13"/>
  <c r="P18" i="13" l="1"/>
  <c r="Q18" i="13" s="1"/>
  <c r="R18" i="13" s="1"/>
  <c r="S18" i="13" s="1"/>
  <c r="T18" i="13" s="1"/>
  <c r="U18" i="13" s="1"/>
  <c r="W18" i="13"/>
  <c r="X18" i="13" s="1"/>
  <c r="Y18" i="13" s="1"/>
  <c r="Z18" i="13" s="1"/>
  <c r="AA19" i="13"/>
  <c r="AC19" i="13" s="1"/>
  <c r="O19" i="13"/>
  <c r="N19" i="13"/>
  <c r="Q19" i="13"/>
  <c r="R19" i="13" s="1"/>
  <c r="S19" i="13" s="1"/>
  <c r="T19" i="13" s="1"/>
  <c r="M18" i="13"/>
  <c r="AA18" i="13" l="1"/>
  <c r="AB18" i="13" s="1"/>
  <c r="AB19" i="13"/>
  <c r="AF19" i="13" s="1"/>
  <c r="V18" i="13"/>
  <c r="AE18" i="13" s="1"/>
  <c r="AD19" i="13"/>
  <c r="U19" i="13"/>
  <c r="V19" i="13"/>
  <c r="O18" i="13"/>
  <c r="N18" i="13"/>
  <c r="AC18" i="13" l="1"/>
  <c r="AF18" i="13" s="1"/>
  <c r="O20" i="13"/>
  <c r="V20" i="13"/>
  <c r="AE19" i="13"/>
  <c r="AD18" i="13"/>
  <c r="N20" i="13"/>
  <c r="AD20" i="13" l="1"/>
  <c r="AB20" i="13"/>
  <c r="U20" i="13"/>
  <c r="AC20" i="13"/>
  <c r="AF20" i="13" l="1"/>
  <c r="AE20" i="13" l="1"/>
  <c r="AD22" i="13" s="1"/>
  <c r="M46" i="5" l="1"/>
  <c r="M47" i="5" s="1"/>
  <c r="L47" i="5"/>
  <c r="D9" i="1"/>
  <c r="E9" i="1" s="1"/>
  <c r="M52" i="5" l="1"/>
  <c r="L60" i="5"/>
  <c r="L53" i="5"/>
  <c r="D51" i="5" l="1"/>
  <c r="D44" i="5"/>
  <c r="D47" i="5" s="1"/>
  <c r="M59" i="5"/>
  <c r="M60" i="5" s="1"/>
  <c r="M53" i="5"/>
  <c r="D52" i="5" l="1"/>
  <c r="D5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Rosangela Garrido Rapalino</author>
  </authors>
  <commentList>
    <comment ref="C7" authorId="0" shapeId="0" xr:uid="{00000000-0006-0000-0300-000001000000}">
      <text>
        <r>
          <rPr>
            <b/>
            <sz val="9"/>
            <color indexed="81"/>
            <rFont val="Tahoma"/>
            <family val="2"/>
          </rPr>
          <t xml:space="preserve">se incrementó el 7,16%
</t>
        </r>
        <r>
          <rPr>
            <sz val="9"/>
            <color indexed="81"/>
            <rFont val="Tahoma"/>
            <family val="2"/>
          </rPr>
          <t xml:space="preserve">
</t>
        </r>
      </text>
    </comment>
  </commentList>
</comments>
</file>

<file path=xl/sharedStrings.xml><?xml version="1.0" encoding="utf-8"?>
<sst xmlns="http://schemas.openxmlformats.org/spreadsheetml/2006/main" count="231" uniqueCount="148">
  <si>
    <t>Objeto:</t>
  </si>
  <si>
    <t>ITEM</t>
  </si>
  <si>
    <t>DESCRIPCIÓN / CARACTERÍSTICAS</t>
  </si>
  <si>
    <t>Promedio</t>
  </si>
  <si>
    <t>Valor unitario mensual</t>
  </si>
  <si>
    <t>IVA</t>
  </si>
  <si>
    <t>Valor IVA unitario mensual</t>
  </si>
  <si>
    <r>
      <t xml:space="preserve">Arrendamiento de </t>
    </r>
    <r>
      <rPr>
        <b/>
        <u/>
        <sz val="9"/>
        <rFont val="Arial"/>
        <family val="2"/>
      </rPr>
      <t>Escáner rayos X</t>
    </r>
    <r>
      <rPr>
        <sz val="9"/>
        <rFont val="Arial"/>
        <family val="2"/>
      </rPr>
      <t xml:space="preserve"> Tamaño del Túnel (A) 660 mmx (Al) 510 mm Velocidad de Transporte de la Banda 0.20 m/s Altura de Banda Transportadora 702 mm. Carga Máxima ≤180 Kg Distribuido Uniformemente Resolución de Contraste 40 AWG (Alambre Metálico de 0.0787 mm) Definición de Espacio Horizontal Φ1.0 mm \Vertical Φ2.0 mm, 34 AWG (Placa de Acero) 38 mm. Monitor LED de 17 pulgadas Funciones del Sistema Alarma de Alta Densidad, Detección Auxiliar de Explosivos/Drogas, Proyección de Imágenes de Amenaza (TIP), Contador de Equipaje, contador de Tiempo en Funcionamiento, Contador de Tiempo de Emisión de Rayos-X, Mantenimiento del Sistema, Entrenamiento, Zoom de 64x. Seguridad fotografía ASA/ISO 1600 Garantizada Sistema de Rayos X. Voltaje Máximo 150 Kv Refrigeración Por Baño de Aceite Sellado Herméticamente. Dosis de Radiación por Inspección &lt;1.0 μ Gy (μ Sv)</t>
    </r>
  </si>
  <si>
    <t>ÍTEM</t>
  </si>
  <si>
    <t>DESCRIPCIÓN DEL SERVICIO PRESTADO DE VIGILANCIA</t>
  </si>
  <si>
    <t>Valor prima Seguro de Vida</t>
  </si>
  <si>
    <t xml:space="preserve">Servicio 24 horas, 30 días al mes, con arma (lunes a domingo) </t>
  </si>
  <si>
    <t>Servicio 24 horas, 30 días al mes, con arma (lunes a domingo)</t>
  </si>
  <si>
    <t>Escáner rayos X Tamaño del Túnel (A) 660 mmx (Al) 510 mm Velocidad de Transporte de la Banda 0.20 m/s Altura de Banda Transportadora 702 mm</t>
  </si>
  <si>
    <t>Arco detector de metales Minimo18 Zonas de detección interconectadas en diferentes áreas y alarma simultánea de múltiples zonas. Pantalla LCD 5.7”</t>
  </si>
  <si>
    <t>TOTALES</t>
  </si>
  <si>
    <t>Rama Judicial del Poder Público
Consejo Superior de la Judicatura
Dirección Ejecutivo Seccional de Administración Judicial
Valledupar – Cesar</t>
  </si>
  <si>
    <t>Variables</t>
  </si>
  <si>
    <t>Tiempo</t>
  </si>
  <si>
    <t>Meses del año 2023</t>
  </si>
  <si>
    <t>Celdas deben ser diligenciadas por el proponente</t>
  </si>
  <si>
    <t xml:space="preserve">Porcentaje Valor IVA Unitario mensual </t>
  </si>
  <si>
    <t>Municipio</t>
  </si>
  <si>
    <t>Sede Judicial</t>
  </si>
  <si>
    <t>Ubicación / Función</t>
  </si>
  <si>
    <t>Tipo de
Servicio</t>
  </si>
  <si>
    <t>No. de guardas</t>
  </si>
  <si>
    <t>No. Servicios Año 2022 y 2023</t>
  </si>
  <si>
    <t>Días Base para liquidar</t>
  </si>
  <si>
    <t>Valor Unitario AyS (10%)</t>
  </si>
  <si>
    <t>Base Gravable</t>
  </si>
  <si>
    <t>Valor IVA Unitario Mensual</t>
  </si>
  <si>
    <t>Arriendo de Escáner, incluido mantenimiento preventivo y correctivo</t>
  </si>
  <si>
    <t>NA</t>
  </si>
  <si>
    <t>Arriendo de Arco Detector de Metales, incluido mantenimiento preventivo y correctivo</t>
  </si>
  <si>
    <t xml:space="preserve">Control de acceso de la puerta principal </t>
  </si>
  <si>
    <t>TARIFA BASE Valor Unitario incluida prima seguro-VF</t>
  </si>
  <si>
    <t>Valor Unitario AyS (10%)-VF</t>
  </si>
  <si>
    <t>Base Gravable-VF</t>
  </si>
  <si>
    <t>Valor IVA Unitario Mensual-VF</t>
  </si>
  <si>
    <t>Valor Total Unitario Mensual TARIFA-VF</t>
  </si>
  <si>
    <t>ANEXO TECNICO (Arriendo Equipos Tecnológicos)</t>
  </si>
  <si>
    <r>
      <rPr>
        <b/>
        <sz val="8"/>
        <color theme="0"/>
        <rFont val="Arial"/>
        <family val="2"/>
      </rPr>
      <t>TARIFA BASE</t>
    </r>
    <r>
      <rPr>
        <sz val="8"/>
        <color theme="0"/>
        <rFont val="Arial"/>
        <family val="2"/>
      </rPr>
      <t xml:space="preserve"> Valor Unitario incluida prima seguro</t>
    </r>
  </si>
  <si>
    <t>SMLMV x TARIFA DEL SERVICIO</t>
  </si>
  <si>
    <t>Tarifa mínima</t>
  </si>
  <si>
    <t>Vigencia 2023</t>
  </si>
  <si>
    <t>Año 2023</t>
  </si>
  <si>
    <t>Meses del año 2024</t>
  </si>
  <si>
    <t>Hasta el 31 de diciembre de 2024</t>
  </si>
  <si>
    <t xml:space="preserve">NOMBRE REPRESENTANTE LEGAL: </t>
  </si>
  <si>
    <t>Servicio 12 horas diurnas con arma (lunes a viernes sin festivos)</t>
  </si>
  <si>
    <t xml:space="preserve">CC. </t>
  </si>
  <si>
    <t>Item</t>
  </si>
  <si>
    <t>Valor Unitario Mensual TARIFA</t>
  </si>
  <si>
    <t>Cantidad Dpto. La Guajira</t>
  </si>
  <si>
    <t>Cantidad Dpto. Cesar</t>
  </si>
  <si>
    <t>Valor Total Dpto. Cesar Unitario Mensual TARIFA</t>
  </si>
  <si>
    <t>Valor Total Dpto. La Guajira Unitario Mensual TARIFA</t>
  </si>
  <si>
    <t>Vigencia 2024</t>
  </si>
  <si>
    <t>Vigencia 2025</t>
  </si>
  <si>
    <t>Valor total del año 2025 (del 1 de enero al  31 de agosto)</t>
  </si>
  <si>
    <t>Valor total del año 2024 (del 1 de enero al  31 de diciembre)</t>
  </si>
  <si>
    <t>Meses del año 2025</t>
  </si>
  <si>
    <t>Hasta el 31 de agosto de 2025</t>
  </si>
  <si>
    <t>Incremento Proyectado para el año 2024 y 2025</t>
  </si>
  <si>
    <t>Incremento Proyectado por Ministerio de Hacienda Vigencia 2024 y 2025</t>
  </si>
  <si>
    <t>Departamento</t>
  </si>
  <si>
    <t>Cesar</t>
  </si>
  <si>
    <t>Total Unidad</t>
  </si>
  <si>
    <t>Sub Unidad</t>
  </si>
  <si>
    <t>Servicio 12 horas diurnas con arma (lunes a viernes sin festivo)</t>
  </si>
  <si>
    <t>Firma</t>
  </si>
  <si>
    <t>Digite nombre de la Empresa</t>
  </si>
  <si>
    <t>Año 2024 - VF</t>
  </si>
  <si>
    <t>Año 2025 - VF</t>
  </si>
  <si>
    <t>Servicios de Vigilancia</t>
  </si>
  <si>
    <t>Guajira</t>
  </si>
  <si>
    <t>Resumen de los Sevicios/Equipo</t>
  </si>
  <si>
    <t>Descripción Servicio/Equipo</t>
  </si>
  <si>
    <t>Arriendo Arco Detector de Metales</t>
  </si>
  <si>
    <t>Arriendo Escáner rayos X</t>
  </si>
  <si>
    <t>Total</t>
  </si>
  <si>
    <t>Total Contrato 2023-2025</t>
  </si>
  <si>
    <t>Sub Totales</t>
  </si>
  <si>
    <t>desde 06 octubre 2023</t>
  </si>
  <si>
    <t>Valor total del año 2023 (2 meses y 25 días, es decir del 6 octubre a 31 de diciembre 2023)</t>
  </si>
  <si>
    <t>SMMLV</t>
  </si>
  <si>
    <t>Meses del año 2026</t>
  </si>
  <si>
    <r>
      <t xml:space="preserve">Vigencia </t>
    </r>
    <r>
      <rPr>
        <b/>
        <sz val="10"/>
        <rFont val="Arial"/>
        <family val="2"/>
      </rPr>
      <t>2026</t>
    </r>
  </si>
  <si>
    <t>No. Servicios Año 2025 y 2026</t>
  </si>
  <si>
    <t>Riohacha</t>
  </si>
  <si>
    <t>Entrada principal y monitoreo de cámaras</t>
  </si>
  <si>
    <t>Servicio de Vigilancia Móvil</t>
  </si>
  <si>
    <t>DEPARTAMENTO DE LA GUAJIRA</t>
  </si>
  <si>
    <t>Edificio Caracolí</t>
  </si>
  <si>
    <t>San Juan del Cesar</t>
  </si>
  <si>
    <t>Palacio de Justicia San Juan del Cesar</t>
  </si>
  <si>
    <t xml:space="preserve">Villanueva </t>
  </si>
  <si>
    <t xml:space="preserve">Palacio de Justicia de Villanueva </t>
  </si>
  <si>
    <t>Maicao</t>
  </si>
  <si>
    <t>Maicao Sede 1</t>
  </si>
  <si>
    <t xml:space="preserve">Maicao </t>
  </si>
  <si>
    <t>Maicao Sede 2</t>
  </si>
  <si>
    <t>Subund 813</t>
  </si>
  <si>
    <t>Subund 213</t>
  </si>
  <si>
    <t>Rama Judicial del Poder Público
Consejo Superior de la Judicatura
Dirección Seccional de Administración Judicial
Riohacha – La Guajira</t>
  </si>
  <si>
    <t>Rama Judicial del Poder Público
Consejo Superior de la Judicatura
Dirección  Seccional de Administración Judicial
Riohacha – La Guajira</t>
  </si>
  <si>
    <t>Consejo Superior de la Judicatura
Dirección Seccional de Administración Judicial
Riohacha - La Guajira</t>
  </si>
  <si>
    <t>Contratar en nombre de la Nación – Consejo Superior de la Judicatura - Dirección Seccional de Administración Judicial de Riohacha, el servicio de vigilancia, seguridad privada y el arrendamiento de equipos tecnológicos necesarios para las sedes judiciales y administrativas a cargo de la Dirección Seccional de Administración Judicial de Riohacha</t>
  </si>
  <si>
    <r>
      <t xml:space="preserve">Arrendamiento de </t>
    </r>
    <r>
      <rPr>
        <b/>
        <u/>
        <sz val="9"/>
        <rFont val="Arial"/>
        <family val="2"/>
      </rPr>
      <t>Arco detector de metales</t>
    </r>
    <r>
      <rPr>
        <sz val="9"/>
        <rFont val="Arial"/>
        <family val="2"/>
      </rPr>
      <t xml:space="preserve"> Minimo18 Zonas de detección interconectada en diferentes áreas y alarma simultánea de múltiples zonas. Pantalla LCD . Sensibilidad ajustable: Cada zona tiene 256 niveles de sensibilidad. Control remoto. Alarma de sonido y LEDs para indicar la zona del metal detectado. Conteo automático de personas y alarmas. Intensidad de alarma mostrada en el panel. Contraseña de programación.  Diseñado con material de alta densidad anti-in amable. Función de autodiagnóstico al encenderse, sin necesidad de calibración inicial o periódica. Fácil instalación. Diseño modular para fácil mantenimiento y reemplazo. Batería de respaldo con duración de 4-8 horas (opcional). Inofensivo para el cuerpo humano, personas con marcapasos, colgantes magnéticos, prótesis, mujeres</t>
    </r>
  </si>
  <si>
    <t>TARIFA BASE (10,21)</t>
  </si>
  <si>
    <t>El archivo está formulado para liquidar el reajuste de tarifas de acuerdo a la Resolución 20251000059517CS de Supervigilancia</t>
  </si>
  <si>
    <t>SubUnidad 213</t>
  </si>
  <si>
    <t>SubUnidad 813</t>
  </si>
  <si>
    <t>LA GUAJIRA</t>
  </si>
  <si>
    <t>Apropiación vigencia 2025 (de septiembre a diciembre)</t>
  </si>
  <si>
    <t>Apropiación vigencia 2026 VF (del 01 enero al 15 julio)</t>
  </si>
  <si>
    <t>TARIFAS AJUSTADAS</t>
  </si>
  <si>
    <t>Apropiación Contrato Vigencia 2025-2026 (del 1 sep 2025 a 15 Julio 2026)</t>
  </si>
  <si>
    <t>ASEO</t>
  </si>
  <si>
    <t>VIGILANCIA</t>
  </si>
  <si>
    <t>VF AUTORIZADA</t>
  </si>
  <si>
    <t>SALDO VF</t>
  </si>
  <si>
    <t>VIG 2025</t>
  </si>
  <si>
    <t>VIG 2026</t>
  </si>
  <si>
    <t>Valor total del año 2026</t>
  </si>
  <si>
    <t>SALARIO MINIMO MENSUAL LEGAL VIGENTE</t>
  </si>
  <si>
    <t>Tarifa en SMMLV</t>
  </si>
  <si>
    <t>Palacio de Justicia de Riohacha Luís Robles Torre 1</t>
  </si>
  <si>
    <t>Palacio de Justicia de Riohacha Luís Robles Torre 2</t>
  </si>
  <si>
    <t>Servicio de Vigilancia para manejo, control y monitoreo del Escáner</t>
  </si>
  <si>
    <t>Garita entrada parqueadero, control de acceso de vehículos</t>
  </si>
  <si>
    <t>Control de Acceso a la Edificación</t>
  </si>
  <si>
    <t>Sede Despachos judiciales:  Penales para adolescentes, centro de servicios. Sala Disciplinaria y Administrativas del Consejo Seccional de la Judicatura, Laboral de pequeñas causas, Dirección Seccional de Administración Judicial de Riohacha</t>
  </si>
  <si>
    <t>Meses del año 2027</t>
  </si>
  <si>
    <t>VALOR TOTAL</t>
  </si>
  <si>
    <t>1.</t>
  </si>
  <si>
    <t>Diligenciar la hoja del libro denominada "Anexo técnico 2" los campos resaltados en amarillo.</t>
  </si>
  <si>
    <t>2.</t>
  </si>
  <si>
    <t>Diligenciar la hoja del libro denominada "Anexo técnico 4" los campos resaltados en amarillo.</t>
  </si>
  <si>
    <t>3.</t>
  </si>
  <si>
    <t>Las demás hojas del libro permanecen sin modificar.</t>
  </si>
  <si>
    <t>4.</t>
  </si>
  <si>
    <t>5.</t>
  </si>
  <si>
    <t>Si existe alguna duda u observación con respecto al anexo técnico, el proponente u oferente deberá hacerlo dentro del término establecido.</t>
  </si>
  <si>
    <t>El archivo está formulado para liquidar la oferta económica "Anexo técnico 1 LP-2026".</t>
  </si>
  <si>
    <t>1 OCT A 30 NOV 2026</t>
  </si>
  <si>
    <t>1  A 30 DE NOVIEMBRE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</si>
</sst>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5" formatCode="&quot;$&quot;\ #,##0;\-&quot;$&quot;\ #,##0"/>
    <numFmt numFmtId="6" formatCode="&quot;$&quot;\ #,##0;[Red]\-&quot;$&quot;\ #,##0"/>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 #,##0_);_(* \(#,##0\);_(* &quot;-&quot;??_);_(@_)"/>
    <numFmt numFmtId="167" formatCode="&quot;$&quot;\ #,##0"/>
    <numFmt numFmtId="168" formatCode="0.00000%"/>
    <numFmt numFmtId="169" formatCode="&quot;$&quot;\ #,##0.00"/>
    <numFmt numFmtId="170" formatCode="_-* #,##0.00\ &quot;€&quot;_-;\-* #,##0.00\ &quot;€&quot;_-;_-* &quot;-&quot;??\ &quot;€&quot;_-;_-@_-"/>
    <numFmt numFmtId="171" formatCode="_(&quot;$&quot;\ * #,##0.00_);_(&quot;$&quot;\ * \(#,##0.00\);_(&quot;$&quot;\ * &quot;-&quot;??_);_(@_)"/>
    <numFmt numFmtId="172" formatCode="0.000"/>
  </numFmts>
  <fonts count="30" x14ac:knownFonts="1">
    <font>
      <sz val="11"/>
      <color theme="1"/>
      <name val="Calibri"/>
      <family val="2"/>
      <scheme val="minor"/>
    </font>
    <font>
      <sz val="11"/>
      <color theme="1"/>
      <name val="Calibri"/>
      <family val="2"/>
      <scheme val="minor"/>
    </font>
    <font>
      <b/>
      <sz val="11"/>
      <name val="Arial"/>
      <family val="2"/>
    </font>
    <font>
      <sz val="11"/>
      <name val="Arial"/>
      <family val="2"/>
    </font>
    <font>
      <i/>
      <sz val="11"/>
      <name val="Arial"/>
      <family val="2"/>
    </font>
    <font>
      <b/>
      <sz val="9"/>
      <name val="Arial"/>
      <family val="2"/>
    </font>
    <font>
      <sz val="9"/>
      <name val="Arial"/>
      <family val="2"/>
    </font>
    <font>
      <b/>
      <u/>
      <sz val="9"/>
      <name val="Arial"/>
      <family val="2"/>
    </font>
    <font>
      <sz val="8"/>
      <name val="Arial"/>
      <family val="2"/>
    </font>
    <font>
      <b/>
      <sz val="10"/>
      <color theme="1"/>
      <name val="Arial"/>
      <family val="2"/>
    </font>
    <font>
      <sz val="7"/>
      <color theme="1"/>
      <name val="Arial"/>
      <family val="2"/>
    </font>
    <font>
      <sz val="10"/>
      <color theme="1"/>
      <name val="Arial"/>
      <family val="2"/>
    </font>
    <font>
      <sz val="10"/>
      <name val="Arial"/>
      <family val="2"/>
    </font>
    <font>
      <b/>
      <sz val="10"/>
      <name val="Arial"/>
      <family val="2"/>
    </font>
    <font>
      <b/>
      <sz val="8"/>
      <name val="Arial"/>
      <family val="2"/>
    </font>
    <font>
      <b/>
      <sz val="8"/>
      <color rgb="FF000000"/>
      <name val="Arial"/>
      <family val="2"/>
    </font>
    <font>
      <sz val="8"/>
      <color rgb="FF000000"/>
      <name val="Arial"/>
      <family val="2"/>
    </font>
    <font>
      <sz val="8"/>
      <color theme="1"/>
      <name val="Arial"/>
      <family val="2"/>
    </font>
    <font>
      <sz val="8"/>
      <color rgb="FFFF0000"/>
      <name val="Arial"/>
      <family val="2"/>
    </font>
    <font>
      <b/>
      <i/>
      <sz val="8"/>
      <name val="Arial"/>
      <family val="2"/>
    </font>
    <font>
      <sz val="8"/>
      <color theme="0"/>
      <name val="Arial"/>
      <family val="2"/>
    </font>
    <font>
      <b/>
      <u val="singleAccounting"/>
      <sz val="8"/>
      <color theme="0"/>
      <name val="Arial"/>
      <family val="2"/>
    </font>
    <font>
      <b/>
      <sz val="9"/>
      <color theme="0"/>
      <name val="Arial"/>
      <family val="2"/>
    </font>
    <font>
      <sz val="9"/>
      <color theme="0"/>
      <name val="Arial"/>
      <family val="2"/>
    </font>
    <font>
      <b/>
      <sz val="12"/>
      <name val="Arial"/>
      <family val="2"/>
    </font>
    <font>
      <b/>
      <sz val="8"/>
      <color theme="0"/>
      <name val="Arial"/>
      <family val="2"/>
    </font>
    <font>
      <b/>
      <sz val="11"/>
      <color theme="1"/>
      <name val="Calibri"/>
      <family val="2"/>
      <scheme val="minor"/>
    </font>
    <font>
      <b/>
      <sz val="9"/>
      <color indexed="81"/>
      <name val="Tahoma"/>
      <family val="2"/>
    </font>
    <font>
      <sz val="9"/>
      <color indexed="81"/>
      <name val="Tahoma"/>
      <family val="2"/>
    </font>
    <font>
      <sz val="8"/>
      <name val="Calibri"/>
      <family val="2"/>
      <scheme val="minor"/>
    </font>
  </fonts>
  <fills count="16">
    <fill>
      <patternFill patternType="none"/>
    </fill>
    <fill>
      <patternFill patternType="gray125"/>
    </fill>
    <fill>
      <patternFill patternType="solid">
        <fgColor theme="8" tint="0.79998168889431442"/>
        <bgColor indexed="64"/>
      </patternFill>
    </fill>
    <fill>
      <patternFill patternType="solid">
        <fgColor indexed="9"/>
        <bgColor indexed="64"/>
      </patternFill>
    </fill>
    <fill>
      <patternFill patternType="solid">
        <fgColor indexed="22"/>
        <bgColor indexed="64"/>
      </patternFill>
    </fill>
    <fill>
      <patternFill patternType="solid">
        <fgColor theme="4" tint="-0.249977111117893"/>
        <bgColor indexed="64"/>
      </patternFill>
    </fill>
    <fill>
      <patternFill patternType="solid">
        <fgColor theme="8" tint="0.59999389629810485"/>
        <bgColor indexed="64"/>
      </patternFill>
    </fill>
    <fill>
      <patternFill patternType="solid">
        <fgColor rgb="FF92D050"/>
        <bgColor indexed="64"/>
      </patternFill>
    </fill>
    <fill>
      <patternFill patternType="gray0625">
        <bgColor theme="4" tint="0.79998168889431442"/>
      </patternFill>
    </fill>
    <fill>
      <patternFill patternType="solid">
        <fgColor theme="8" tint="0.59999389629810485"/>
        <bgColor theme="8" tint="0.59999389629810485"/>
      </patternFill>
    </fill>
    <fill>
      <patternFill patternType="solid">
        <fgColor theme="8" tint="0.79998168889431442"/>
        <bgColor theme="8" tint="0.79998168889431442"/>
      </patternFill>
    </fill>
    <fill>
      <patternFill patternType="solid">
        <fgColor theme="8"/>
        <bgColor theme="8"/>
      </patternFill>
    </fill>
    <fill>
      <patternFill patternType="solid">
        <fgColor rgb="FFFFFF00"/>
        <bgColor indexed="64"/>
      </patternFill>
    </fill>
    <fill>
      <patternFill patternType="solid">
        <fgColor theme="4" tint="0.39997558519241921"/>
        <bgColor theme="8"/>
      </patternFill>
    </fill>
    <fill>
      <patternFill patternType="solid">
        <fgColor theme="9" tint="0.39997558519241921"/>
        <bgColor theme="8"/>
      </patternFill>
    </fill>
    <fill>
      <patternFill patternType="solid">
        <fgColor rgb="FF0070C0"/>
        <bgColor indexed="64"/>
      </patternFill>
    </fill>
  </fills>
  <borders count="1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theme="0"/>
      </left>
      <right style="thin">
        <color theme="0"/>
      </right>
      <top style="thin">
        <color theme="0"/>
      </top>
      <bottom style="thin">
        <color theme="0"/>
      </bottom>
      <diagonal/>
    </border>
    <border>
      <left/>
      <right style="thin">
        <color theme="0"/>
      </right>
      <top/>
      <bottom style="thick">
        <color theme="0"/>
      </bottom>
      <diagonal/>
    </border>
    <border>
      <left style="thin">
        <color theme="0"/>
      </left>
      <right style="thin">
        <color theme="0"/>
      </right>
      <top/>
      <bottom style="thick">
        <color theme="0"/>
      </bottom>
      <diagonal/>
    </border>
    <border>
      <left style="thin">
        <color theme="0"/>
      </left>
      <right style="thin">
        <color theme="0"/>
      </right>
      <top style="thin">
        <color theme="0"/>
      </top>
      <bottom/>
      <diagonal/>
    </border>
    <border>
      <left style="thin">
        <color theme="0"/>
      </left>
      <right/>
      <top/>
      <bottom style="thick">
        <color theme="0"/>
      </bottom>
      <diagonal/>
    </border>
    <border>
      <left style="thin">
        <color indexed="64"/>
      </left>
      <right style="thin">
        <color theme="0"/>
      </right>
      <top style="thin">
        <color theme="0"/>
      </top>
      <bottom style="thin">
        <color theme="0"/>
      </bottom>
      <diagonal/>
    </border>
    <border>
      <left/>
      <right/>
      <top/>
      <bottom style="thick">
        <color theme="0"/>
      </bottom>
      <diagonal/>
    </border>
    <border>
      <left style="thin">
        <color theme="0"/>
      </left>
      <right style="medium">
        <color indexed="64"/>
      </right>
      <top style="thin">
        <color theme="0"/>
      </top>
      <bottom style="thin">
        <color theme="0"/>
      </bottom>
      <diagonal/>
    </border>
    <border>
      <left/>
      <right/>
      <top style="thin">
        <color indexed="64"/>
      </top>
      <bottom/>
      <diagonal/>
    </border>
  </borders>
  <cellStyleXfs count="10">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2" fillId="0" borderId="0"/>
    <xf numFmtId="170"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12" fillId="0" borderId="0"/>
    <xf numFmtId="9" fontId="12" fillId="0" borderId="0" applyFont="0" applyFill="0" applyBorder="0" applyAlignment="0" applyProtection="0"/>
  </cellStyleXfs>
  <cellXfs count="156">
    <xf numFmtId="0" fontId="0" fillId="0" borderId="0" xfId="0"/>
    <xf numFmtId="0" fontId="3" fillId="0" borderId="0" xfId="0" applyFont="1"/>
    <xf numFmtId="0" fontId="8" fillId="0" borderId="0" xfId="4" applyFont="1" applyAlignment="1">
      <alignment vertical="center"/>
    </xf>
    <xf numFmtId="0" fontId="8" fillId="0" borderId="0" xfId="4" applyFont="1" applyAlignment="1" applyProtection="1">
      <alignment vertical="center"/>
      <protection locked="0"/>
    </xf>
    <xf numFmtId="0" fontId="14" fillId="4" borderId="2" xfId="4" applyFont="1" applyFill="1" applyBorder="1" applyAlignment="1">
      <alignment horizontal="center" vertical="center"/>
    </xf>
    <xf numFmtId="0" fontId="8" fillId="0" borderId="2" xfId="4" applyFont="1" applyBorder="1" applyAlignment="1">
      <alignment horizontal="center" vertical="center"/>
    </xf>
    <xf numFmtId="14" fontId="8" fillId="0" borderId="0" xfId="4" applyNumberFormat="1" applyFont="1" applyAlignment="1">
      <alignment vertical="center"/>
    </xf>
    <xf numFmtId="0" fontId="20" fillId="0" borderId="0" xfId="4" applyFont="1" applyAlignment="1">
      <alignment vertical="center"/>
    </xf>
    <xf numFmtId="0" fontId="20" fillId="0" borderId="0" xfId="4" applyFont="1" applyAlignment="1">
      <alignment vertical="center" wrapText="1"/>
    </xf>
    <xf numFmtId="9" fontId="8" fillId="0" borderId="2" xfId="4" applyNumberFormat="1" applyFont="1" applyBorder="1" applyAlignment="1">
      <alignment horizontal="center" vertical="center"/>
    </xf>
    <xf numFmtId="43" fontId="21" fillId="0" borderId="0" xfId="1" applyFont="1" applyAlignment="1" applyProtection="1">
      <alignment horizontal="center" vertical="center"/>
    </xf>
    <xf numFmtId="168" fontId="21" fillId="0" borderId="0" xfId="2" applyNumberFormat="1" applyFont="1" applyAlignment="1" applyProtection="1">
      <alignment horizontal="center" vertical="center"/>
    </xf>
    <xf numFmtId="169" fontId="8" fillId="0" borderId="0" xfId="4" applyNumberFormat="1" applyFont="1" applyAlignment="1" applyProtection="1">
      <alignment vertical="center"/>
      <protection locked="0"/>
    </xf>
    <xf numFmtId="0" fontId="14" fillId="0" borderId="0" xfId="4" applyFont="1" applyAlignment="1" applyProtection="1">
      <alignment vertical="center"/>
      <protection locked="0"/>
    </xf>
    <xf numFmtId="0" fontId="14" fillId="0" borderId="0" xfId="4" applyFont="1" applyAlignment="1" applyProtection="1">
      <alignment vertical="center" wrapText="1"/>
      <protection locked="0"/>
    </xf>
    <xf numFmtId="167" fontId="8" fillId="0" borderId="0" xfId="4" applyNumberFormat="1" applyFont="1" applyAlignment="1" applyProtection="1">
      <alignment vertical="center"/>
      <protection locked="0"/>
    </xf>
    <xf numFmtId="0" fontId="14" fillId="0" borderId="3" xfId="4" applyFont="1" applyBorder="1" applyAlignment="1">
      <alignment horizontal="center" vertical="center" wrapText="1"/>
    </xf>
    <xf numFmtId="0" fontId="16" fillId="0" borderId="0" xfId="0" applyFont="1" applyAlignment="1">
      <alignment horizontal="left" wrapText="1"/>
    </xf>
    <xf numFmtId="0" fontId="16" fillId="0" borderId="0" xfId="0" applyFont="1" applyAlignment="1">
      <alignment horizontal="center" wrapText="1"/>
    </xf>
    <xf numFmtId="0" fontId="8" fillId="0" borderId="0" xfId="4" applyFont="1" applyAlignment="1">
      <alignment horizontal="center" wrapText="1"/>
    </xf>
    <xf numFmtId="169" fontId="8" fillId="0" borderId="0" xfId="4" applyNumberFormat="1" applyFont="1" applyAlignment="1">
      <alignment horizontal="right" wrapText="1"/>
    </xf>
    <xf numFmtId="0" fontId="8" fillId="0" borderId="0" xfId="0" applyFont="1" applyAlignment="1">
      <alignment horizontal="left" wrapText="1"/>
    </xf>
    <xf numFmtId="0" fontId="8" fillId="0" borderId="0" xfId="0" applyFont="1" applyAlignment="1">
      <alignment horizontal="center" wrapText="1"/>
    </xf>
    <xf numFmtId="0" fontId="17" fillId="0" borderId="0" xfId="0" applyFont="1" applyAlignment="1">
      <alignment horizontal="left" wrapText="1"/>
    </xf>
    <xf numFmtId="0" fontId="15" fillId="7" borderId="0" xfId="4" applyFont="1" applyFill="1" applyAlignment="1">
      <alignment horizontal="left"/>
    </xf>
    <xf numFmtId="0" fontId="15" fillId="7" borderId="0" xfId="4" applyFont="1" applyFill="1" applyAlignment="1">
      <alignment horizontal="left" wrapText="1"/>
    </xf>
    <xf numFmtId="5" fontId="18" fillId="0" borderId="0" xfId="4" applyNumberFormat="1" applyFont="1" applyAlignment="1">
      <alignment vertical="center"/>
    </xf>
    <xf numFmtId="169" fontId="14" fillId="0" borderId="0" xfId="4" applyNumberFormat="1" applyFont="1" applyAlignment="1" applyProtection="1">
      <alignment vertical="center"/>
      <protection locked="0"/>
    </xf>
    <xf numFmtId="0" fontId="22" fillId="0" borderId="0" xfId="4" applyFont="1" applyAlignment="1">
      <alignment vertical="center"/>
    </xf>
    <xf numFmtId="0" fontId="22" fillId="5" borderId="0" xfId="4" applyFont="1" applyFill="1" applyAlignment="1">
      <alignment horizontal="left" wrapText="1"/>
    </xf>
    <xf numFmtId="0" fontId="22" fillId="5" borderId="0" xfId="4" applyFont="1" applyFill="1" applyAlignment="1">
      <alignment horizontal="center" wrapText="1"/>
    </xf>
    <xf numFmtId="0" fontId="23" fillId="0" borderId="0" xfId="4" applyFont="1" applyAlignment="1" applyProtection="1">
      <alignment vertical="center"/>
      <protection locked="0"/>
    </xf>
    <xf numFmtId="0" fontId="10" fillId="0" borderId="0" xfId="0" applyFont="1"/>
    <xf numFmtId="167" fontId="22" fillId="5" borderId="0" xfId="4" applyNumberFormat="1" applyFont="1" applyFill="1" applyAlignment="1" applyProtection="1">
      <alignment horizontal="right" vertical="center"/>
      <protection locked="0"/>
    </xf>
    <xf numFmtId="43" fontId="8" fillId="0" borderId="0" xfId="1" applyFont="1" applyAlignment="1" applyProtection="1">
      <alignment vertical="center"/>
    </xf>
    <xf numFmtId="0" fontId="14" fillId="7" borderId="0" xfId="4" applyFont="1" applyFill="1" applyAlignment="1">
      <alignment horizontal="left"/>
    </xf>
    <xf numFmtId="0" fontId="5" fillId="5" borderId="0" xfId="4" applyFont="1" applyFill="1" applyAlignment="1">
      <alignment horizontal="left" wrapText="1"/>
    </xf>
    <xf numFmtId="0" fontId="15" fillId="7" borderId="0" xfId="4" applyFont="1" applyFill="1" applyAlignment="1">
      <alignment horizontal="center" wrapText="1"/>
    </xf>
    <xf numFmtId="0" fontId="15" fillId="7" borderId="0" xfId="4" applyFont="1" applyFill="1" applyAlignment="1">
      <alignment horizontal="right" wrapText="1"/>
    </xf>
    <xf numFmtId="169" fontId="15" fillId="7" borderId="0" xfId="4" applyNumberFormat="1" applyFont="1" applyFill="1" applyAlignment="1">
      <alignment horizontal="right" wrapText="1"/>
    </xf>
    <xf numFmtId="0" fontId="2" fillId="0" borderId="0" xfId="0" applyFont="1"/>
    <xf numFmtId="0" fontId="3" fillId="0" borderId="0" xfId="0" applyFont="1" applyAlignment="1">
      <alignment vertical="center"/>
    </xf>
    <xf numFmtId="0" fontId="4" fillId="0" borderId="0" xfId="0" applyFont="1" applyAlignment="1">
      <alignment horizontal="left" wrapText="1"/>
    </xf>
    <xf numFmtId="0" fontId="2" fillId="0" borderId="1" xfId="0" applyFont="1" applyBorder="1"/>
    <xf numFmtId="0" fontId="6" fillId="0" borderId="0" xfId="0" applyFont="1" applyAlignment="1">
      <alignment horizontal="center"/>
    </xf>
    <xf numFmtId="0" fontId="5" fillId="0" borderId="2" xfId="0" applyFont="1" applyBorder="1" applyAlignment="1">
      <alignment horizontal="center" vertical="center" wrapText="1"/>
    </xf>
    <xf numFmtId="0" fontId="6" fillId="0" borderId="0" xfId="0" applyFont="1" applyAlignment="1">
      <alignment horizontal="center" wrapText="1"/>
    </xf>
    <xf numFmtId="0" fontId="6" fillId="0" borderId="2" xfId="0" applyFont="1" applyBorder="1" applyAlignment="1">
      <alignment horizontal="center" vertical="center" wrapText="1"/>
    </xf>
    <xf numFmtId="0" fontId="6" fillId="0" borderId="2" xfId="0" applyFont="1" applyBorder="1" applyAlignment="1">
      <alignment horizontal="justify" vertical="top" wrapText="1"/>
    </xf>
    <xf numFmtId="9" fontId="6" fillId="0" borderId="0" xfId="2" applyFont="1" applyFill="1"/>
    <xf numFmtId="166" fontId="6" fillId="0" borderId="0" xfId="3" applyNumberFormat="1" applyFont="1" applyFill="1"/>
    <xf numFmtId="0" fontId="6" fillId="0" borderId="0" xfId="0" applyFont="1"/>
    <xf numFmtId="0" fontId="13" fillId="0" borderId="0" xfId="0" applyFont="1" applyAlignment="1">
      <alignment horizontal="left"/>
    </xf>
    <xf numFmtId="0" fontId="12" fillId="0" borderId="0" xfId="0" applyFont="1" applyAlignment="1">
      <alignment horizontal="left"/>
    </xf>
    <xf numFmtId="169" fontId="8" fillId="8" borderId="0" xfId="4" applyNumberFormat="1" applyFont="1" applyFill="1" applyAlignment="1">
      <alignment horizontal="right" wrapText="1"/>
    </xf>
    <xf numFmtId="0" fontId="20" fillId="0" borderId="0" xfId="4" applyFont="1" applyAlignment="1">
      <alignment horizontal="center" vertical="center" wrapText="1"/>
    </xf>
    <xf numFmtId="0" fontId="20" fillId="0" borderId="0" xfId="4" applyFont="1" applyAlignment="1" applyProtection="1">
      <alignment horizontal="center" vertical="center" wrapText="1"/>
      <protection locked="0"/>
    </xf>
    <xf numFmtId="0" fontId="9" fillId="2" borderId="9"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Border="1" applyAlignment="1">
      <alignment wrapText="1"/>
    </xf>
    <xf numFmtId="0" fontId="12" fillId="0" borderId="2" xfId="0" applyFont="1" applyBorder="1" applyAlignment="1">
      <alignment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171" fontId="0" fillId="0" borderId="2" xfId="5" applyNumberFormat="1" applyFont="1" applyFill="1" applyBorder="1"/>
    <xf numFmtId="0" fontId="19" fillId="0" borderId="0" xfId="4" applyFont="1" applyAlignment="1">
      <alignment horizontal="center" vertical="center" wrapText="1"/>
    </xf>
    <xf numFmtId="0" fontId="16" fillId="9" borderId="10" xfId="0" applyFont="1" applyFill="1" applyBorder="1" applyAlignment="1">
      <alignment horizontal="center" wrapText="1"/>
    </xf>
    <xf numFmtId="0" fontId="16" fillId="10" borderId="10" xfId="0" applyFont="1" applyFill="1" applyBorder="1" applyAlignment="1">
      <alignment horizontal="center" wrapText="1"/>
    </xf>
    <xf numFmtId="0" fontId="8" fillId="10" borderId="10" xfId="0" applyFont="1" applyFill="1" applyBorder="1" applyAlignment="1">
      <alignment horizontal="left" wrapText="1"/>
    </xf>
    <xf numFmtId="0" fontId="16" fillId="10" borderId="10" xfId="0" applyFont="1" applyFill="1" applyBorder="1" applyAlignment="1">
      <alignment horizontal="left" wrapText="1"/>
    </xf>
    <xf numFmtId="0" fontId="8" fillId="9" borderId="10" xfId="0" applyFont="1" applyFill="1" applyBorder="1" applyAlignment="1">
      <alignment horizontal="left" wrapText="1"/>
    </xf>
    <xf numFmtId="0" fontId="16" fillId="9" borderId="10" xfId="0" applyFont="1" applyFill="1" applyBorder="1" applyAlignment="1">
      <alignment horizontal="left" wrapText="1"/>
    </xf>
    <xf numFmtId="0" fontId="8" fillId="10" borderId="10" xfId="0" applyFont="1" applyFill="1" applyBorder="1" applyAlignment="1">
      <alignment horizontal="center" wrapText="1"/>
    </xf>
    <xf numFmtId="0" fontId="8" fillId="9" borderId="10" xfId="0" applyFont="1" applyFill="1" applyBorder="1" applyAlignment="1">
      <alignment horizontal="center" wrapText="1"/>
    </xf>
    <xf numFmtId="0" fontId="25" fillId="11" borderId="12" xfId="4" applyFont="1" applyFill="1" applyBorder="1" applyAlignment="1">
      <alignment horizontal="center" vertical="center" wrapText="1"/>
    </xf>
    <xf numFmtId="0" fontId="8" fillId="9" borderId="10" xfId="4" applyFont="1" applyFill="1" applyBorder="1" applyAlignment="1">
      <alignment horizontal="center" wrapText="1"/>
    </xf>
    <xf numFmtId="169" fontId="8" fillId="8" borderId="10" xfId="4" applyNumberFormat="1" applyFont="1" applyFill="1" applyBorder="1" applyAlignment="1">
      <alignment horizontal="right" wrapText="1"/>
    </xf>
    <xf numFmtId="169" fontId="8" fillId="9" borderId="10" xfId="4" applyNumberFormat="1" applyFont="1" applyFill="1" applyBorder="1" applyAlignment="1">
      <alignment horizontal="right" wrapText="1"/>
    </xf>
    <xf numFmtId="0" fontId="8" fillId="10" borderId="10" xfId="4" applyFont="1" applyFill="1" applyBorder="1" applyAlignment="1">
      <alignment horizontal="center" wrapText="1"/>
    </xf>
    <xf numFmtId="0" fontId="8" fillId="10" borderId="15" xfId="0" applyFont="1" applyFill="1" applyBorder="1" applyAlignment="1">
      <alignment horizontal="center" wrapText="1"/>
    </xf>
    <xf numFmtId="169" fontId="8" fillId="10" borderId="13" xfId="4" applyNumberFormat="1" applyFont="1" applyFill="1" applyBorder="1" applyAlignment="1">
      <alignment horizontal="right" wrapText="1"/>
    </xf>
    <xf numFmtId="0" fontId="25" fillId="13" borderId="12" xfId="4" applyFont="1" applyFill="1" applyBorder="1" applyAlignment="1">
      <alignment horizontal="center" vertical="center" wrapText="1"/>
    </xf>
    <xf numFmtId="0" fontId="14" fillId="4" borderId="0" xfId="4" applyFont="1" applyFill="1" applyAlignment="1">
      <alignment horizontal="center" vertical="center"/>
    </xf>
    <xf numFmtId="1" fontId="8" fillId="0" borderId="0" xfId="4" applyNumberFormat="1" applyFont="1" applyAlignment="1">
      <alignment horizontal="center" vertical="center"/>
    </xf>
    <xf numFmtId="0" fontId="8" fillId="0" borderId="0" xfId="4" applyFont="1" applyAlignment="1">
      <alignment horizontal="center" vertical="center"/>
    </xf>
    <xf numFmtId="0" fontId="25" fillId="14" borderId="14" xfId="4" applyFont="1" applyFill="1" applyBorder="1" applyAlignment="1">
      <alignment vertical="center" wrapText="1"/>
    </xf>
    <xf numFmtId="0" fontId="25" fillId="14" borderId="12" xfId="4" applyFont="1" applyFill="1" applyBorder="1" applyAlignment="1">
      <alignment horizontal="center" vertical="center" wrapText="1"/>
    </xf>
    <xf numFmtId="0" fontId="19" fillId="0" borderId="0" xfId="4" applyFont="1" applyAlignment="1">
      <alignment vertical="center" wrapText="1"/>
    </xf>
    <xf numFmtId="169" fontId="0" fillId="0" borderId="0" xfId="0" applyNumberFormat="1"/>
    <xf numFmtId="0" fontId="25" fillId="14" borderId="14" xfId="4" applyFont="1" applyFill="1" applyBorder="1" applyAlignment="1">
      <alignment horizontal="center" vertical="center" wrapText="1"/>
    </xf>
    <xf numFmtId="0" fontId="20" fillId="0" borderId="0" xfId="4" applyFont="1" applyAlignment="1" applyProtection="1">
      <alignment vertical="center"/>
      <protection locked="0"/>
    </xf>
    <xf numFmtId="3" fontId="25" fillId="0" borderId="0" xfId="4" applyNumberFormat="1" applyFont="1" applyAlignment="1" applyProtection="1">
      <alignment horizontal="center" vertical="center"/>
      <protection locked="0"/>
    </xf>
    <xf numFmtId="43" fontId="20" fillId="0" borderId="0" xfId="1" applyFont="1" applyFill="1" applyAlignment="1" applyProtection="1">
      <alignment vertical="center"/>
      <protection locked="0"/>
    </xf>
    <xf numFmtId="0" fontId="14" fillId="0" borderId="2" xfId="4" applyFont="1" applyBorder="1" applyAlignment="1" applyProtection="1">
      <alignment horizontal="center" vertical="center"/>
      <protection locked="0"/>
    </xf>
    <xf numFmtId="0" fontId="14" fillId="0" borderId="2" xfId="4" applyFont="1" applyBorder="1" applyAlignment="1" applyProtection="1">
      <alignment vertical="center"/>
      <protection locked="0"/>
    </xf>
    <xf numFmtId="6" fontId="8" fillId="0" borderId="2" xfId="4" applyNumberFormat="1" applyFont="1" applyBorder="1" applyAlignment="1" applyProtection="1">
      <alignment vertical="center"/>
      <protection locked="0"/>
    </xf>
    <xf numFmtId="6" fontId="14" fillId="0" borderId="0" xfId="4" applyNumberFormat="1" applyFont="1" applyAlignment="1" applyProtection="1">
      <alignment vertical="center"/>
      <protection locked="0"/>
    </xf>
    <xf numFmtId="0" fontId="15" fillId="7" borderId="17" xfId="4" applyFont="1" applyFill="1" applyBorder="1" applyAlignment="1">
      <alignment horizontal="right" wrapText="1"/>
    </xf>
    <xf numFmtId="169" fontId="15" fillId="7" borderId="17" xfId="4" applyNumberFormat="1" applyFont="1" applyFill="1" applyBorder="1" applyAlignment="1">
      <alignment horizontal="right" wrapText="1"/>
    </xf>
    <xf numFmtId="165" fontId="6" fillId="12" borderId="2" xfId="3" applyFont="1" applyFill="1" applyBorder="1" applyAlignment="1">
      <alignment vertical="center"/>
    </xf>
    <xf numFmtId="0" fontId="25" fillId="11" borderId="14" xfId="4" applyFont="1" applyFill="1" applyBorder="1" applyAlignment="1">
      <alignment horizontal="center" vertical="center" wrapText="1"/>
    </xf>
    <xf numFmtId="0" fontId="25" fillId="11" borderId="11" xfId="4" applyFont="1" applyFill="1" applyBorder="1" applyAlignment="1">
      <alignment horizontal="center" vertical="center" wrapText="1"/>
    </xf>
    <xf numFmtId="0" fontId="17" fillId="0" borderId="2" xfId="0" applyFont="1" applyBorder="1" applyAlignment="1">
      <alignment wrapText="1"/>
    </xf>
    <xf numFmtId="0" fontId="17" fillId="0" borderId="2" xfId="0" applyFont="1" applyBorder="1" applyAlignment="1">
      <alignment horizontal="center"/>
    </xf>
    <xf numFmtId="0" fontId="25" fillId="11" borderId="0" xfId="4" applyFont="1" applyFill="1" applyAlignment="1">
      <alignment horizontal="center" vertical="center" wrapText="1"/>
    </xf>
    <xf numFmtId="0" fontId="17" fillId="0" borderId="7" xfId="0" applyFont="1" applyBorder="1" applyAlignment="1">
      <alignment wrapText="1"/>
    </xf>
    <xf numFmtId="0" fontId="17" fillId="0" borderId="7" xfId="0" applyFont="1" applyBorder="1" applyAlignment="1">
      <alignment horizontal="center"/>
    </xf>
    <xf numFmtId="0" fontId="25" fillId="11" borderId="2" xfId="4" applyFont="1" applyFill="1" applyBorder="1" applyAlignment="1">
      <alignment horizontal="center" vertical="center" wrapText="1"/>
    </xf>
    <xf numFmtId="0" fontId="26" fillId="0" borderId="0" xfId="0" applyFont="1"/>
    <xf numFmtId="169" fontId="26" fillId="0" borderId="0" xfId="0" applyNumberFormat="1" applyFont="1"/>
    <xf numFmtId="10" fontId="8" fillId="0" borderId="2" xfId="4" applyNumberFormat="1" applyFont="1" applyBorder="1" applyAlignment="1">
      <alignment horizontal="center" vertical="center"/>
    </xf>
    <xf numFmtId="0" fontId="14" fillId="0" borderId="0" xfId="4" applyFont="1" applyAlignment="1" applyProtection="1">
      <alignment horizontal="right" vertical="center"/>
      <protection locked="0"/>
    </xf>
    <xf numFmtId="0" fontId="14" fillId="0" borderId="0" xfId="4" applyFont="1" applyAlignment="1" applyProtection="1">
      <alignment horizontal="center" vertical="center"/>
      <protection locked="0"/>
    </xf>
    <xf numFmtId="6" fontId="8" fillId="0" borderId="0" xfId="4" applyNumberFormat="1" applyFont="1" applyAlignment="1" applyProtection="1">
      <alignment vertical="center"/>
      <protection locked="0"/>
    </xf>
    <xf numFmtId="0" fontId="9" fillId="0" borderId="0" xfId="0" applyFont="1" applyAlignment="1">
      <alignment horizontal="center" wrapText="1"/>
    </xf>
    <xf numFmtId="0" fontId="25" fillId="15" borderId="0" xfId="4" applyFont="1" applyFill="1" applyAlignment="1">
      <alignment horizontal="right" vertical="center"/>
    </xf>
    <xf numFmtId="165" fontId="6" fillId="0" borderId="2" xfId="3" applyFont="1" applyFill="1" applyBorder="1" applyAlignment="1">
      <alignment vertical="center"/>
    </xf>
    <xf numFmtId="172" fontId="8" fillId="0" borderId="2" xfId="4" applyNumberFormat="1" applyFont="1" applyBorder="1" applyAlignment="1">
      <alignment horizontal="center" vertical="center"/>
    </xf>
    <xf numFmtId="172" fontId="8" fillId="0" borderId="0" xfId="4" applyNumberFormat="1" applyFont="1" applyAlignment="1">
      <alignment vertical="center"/>
    </xf>
    <xf numFmtId="43" fontId="8" fillId="0" borderId="0" xfId="1" applyFont="1" applyAlignment="1" applyProtection="1">
      <alignment vertical="center"/>
      <protection locked="0"/>
    </xf>
    <xf numFmtId="0" fontId="8" fillId="0" borderId="2" xfId="4" applyFont="1" applyBorder="1" applyAlignment="1" applyProtection="1">
      <alignment vertical="center"/>
      <protection locked="0"/>
    </xf>
    <xf numFmtId="43" fontId="8" fillId="0" borderId="2" xfId="1" applyFont="1" applyBorder="1" applyAlignment="1" applyProtection="1">
      <alignment vertical="center"/>
      <protection locked="0"/>
    </xf>
    <xf numFmtId="43" fontId="8" fillId="0" borderId="0" xfId="4" applyNumberFormat="1" applyFont="1" applyAlignment="1" applyProtection="1">
      <alignment vertical="center"/>
      <protection locked="0"/>
    </xf>
    <xf numFmtId="43" fontId="10" fillId="0" borderId="0" xfId="1" applyFont="1"/>
    <xf numFmtId="164" fontId="11" fillId="0" borderId="0" xfId="6" applyFont="1"/>
    <xf numFmtId="164" fontId="10" fillId="0" borderId="0" xfId="0" applyNumberFormat="1" applyFont="1"/>
    <xf numFmtId="5" fontId="11" fillId="12" borderId="2" xfId="1" applyNumberFormat="1"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xf>
    <xf numFmtId="0" fontId="4" fillId="0" borderId="0" xfId="0" applyFont="1" applyAlignment="1">
      <alignment horizontal="lef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19" fillId="0" borderId="0" xfId="4" applyFont="1" applyAlignment="1">
      <alignment horizontal="center" vertical="center" wrapText="1"/>
    </xf>
    <xf numFmtId="0" fontId="25" fillId="11" borderId="2" xfId="4" applyFont="1" applyFill="1" applyBorder="1" applyAlignment="1">
      <alignment horizontal="center" vertical="center" wrapText="1"/>
    </xf>
    <xf numFmtId="169" fontId="26" fillId="0" borderId="0" xfId="0" applyNumberFormat="1" applyFont="1" applyAlignment="1">
      <alignment horizontal="right" wrapText="1"/>
    </xf>
    <xf numFmtId="0" fontId="24" fillId="0" borderId="0" xfId="4" applyFont="1" applyAlignment="1">
      <alignment horizontal="center" vertical="center" wrapText="1"/>
    </xf>
    <xf numFmtId="0" fontId="8" fillId="3" borderId="2" xfId="4" applyFont="1" applyFill="1" applyBorder="1" applyAlignment="1">
      <alignment horizontal="left" vertical="center"/>
    </xf>
    <xf numFmtId="0" fontId="25" fillId="14" borderId="14" xfId="4" applyFont="1" applyFill="1" applyBorder="1" applyAlignment="1">
      <alignment horizontal="center" vertical="center" wrapText="1"/>
    </xf>
    <xf numFmtId="0" fontId="25" fillId="14" borderId="16" xfId="4" applyFont="1" applyFill="1" applyBorder="1" applyAlignment="1">
      <alignment horizontal="center" vertical="center" wrapText="1"/>
    </xf>
    <xf numFmtId="0" fontId="25" fillId="14" borderId="11" xfId="4" applyFont="1" applyFill="1" applyBorder="1" applyAlignment="1">
      <alignment horizontal="center" vertical="center" wrapText="1"/>
    </xf>
    <xf numFmtId="0" fontId="25" fillId="11" borderId="14" xfId="4" applyFont="1" applyFill="1" applyBorder="1" applyAlignment="1">
      <alignment horizontal="center" vertical="center" wrapText="1"/>
    </xf>
    <xf numFmtId="0" fontId="25" fillId="11" borderId="16" xfId="4" applyFont="1" applyFill="1" applyBorder="1" applyAlignment="1">
      <alignment horizontal="center" vertical="center" wrapText="1"/>
    </xf>
    <xf numFmtId="0" fontId="25" fillId="11" borderId="11" xfId="4" applyFont="1" applyFill="1" applyBorder="1" applyAlignment="1">
      <alignment horizontal="center" vertical="center" wrapText="1"/>
    </xf>
    <xf numFmtId="0" fontId="25" fillId="13" borderId="14" xfId="4" applyFont="1" applyFill="1" applyBorder="1" applyAlignment="1">
      <alignment horizontal="center" vertical="center" wrapText="1"/>
    </xf>
    <xf numFmtId="0" fontId="25" fillId="13" borderId="16" xfId="4" applyFont="1" applyFill="1" applyBorder="1" applyAlignment="1">
      <alignment horizontal="center" vertical="center" wrapText="1"/>
    </xf>
    <xf numFmtId="0" fontId="25" fillId="13" borderId="11" xfId="4" applyFont="1" applyFill="1" applyBorder="1" applyAlignment="1">
      <alignment horizontal="center" vertical="center" wrapText="1"/>
    </xf>
    <xf numFmtId="0" fontId="14" fillId="4" borderId="2" xfId="4" applyFont="1" applyFill="1" applyBorder="1" applyAlignment="1">
      <alignment horizontal="center" vertical="center"/>
    </xf>
    <xf numFmtId="0" fontId="25" fillId="11" borderId="18" xfId="4" applyFont="1" applyFill="1" applyBorder="1" applyAlignment="1">
      <alignment horizontal="center" vertical="center" wrapText="1"/>
    </xf>
    <xf numFmtId="0" fontId="14" fillId="0" borderId="5" xfId="4" applyFont="1" applyBorder="1" applyAlignment="1" applyProtection="1">
      <alignment horizontal="center" vertical="center"/>
      <protection locked="0"/>
    </xf>
    <xf numFmtId="0" fontId="14" fillId="0" borderId="6" xfId="4" applyFont="1" applyBorder="1" applyAlignment="1" applyProtection="1">
      <alignment horizontal="center" vertical="center"/>
      <protection locked="0"/>
    </xf>
    <xf numFmtId="0" fontId="14" fillId="0" borderId="2" xfId="4" applyFont="1" applyBorder="1" applyAlignment="1" applyProtection="1">
      <alignment horizontal="center" vertical="center"/>
      <protection locked="0"/>
    </xf>
    <xf numFmtId="0" fontId="14" fillId="6" borderId="3" xfId="4" applyFont="1" applyFill="1" applyBorder="1" applyAlignment="1">
      <alignment horizontal="center" vertical="center"/>
    </xf>
    <xf numFmtId="0" fontId="9" fillId="0" borderId="0" xfId="0" applyFont="1" applyAlignment="1">
      <alignment horizontal="left" wrapText="1"/>
    </xf>
    <xf numFmtId="0" fontId="9" fillId="0" borderId="5" xfId="0" applyFont="1" applyBorder="1" applyAlignment="1">
      <alignment horizontal="center"/>
    </xf>
    <xf numFmtId="0" fontId="9" fillId="0" borderId="6" xfId="0" applyFont="1" applyBorder="1" applyAlignment="1">
      <alignment horizontal="center"/>
    </xf>
    <xf numFmtId="0" fontId="9" fillId="0" borderId="8" xfId="0" applyFont="1" applyBorder="1" applyAlignment="1">
      <alignment horizontal="center"/>
    </xf>
  </cellXfs>
  <cellStyles count="10">
    <cellStyle name="Millares" xfId="1" builtinId="3"/>
    <cellStyle name="Millares 2" xfId="3" xr:uid="{00000000-0005-0000-0000-000001000000}"/>
    <cellStyle name="Moneda" xfId="6" builtinId="4"/>
    <cellStyle name="Moneda 2" xfId="5" xr:uid="{00000000-0005-0000-0000-000002000000}"/>
    <cellStyle name="Moneda 3" xfId="7" xr:uid="{B7A8B854-164F-4D8D-AC88-88CF0300E82D}"/>
    <cellStyle name="Normal" xfId="0" builtinId="0"/>
    <cellStyle name="Normal 2" xfId="8" xr:uid="{12517653-DF56-4003-9C63-054F06B8C1CD}"/>
    <cellStyle name="Normal 3" xfId="4" xr:uid="{00000000-0005-0000-0000-000004000000}"/>
    <cellStyle name="Porcentaje" xfId="2" builtinId="5"/>
    <cellStyle name="Porcentaje 2" xfId="9" xr:uid="{0D0804CE-1907-45B0-A076-41C1F61A9AC1}"/>
  </cellStyles>
  <dxfs count="16">
    <dxf>
      <font>
        <b val="0"/>
        <i val="0"/>
        <strike val="0"/>
        <condense val="0"/>
        <extend val="0"/>
        <outline val="0"/>
        <shadow val="0"/>
        <u val="none"/>
        <vertAlign val="baseline"/>
        <sz val="8"/>
        <color auto="1"/>
        <name val="Arial"/>
        <family val="2"/>
        <scheme val="none"/>
      </font>
      <numFmt numFmtId="169" formatCode="&quot;$&quot;\ #,##0.00"/>
      <alignment horizontal="right" vertical="bottom" textRotation="0" wrapText="1" indent="0" justifyLastLine="0" shrinkToFit="0" readingOrder="0"/>
    </dxf>
    <dxf>
      <font>
        <b val="0"/>
        <i val="0"/>
        <strike val="0"/>
        <condense val="0"/>
        <extend val="0"/>
        <outline val="0"/>
        <shadow val="0"/>
        <u val="none"/>
        <vertAlign val="baseline"/>
        <sz val="8"/>
        <color auto="1"/>
        <name val="Arial"/>
        <scheme val="none"/>
      </font>
      <numFmt numFmtId="169" formatCode="&quot;$&quot;\ #,##0.00"/>
      <fill>
        <patternFill patternType="none">
          <fgColor indexed="64"/>
          <bgColor auto="1"/>
        </patternFill>
      </fill>
      <alignment horizontal="right" vertical="bottom" textRotation="0" wrapText="1" indent="0" justifyLastLine="0" shrinkToFit="0" readingOrder="0"/>
      <protection locked="1" hidden="0"/>
    </dxf>
    <dxf>
      <font>
        <b val="0"/>
        <i val="0"/>
        <strike val="0"/>
        <condense val="0"/>
        <extend val="0"/>
        <outline val="0"/>
        <shadow val="0"/>
        <u val="none"/>
        <vertAlign val="baseline"/>
        <sz val="8"/>
        <color auto="1"/>
        <name val="Arial"/>
        <scheme val="none"/>
      </font>
      <numFmt numFmtId="169" formatCode="&quot;$&quot;\ #,##0.00"/>
      <fill>
        <patternFill patternType="none">
          <fgColor indexed="64"/>
          <bgColor auto="1"/>
        </patternFill>
      </fill>
      <alignment horizontal="right" vertical="bottom" textRotation="0" wrapText="1" indent="0" justifyLastLine="0" shrinkToFit="0" readingOrder="0"/>
      <protection locked="1" hidden="0"/>
    </dxf>
    <dxf>
      <font>
        <b val="0"/>
        <i val="0"/>
        <strike val="0"/>
        <condense val="0"/>
        <extend val="0"/>
        <outline val="0"/>
        <shadow val="0"/>
        <u val="none"/>
        <vertAlign val="baseline"/>
        <sz val="8"/>
        <color auto="1"/>
        <name val="Arial"/>
        <scheme val="none"/>
      </font>
      <numFmt numFmtId="169" formatCode="&quot;$&quot;\ #,##0.00"/>
      <fill>
        <patternFill patternType="none">
          <fgColor indexed="64"/>
          <bgColor auto="1"/>
        </patternFill>
      </fill>
      <alignment horizontal="right" vertical="bottom" textRotation="0" wrapText="1" indent="0" justifyLastLine="0" shrinkToFit="0" readingOrder="0"/>
      <protection locked="1" hidden="0"/>
    </dxf>
    <dxf>
      <font>
        <b val="0"/>
        <i val="0"/>
        <strike val="0"/>
        <condense val="0"/>
        <extend val="0"/>
        <outline val="0"/>
        <shadow val="0"/>
        <u val="none"/>
        <vertAlign val="baseline"/>
        <sz val="8"/>
        <color auto="1"/>
        <name val="Arial"/>
        <scheme val="none"/>
      </font>
      <numFmt numFmtId="169" formatCode="&quot;$&quot;\ #,##0.00"/>
      <fill>
        <patternFill patternType="none">
          <fgColor indexed="64"/>
          <bgColor auto="1"/>
        </patternFill>
      </fill>
      <alignment horizontal="right" vertical="bottom" textRotation="0" wrapText="1" indent="0" justifyLastLine="0" shrinkToFit="0" readingOrder="0"/>
      <protection locked="1" hidden="0"/>
    </dxf>
    <dxf>
      <font>
        <b val="0"/>
        <i val="0"/>
        <strike val="0"/>
        <condense val="0"/>
        <extend val="0"/>
        <outline val="0"/>
        <shadow val="0"/>
        <u val="none"/>
        <vertAlign val="baseline"/>
        <sz val="8"/>
        <color auto="1"/>
        <name val="Arial"/>
        <scheme val="none"/>
      </font>
      <numFmt numFmtId="169" formatCode="&quot;$&quot;\ #,##0.00"/>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fill>
        <patternFill patternType="none">
          <fgColor indexed="64"/>
          <bgColor auto="1"/>
        </patternFill>
      </fill>
      <alignment horizontal="center" vertical="bottom" textRotation="0" wrapText="1" indent="0" justifyLastLine="0" shrinkToFit="0" readingOrder="0"/>
      <protection locked="1" hidden="0"/>
    </dxf>
    <dxf>
      <font>
        <b val="0"/>
        <i val="0"/>
        <strike val="0"/>
        <condense val="0"/>
        <extend val="0"/>
        <outline val="0"/>
        <shadow val="0"/>
        <u val="none"/>
        <vertAlign val="baseline"/>
        <sz val="8"/>
        <color auto="1"/>
        <name val="Arial"/>
        <scheme val="none"/>
      </font>
      <fill>
        <patternFill patternType="none">
          <fgColor indexed="64"/>
          <bgColor auto="1"/>
        </patternFill>
      </fill>
      <alignment horizontal="center" vertical="bottom" textRotation="0" wrapText="1" indent="0" justifyLastLine="0" shrinkToFit="0" readingOrder="0"/>
      <protection locked="1" hidden="0"/>
    </dxf>
    <dxf>
      <font>
        <b val="0"/>
        <i val="0"/>
        <strike val="0"/>
        <condense val="0"/>
        <extend val="0"/>
        <outline val="0"/>
        <shadow val="0"/>
        <u val="none"/>
        <vertAlign val="baseline"/>
        <sz val="8"/>
        <color rgb="FF000000"/>
        <name val="Arial"/>
        <scheme val="none"/>
      </font>
      <fill>
        <patternFill patternType="none">
          <fgColor indexed="64"/>
          <bgColor auto="1"/>
        </patternFill>
      </fill>
      <alignment horizontal="center" vertical="bottom" textRotation="0" wrapText="1" indent="0" justifyLastLine="0" shrinkToFit="0" readingOrder="0"/>
    </dxf>
    <dxf>
      <font>
        <b val="0"/>
        <i val="0"/>
        <strike val="0"/>
        <condense val="0"/>
        <extend val="0"/>
        <outline val="0"/>
        <shadow val="0"/>
        <u val="none"/>
        <vertAlign val="baseline"/>
        <sz val="8"/>
        <color rgb="FF000000"/>
        <name val="Arial"/>
        <scheme val="none"/>
      </font>
      <fill>
        <patternFill patternType="none">
          <fgColor indexed="64"/>
          <bgColor auto="1"/>
        </patternFill>
      </fill>
      <alignment horizontal="left" vertical="bottom" textRotation="0" wrapText="1" indent="0" justifyLastLine="0" shrinkToFit="0" readingOrder="0"/>
    </dxf>
    <dxf>
      <font>
        <b val="0"/>
        <i val="0"/>
        <strike val="0"/>
        <condense val="0"/>
        <extend val="0"/>
        <outline val="0"/>
        <shadow val="0"/>
        <u val="none"/>
        <vertAlign val="baseline"/>
        <sz val="8"/>
        <color auto="1"/>
        <name val="Arial"/>
        <scheme val="none"/>
      </font>
      <fill>
        <patternFill patternType="none">
          <fgColor indexed="64"/>
          <bgColor auto="1"/>
        </patternFill>
      </fill>
      <alignment horizontal="left" vertical="bottom" textRotation="0" wrapText="1" indent="0" justifyLastLine="0" shrinkToFit="0" readingOrder="0"/>
    </dxf>
    <dxf>
      <font>
        <b val="0"/>
        <i val="0"/>
        <strike val="0"/>
        <condense val="0"/>
        <extend val="0"/>
        <outline val="0"/>
        <shadow val="0"/>
        <u val="none"/>
        <vertAlign val="baseline"/>
        <sz val="8"/>
        <color auto="1"/>
        <name val="Arial"/>
        <scheme val="none"/>
      </font>
      <fill>
        <patternFill patternType="none">
          <fgColor indexed="64"/>
          <bgColor auto="1"/>
        </patternFill>
      </fill>
      <alignment horizontal="left" vertical="bottom" textRotation="0" wrapText="1" indent="0" justifyLastLine="0" shrinkToFit="0" readingOrder="0"/>
    </dxf>
    <dxf>
      <font>
        <b val="0"/>
        <i val="0"/>
        <strike val="0"/>
        <condense val="0"/>
        <extend val="0"/>
        <outline val="0"/>
        <shadow val="0"/>
        <u val="none"/>
        <vertAlign val="baseline"/>
        <sz val="8"/>
        <color auto="1"/>
        <name val="Arial"/>
        <scheme val="none"/>
      </font>
      <fill>
        <patternFill patternType="none">
          <fgColor indexed="64"/>
          <bgColor auto="1"/>
        </patternFill>
      </fill>
      <alignment horizontal="left" vertical="bottom" textRotation="0" wrapText="1" indent="0" justifyLastLine="0" shrinkToFit="0" readingOrder="0"/>
    </dxf>
    <dxf>
      <border outline="0">
        <left style="thin">
          <color indexed="64"/>
        </left>
        <right style="medium">
          <color indexed="64"/>
        </right>
      </border>
    </dxf>
    <dxf>
      <fill>
        <patternFill patternType="none">
          <fgColor indexed="64"/>
          <bgColor auto="1"/>
        </patternFill>
      </fill>
    </dxf>
    <dxf>
      <font>
        <b/>
        <i val="0"/>
        <strike val="0"/>
        <condense val="0"/>
        <extend val="0"/>
        <outline val="0"/>
        <shadow val="0"/>
        <u val="none"/>
        <vertAlign val="baseline"/>
        <sz val="8"/>
        <color theme="0"/>
        <name val="Arial"/>
        <scheme val="none"/>
      </font>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4</xdr:col>
      <xdr:colOff>19154</xdr:colOff>
      <xdr:row>6</xdr:row>
      <xdr:rowOff>157429</xdr:rowOff>
    </xdr:to>
    <xdr:pic>
      <xdr:nvPicPr>
        <xdr:cNvPr id="4" name="Imagen 3">
          <a:extLst>
            <a:ext uri="{FF2B5EF4-FFF2-40B4-BE49-F238E27FC236}">
              <a16:creationId xmlns:a16="http://schemas.microsoft.com/office/drawing/2014/main" id="{5A75E578-E5F8-406B-8569-72BB5CA349C7}"/>
            </a:ext>
          </a:extLst>
        </xdr:cNvPr>
        <xdr:cNvPicPr>
          <a:picLocks noChangeAspect="1"/>
        </xdr:cNvPicPr>
      </xdr:nvPicPr>
      <xdr:blipFill>
        <a:blip xmlns:r="http://schemas.openxmlformats.org/officeDocument/2006/relationships" r:embed="rId1"/>
        <a:stretch>
          <a:fillRect/>
        </a:stretch>
      </xdr:blipFill>
      <xdr:spPr>
        <a:xfrm>
          <a:off x="0" y="142875"/>
          <a:ext cx="2670279" cy="8718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41275</xdr:colOff>
      <xdr:row>0</xdr:row>
      <xdr:rowOff>95250</xdr:rowOff>
    </xdr:from>
    <xdr:to>
      <xdr:col>4</xdr:col>
      <xdr:colOff>590677</xdr:colOff>
      <xdr:row>5</xdr:row>
      <xdr:rowOff>8382</xdr:rowOff>
    </xdr:to>
    <xdr:pic>
      <xdr:nvPicPr>
        <xdr:cNvPr id="5" name="Imagen 4" descr="Logo CSJ RGB_01">
          <a:extLst>
            <a:ext uri="{FF2B5EF4-FFF2-40B4-BE49-F238E27FC236}">
              <a16:creationId xmlns:a16="http://schemas.microsoft.com/office/drawing/2014/main" id="{720BE56C-CE3B-4455-9F3C-9F0CB2A9BB4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412750" y="95250"/>
          <a:ext cx="2663952" cy="8656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12700</xdr:colOff>
      <xdr:row>0</xdr:row>
      <xdr:rowOff>0</xdr:rowOff>
    </xdr:from>
    <xdr:to>
      <xdr:col>3</xdr:col>
      <xdr:colOff>704977</xdr:colOff>
      <xdr:row>6</xdr:row>
      <xdr:rowOff>8382</xdr:rowOff>
    </xdr:to>
    <xdr:pic>
      <xdr:nvPicPr>
        <xdr:cNvPr id="2" name="Imagen 1" descr="Logo CSJ RGB_0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8425" y="0"/>
          <a:ext cx="2663952" cy="8656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2117852</xdr:colOff>
      <xdr:row>1</xdr:row>
      <xdr:rowOff>103632</xdr:rowOff>
    </xdr:to>
    <xdr:pic>
      <xdr:nvPicPr>
        <xdr:cNvPr id="2" name="Imagen 1" descr="Logo CSJ RGB_0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0" y="0"/>
          <a:ext cx="2663952" cy="86563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1974850" cy="653234"/>
    <xdr:pic>
      <xdr:nvPicPr>
        <xdr:cNvPr id="14" name="image1.jpeg">
          <a:extLst>
            <a:ext uri="{FF2B5EF4-FFF2-40B4-BE49-F238E27FC236}">
              <a16:creationId xmlns:a16="http://schemas.microsoft.com/office/drawing/2014/main" id="{A76607F5-9683-490C-B054-9B91BF756DDD}"/>
            </a:ext>
          </a:extLst>
        </xdr:cNvPr>
        <xdr:cNvPicPr/>
      </xdr:nvPicPr>
      <xdr:blipFill>
        <a:blip xmlns:r="http://schemas.openxmlformats.org/officeDocument/2006/relationships" r:embed="rId1" cstate="print"/>
        <a:stretch>
          <a:fillRect/>
        </a:stretch>
      </xdr:blipFill>
      <xdr:spPr>
        <a:xfrm>
          <a:off x="0" y="0"/>
          <a:ext cx="1974850" cy="653234"/>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B15:N31" totalsRowShown="0" headerRowDxfId="15" dataDxfId="14" tableBorderDxfId="13" headerRowCellStyle="Normal 3">
  <autoFilter ref="B15:N31" xr:uid="{00000000-0009-0000-0100-000001000000}"/>
  <tableColumns count="13">
    <tableColumn id="1" xr3:uid="{00000000-0010-0000-0000-000001000000}" name="Municipio" dataDxfId="12"/>
    <tableColumn id="2" xr3:uid="{00000000-0010-0000-0000-000002000000}" name="Sede Judicial" dataDxfId="11"/>
    <tableColumn id="3" xr3:uid="{00000000-0010-0000-0000-000003000000}" name="Ubicación / Función" dataDxfId="10"/>
    <tableColumn id="4" xr3:uid="{00000000-0010-0000-0000-000004000000}" name="Tipo de_x000a_Servicio" dataDxfId="9"/>
    <tableColumn id="5" xr3:uid="{00000000-0010-0000-0000-000005000000}" name="No. de guardas" dataDxfId="8"/>
    <tableColumn id="6" xr3:uid="{00000000-0010-0000-0000-000006000000}" name="No. Servicios Año 2025 y 2026" dataDxfId="7" dataCellStyle="Normal 3"/>
    <tableColumn id="7" xr3:uid="{00000000-0010-0000-0000-000007000000}" name="Días Base para liquidar" dataDxfId="6" dataCellStyle="Normal 3"/>
    <tableColumn id="8" xr3:uid="{00000000-0010-0000-0000-000008000000}" name="TARIFA BASE Valor Unitario incluida prima seguro-VF" dataDxfId="5" dataCellStyle="Normal 3">
      <calculatedColumnFormula>#REF!</calculatedColumnFormula>
    </tableColumn>
    <tableColumn id="9" xr3:uid="{00000000-0010-0000-0000-000009000000}" name="Valor Unitario AyS (10%)-VF" dataDxfId="4" dataCellStyle="Normal 3">
      <calculatedColumnFormula>+Tabla1[[#This Row],[TARIFA BASE Valor Unitario incluida prima seguro-VF]]*10%</calculatedColumnFormula>
    </tableColumn>
    <tableColumn id="10" xr3:uid="{00000000-0010-0000-0000-00000A000000}" name="Base Gravable-VF" dataDxfId="3" dataCellStyle="Normal 3">
      <calculatedColumnFormula>+(Tabla1[[#This Row],[TARIFA BASE Valor Unitario incluida prima seguro-VF]]+Tabla1[[#This Row],[Valor Unitario AyS (10%)-VF]])*10%</calculatedColumnFormula>
    </tableColumn>
    <tableColumn id="11" xr3:uid="{00000000-0010-0000-0000-00000B000000}" name="Valor IVA Unitario Mensual-VF" dataDxfId="2" dataCellStyle="Normal 3">
      <calculatedColumnFormula>+Tabla1[[#This Row],[TARIFA BASE Valor Unitario incluida prima seguro-VF]]*19%</calculatedColumnFormula>
    </tableColumn>
    <tableColumn id="12" xr3:uid="{00000000-0010-0000-0000-00000C000000}" name="Valor Total Unitario Mensual TARIFA-VF" dataDxfId="1" dataCellStyle="Normal 3">
      <calculatedColumnFormula>ROUND(I16+J16+L16,0)</calculatedColumnFormula>
    </tableColumn>
    <tableColumn id="19" xr3:uid="{2C73BDE0-C1B3-4DA5-8C39-C3D69EBC2111}" name="Valor total del año 2026" dataDxfId="0" dataCellStyle="Normal 3"/>
  </tableColumns>
  <tableStyleInfo name="TableStyleMedium13"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4"/>
  <sheetViews>
    <sheetView showGridLines="0" view="pageBreakPreview" zoomScaleNormal="100" zoomScaleSheetLayoutView="100" workbookViewId="0">
      <selection activeCell="Q8" sqref="Q8"/>
    </sheetView>
  </sheetViews>
  <sheetFormatPr baseColWidth="10" defaultRowHeight="15" x14ac:dyDescent="0.25"/>
  <cols>
    <col min="1" max="1" width="5.42578125" customWidth="1"/>
  </cols>
  <sheetData>
    <row r="1" spans="1:27" s="3" customFormat="1" ht="11.25" x14ac:dyDescent="0.25">
      <c r="A1" s="2"/>
      <c r="B1" s="2"/>
      <c r="C1" s="2"/>
      <c r="D1" s="2"/>
      <c r="E1" s="2"/>
      <c r="F1" s="2"/>
      <c r="G1" s="2"/>
      <c r="H1" s="2"/>
      <c r="I1" s="2"/>
      <c r="J1" s="2"/>
      <c r="K1" s="2"/>
      <c r="L1" s="2"/>
      <c r="M1" s="2"/>
      <c r="N1" s="2"/>
      <c r="O1" s="2"/>
      <c r="P1" s="2"/>
      <c r="Q1" s="2"/>
      <c r="R1" s="2"/>
      <c r="S1" s="2"/>
      <c r="T1" s="2"/>
      <c r="U1" s="2"/>
      <c r="V1" s="2"/>
      <c r="W1" s="2"/>
      <c r="X1" s="2"/>
      <c r="Y1" s="2"/>
      <c r="Z1" s="2"/>
      <c r="AA1" s="89"/>
    </row>
    <row r="2" spans="1:27" s="3" customFormat="1" ht="11.25" customHeight="1" x14ac:dyDescent="0.25">
      <c r="A2" s="132" t="s">
        <v>105</v>
      </c>
      <c r="B2" s="132"/>
      <c r="C2" s="132"/>
      <c r="D2" s="132"/>
      <c r="E2" s="132"/>
      <c r="F2" s="132"/>
      <c r="G2" s="132"/>
      <c r="H2" s="132"/>
      <c r="I2" s="132"/>
      <c r="J2" s="132"/>
      <c r="K2" s="132"/>
      <c r="L2" s="132"/>
      <c r="M2" s="132"/>
      <c r="N2" s="132"/>
      <c r="O2" s="132"/>
      <c r="P2" s="86"/>
      <c r="Q2" s="86"/>
      <c r="R2" s="86"/>
      <c r="S2" s="86"/>
      <c r="T2" s="86"/>
      <c r="U2" s="86"/>
      <c r="V2" s="86"/>
      <c r="W2" s="86"/>
      <c r="X2" s="86"/>
      <c r="Y2" s="86"/>
      <c r="Z2" s="64"/>
      <c r="AA2" s="89"/>
    </row>
    <row r="3" spans="1:27" s="3" customFormat="1" ht="11.25" x14ac:dyDescent="0.25">
      <c r="A3" s="132"/>
      <c r="B3" s="132"/>
      <c r="C3" s="132"/>
      <c r="D3" s="132"/>
      <c r="E3" s="132"/>
      <c r="F3" s="132"/>
      <c r="G3" s="132"/>
      <c r="H3" s="132"/>
      <c r="I3" s="132"/>
      <c r="J3" s="132"/>
      <c r="K3" s="132"/>
      <c r="L3" s="132"/>
      <c r="M3" s="132"/>
      <c r="N3" s="132"/>
      <c r="O3" s="132"/>
      <c r="P3" s="86"/>
      <c r="Q3" s="86"/>
      <c r="R3" s="86"/>
      <c r="S3" s="86"/>
      <c r="T3" s="86"/>
      <c r="U3" s="86"/>
      <c r="V3" s="86"/>
      <c r="W3" s="86"/>
      <c r="X3" s="86"/>
      <c r="Y3" s="86"/>
      <c r="Z3" s="64"/>
      <c r="AA3" s="89"/>
    </row>
    <row r="4" spans="1:27" s="3" customFormat="1" ht="11.25" x14ac:dyDescent="0.25">
      <c r="A4" s="132"/>
      <c r="B4" s="132"/>
      <c r="C4" s="132"/>
      <c r="D4" s="132"/>
      <c r="E4" s="132"/>
      <c r="F4" s="132"/>
      <c r="G4" s="132"/>
      <c r="H4" s="132"/>
      <c r="I4" s="132"/>
      <c r="J4" s="132"/>
      <c r="K4" s="132"/>
      <c r="L4" s="132"/>
      <c r="M4" s="132"/>
      <c r="N4" s="132"/>
      <c r="O4" s="132"/>
      <c r="P4" s="86"/>
      <c r="Q4" s="86"/>
      <c r="R4" s="86"/>
      <c r="S4" s="86"/>
      <c r="T4" s="86"/>
      <c r="U4" s="86"/>
      <c r="V4" s="86"/>
      <c r="W4" s="86"/>
      <c r="X4" s="86"/>
      <c r="Y4" s="86"/>
      <c r="Z4" s="64"/>
      <c r="AA4" s="89"/>
    </row>
    <row r="5" spans="1:27" s="3" customFormat="1" ht="11.25" x14ac:dyDescent="0.25">
      <c r="A5" s="132"/>
      <c r="B5" s="132"/>
      <c r="C5" s="132"/>
      <c r="D5" s="132"/>
      <c r="E5" s="132"/>
      <c r="F5" s="132"/>
      <c r="G5" s="132"/>
      <c r="H5" s="132"/>
      <c r="I5" s="132"/>
      <c r="J5" s="132"/>
      <c r="K5" s="132"/>
      <c r="L5" s="132"/>
      <c r="M5" s="132"/>
      <c r="N5" s="132"/>
      <c r="O5" s="132"/>
      <c r="P5" s="86"/>
      <c r="Q5" s="86"/>
      <c r="R5" s="86"/>
      <c r="S5" s="86"/>
      <c r="T5" s="86"/>
      <c r="U5" s="86"/>
      <c r="V5" s="86"/>
      <c r="W5" s="86"/>
      <c r="X5" s="86"/>
      <c r="Y5" s="86"/>
      <c r="Z5" s="64"/>
      <c r="AA5" s="89"/>
    </row>
    <row r="6" spans="1:27" s="3" customFormat="1" ht="11.25" x14ac:dyDescent="0.25">
      <c r="A6" s="132"/>
      <c r="B6" s="132"/>
      <c r="C6" s="132"/>
      <c r="D6" s="132"/>
      <c r="E6" s="132"/>
      <c r="F6" s="132"/>
      <c r="G6" s="132"/>
      <c r="H6" s="132"/>
      <c r="I6" s="132"/>
      <c r="J6" s="132"/>
      <c r="K6" s="132"/>
      <c r="L6" s="132"/>
      <c r="M6" s="132"/>
      <c r="N6" s="132"/>
      <c r="O6" s="132"/>
      <c r="P6" s="86"/>
      <c r="Q6" s="86"/>
      <c r="R6" s="86"/>
      <c r="S6" s="86"/>
      <c r="T6" s="86"/>
      <c r="U6" s="86"/>
      <c r="V6" s="86"/>
      <c r="W6" s="86"/>
      <c r="X6" s="86"/>
      <c r="Y6" s="86"/>
      <c r="Z6" s="64"/>
      <c r="AA6" s="89"/>
    </row>
    <row r="7" spans="1:27" x14ac:dyDescent="0.25">
      <c r="A7" s="132"/>
      <c r="B7" s="132"/>
      <c r="C7" s="132"/>
      <c r="D7" s="132"/>
      <c r="E7" s="132"/>
      <c r="F7" s="132"/>
      <c r="G7" s="132"/>
      <c r="H7" s="132"/>
      <c r="I7" s="132"/>
      <c r="J7" s="132"/>
      <c r="K7" s="132"/>
      <c r="L7" s="132"/>
      <c r="M7" s="132"/>
      <c r="N7" s="132"/>
      <c r="O7" s="132"/>
    </row>
    <row r="9" spans="1:27" x14ac:dyDescent="0.25">
      <c r="B9" t="s">
        <v>111</v>
      </c>
    </row>
    <row r="10" spans="1:27" x14ac:dyDescent="0.25">
      <c r="A10" t="s">
        <v>136</v>
      </c>
      <c r="B10" t="s">
        <v>137</v>
      </c>
    </row>
    <row r="11" spans="1:27" x14ac:dyDescent="0.25">
      <c r="A11" t="s">
        <v>138</v>
      </c>
      <c r="B11" t="s">
        <v>139</v>
      </c>
    </row>
    <row r="12" spans="1:27" x14ac:dyDescent="0.25">
      <c r="A12" t="s">
        <v>140</v>
      </c>
      <c r="B12" t="s">
        <v>141</v>
      </c>
    </row>
    <row r="13" spans="1:27" x14ac:dyDescent="0.25">
      <c r="A13" t="s">
        <v>142</v>
      </c>
      <c r="B13" t="s">
        <v>145</v>
      </c>
    </row>
    <row r="14" spans="1:27" x14ac:dyDescent="0.25">
      <c r="A14" t="s">
        <v>143</v>
      </c>
      <c r="B14" t="s">
        <v>144</v>
      </c>
    </row>
  </sheetData>
  <mergeCells count="1">
    <mergeCell ref="A2:O7"/>
  </mergeCells>
  <pageMargins left="0.7" right="0.7" top="0.75" bottom="0.75" header="0.3" footer="0.3"/>
  <pageSetup paperSize="14" scale="55" orientation="portrait" horizontalDpi="4294967293" r:id="rId1"/>
  <colBreaks count="1" manualBreakCount="1">
    <brk id="15" max="10"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27"/>
  <sheetViews>
    <sheetView topLeftCell="S17" workbookViewId="0">
      <selection activeCell="AD16" sqref="AD16"/>
    </sheetView>
  </sheetViews>
  <sheetFormatPr baseColWidth="10" defaultRowHeight="15" x14ac:dyDescent="0.25"/>
  <cols>
    <col min="1" max="1" width="5.42578125" customWidth="1"/>
    <col min="2" max="3" width="10.140625" customWidth="1"/>
    <col min="5" max="5" width="15" customWidth="1"/>
    <col min="9" max="9" width="13.85546875" customWidth="1"/>
    <col min="13" max="13" width="13.7109375" customWidth="1"/>
    <col min="14" max="15" width="15.7109375" customWidth="1"/>
    <col min="16" max="16" width="13.85546875" customWidth="1"/>
    <col min="20" max="20" width="13.7109375" customWidth="1"/>
    <col min="21" max="21" width="19.140625" bestFit="1" customWidth="1"/>
    <col min="22" max="22" width="19.28515625" customWidth="1"/>
    <col min="23" max="23" width="13.85546875" customWidth="1"/>
    <col min="27" max="27" width="13.7109375" customWidth="1"/>
    <col min="28" max="28" width="19.140625" bestFit="1" customWidth="1"/>
    <col min="29" max="29" width="18.28515625" bestFit="1" customWidth="1"/>
    <col min="30" max="30" width="16.85546875" bestFit="1" customWidth="1"/>
    <col min="31" max="31" width="18.85546875" customWidth="1"/>
    <col min="32" max="32" width="19.42578125" customWidth="1"/>
    <col min="33" max="33" width="16.85546875" bestFit="1" customWidth="1"/>
    <col min="34" max="34" width="15.140625" bestFit="1" customWidth="1"/>
  </cols>
  <sheetData>
    <row r="1" spans="1:34" ht="15" customHeight="1" x14ac:dyDescent="0.25">
      <c r="A1" s="132" t="s">
        <v>16</v>
      </c>
      <c r="B1" s="132"/>
      <c r="C1" s="132"/>
      <c r="D1" s="132"/>
      <c r="E1" s="132"/>
      <c r="F1" s="132"/>
      <c r="G1" s="132"/>
      <c r="H1" s="132"/>
      <c r="I1" s="132"/>
      <c r="J1" s="132"/>
      <c r="K1" s="132"/>
      <c r="L1" s="132"/>
      <c r="M1" s="132"/>
      <c r="N1" s="132"/>
      <c r="O1" s="132"/>
      <c r="P1" s="132"/>
      <c r="Q1" s="132"/>
      <c r="R1" s="132"/>
      <c r="S1" s="132"/>
      <c r="T1" s="132"/>
      <c r="U1" s="86"/>
      <c r="V1" s="86"/>
      <c r="W1" s="86"/>
      <c r="X1" s="86"/>
      <c r="Y1" s="86"/>
      <c r="Z1" s="86"/>
      <c r="AA1" s="86"/>
      <c r="AB1" s="86"/>
      <c r="AC1" s="86"/>
      <c r="AD1" s="86"/>
      <c r="AE1" s="86"/>
      <c r="AF1" s="86"/>
      <c r="AG1" s="86"/>
      <c r="AH1" s="86"/>
    </row>
    <row r="2" spans="1:34" ht="15" customHeight="1" x14ac:dyDescent="0.25">
      <c r="A2" s="132"/>
      <c r="B2" s="132"/>
      <c r="C2" s="132"/>
      <c r="D2" s="132"/>
      <c r="E2" s="132"/>
      <c r="F2" s="132"/>
      <c r="G2" s="132"/>
      <c r="H2" s="132"/>
      <c r="I2" s="132"/>
      <c r="J2" s="132"/>
      <c r="K2" s="132"/>
      <c r="L2" s="132"/>
      <c r="M2" s="132"/>
      <c r="N2" s="132"/>
      <c r="O2" s="132"/>
      <c r="P2" s="132"/>
      <c r="Q2" s="132"/>
      <c r="R2" s="132"/>
      <c r="S2" s="132"/>
      <c r="T2" s="132"/>
      <c r="U2" s="86"/>
      <c r="V2" s="86"/>
      <c r="W2" s="86"/>
      <c r="X2" s="86"/>
      <c r="Y2" s="86"/>
      <c r="Z2" s="86"/>
      <c r="AA2" s="86"/>
      <c r="AB2" s="86"/>
      <c r="AC2" s="86"/>
      <c r="AD2" s="86"/>
      <c r="AE2" s="86"/>
      <c r="AF2" s="86"/>
      <c r="AG2" s="86"/>
      <c r="AH2" s="86"/>
    </row>
    <row r="3" spans="1:34" ht="15" customHeight="1" x14ac:dyDescent="0.25">
      <c r="A3" s="132"/>
      <c r="B3" s="132"/>
      <c r="C3" s="132"/>
      <c r="D3" s="132"/>
      <c r="E3" s="132"/>
      <c r="F3" s="132"/>
      <c r="G3" s="132"/>
      <c r="H3" s="132"/>
      <c r="I3" s="132"/>
      <c r="J3" s="132"/>
      <c r="K3" s="132"/>
      <c r="L3" s="132"/>
      <c r="M3" s="132"/>
      <c r="N3" s="132"/>
      <c r="O3" s="132"/>
      <c r="P3" s="132"/>
      <c r="Q3" s="132"/>
      <c r="R3" s="132"/>
      <c r="S3" s="132"/>
      <c r="T3" s="132"/>
      <c r="U3" s="86"/>
      <c r="V3" s="86"/>
      <c r="W3" s="86"/>
      <c r="X3" s="86"/>
      <c r="Y3" s="86"/>
      <c r="Z3" s="86"/>
      <c r="AA3" s="86"/>
      <c r="AB3" s="86"/>
      <c r="AC3" s="86"/>
      <c r="AD3" s="86"/>
      <c r="AE3" s="86"/>
      <c r="AF3" s="86"/>
      <c r="AG3" s="86"/>
      <c r="AH3" s="86"/>
    </row>
    <row r="4" spans="1:34" ht="15" customHeight="1" x14ac:dyDescent="0.25">
      <c r="A4" s="132"/>
      <c r="B4" s="132"/>
      <c r="C4" s="132"/>
      <c r="D4" s="132"/>
      <c r="E4" s="132"/>
      <c r="F4" s="132"/>
      <c r="G4" s="132"/>
      <c r="H4" s="132"/>
      <c r="I4" s="132"/>
      <c r="J4" s="132"/>
      <c r="K4" s="132"/>
      <c r="L4" s="132"/>
      <c r="M4" s="132"/>
      <c r="N4" s="132"/>
      <c r="O4" s="132"/>
      <c r="P4" s="132"/>
      <c r="Q4" s="132"/>
      <c r="R4" s="132"/>
      <c r="S4" s="132"/>
      <c r="T4" s="132"/>
      <c r="U4" s="86"/>
      <c r="V4" s="86"/>
      <c r="W4" s="86"/>
      <c r="X4" s="86"/>
      <c r="Y4" s="86"/>
      <c r="Z4" s="86"/>
      <c r="AA4" s="86"/>
      <c r="AB4" s="86"/>
      <c r="AC4" s="86"/>
      <c r="AD4" s="86"/>
      <c r="AE4" s="86"/>
      <c r="AF4" s="86"/>
      <c r="AG4" s="86"/>
      <c r="AH4" s="86"/>
    </row>
    <row r="5" spans="1:34" ht="15" customHeight="1" x14ac:dyDescent="0.25">
      <c r="A5" s="132"/>
      <c r="B5" s="132"/>
      <c r="C5" s="132"/>
      <c r="D5" s="132"/>
      <c r="E5" s="132"/>
      <c r="F5" s="132"/>
      <c r="G5" s="132"/>
      <c r="H5" s="132"/>
      <c r="I5" s="132"/>
      <c r="J5" s="132"/>
      <c r="K5" s="132"/>
      <c r="L5" s="132"/>
      <c r="M5" s="132"/>
      <c r="N5" s="132"/>
      <c r="O5" s="132"/>
      <c r="P5" s="132"/>
      <c r="Q5" s="132"/>
      <c r="R5" s="132"/>
      <c r="S5" s="132"/>
      <c r="T5" s="132"/>
      <c r="U5" s="86"/>
      <c r="V5" s="86"/>
      <c r="W5" s="86"/>
      <c r="X5" s="86"/>
      <c r="Y5" s="86"/>
      <c r="Z5" s="86"/>
      <c r="AA5" s="86"/>
      <c r="AB5" s="86"/>
      <c r="AC5" s="86"/>
      <c r="AD5" s="86"/>
      <c r="AE5" s="86"/>
      <c r="AF5" s="86"/>
      <c r="AG5" s="86"/>
      <c r="AH5" s="86"/>
    </row>
    <row r="6" spans="1:34" ht="15" customHeight="1" x14ac:dyDescent="0.25">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row>
    <row r="7" spans="1:34" ht="15" customHeight="1" x14ac:dyDescent="0.25">
      <c r="A7" s="2"/>
      <c r="B7" s="146" t="s">
        <v>17</v>
      </c>
      <c r="C7" s="146"/>
      <c r="D7" s="146"/>
      <c r="E7" s="146"/>
      <c r="F7" s="146"/>
      <c r="G7" s="146"/>
      <c r="H7" s="146"/>
      <c r="I7" s="146"/>
      <c r="J7" s="4" t="s">
        <v>18</v>
      </c>
      <c r="K7" s="2"/>
      <c r="L7" s="2"/>
      <c r="M7" s="2"/>
      <c r="N7" s="2"/>
      <c r="O7" s="2"/>
      <c r="P7" s="2"/>
      <c r="Q7" s="2"/>
      <c r="R7" s="2"/>
      <c r="S7" s="2"/>
      <c r="T7" s="2"/>
      <c r="U7" s="2"/>
      <c r="V7" s="2"/>
      <c r="W7" s="2"/>
      <c r="X7" s="81"/>
      <c r="Y7" s="2"/>
      <c r="Z7" s="2"/>
      <c r="AA7" s="2"/>
      <c r="AB7" s="2"/>
      <c r="AC7" s="2"/>
      <c r="AD7" s="2"/>
      <c r="AE7" s="2"/>
      <c r="AF7" s="2"/>
      <c r="AG7" s="2"/>
      <c r="AH7" s="2"/>
    </row>
    <row r="8" spans="1:34" ht="15" customHeight="1" x14ac:dyDescent="0.25">
      <c r="A8" s="2"/>
      <c r="B8" s="136" t="s">
        <v>19</v>
      </c>
      <c r="C8" s="136"/>
      <c r="D8" s="136"/>
      <c r="E8" s="136"/>
      <c r="F8" s="136"/>
      <c r="G8" s="136"/>
      <c r="H8" s="136"/>
      <c r="I8" s="136"/>
      <c r="J8" s="5">
        <f>ROUND((2+(25/30)),2)</f>
        <v>2.83</v>
      </c>
      <c r="K8" s="6" t="s">
        <v>84</v>
      </c>
      <c r="L8" s="6"/>
      <c r="M8" s="2"/>
      <c r="N8" s="2"/>
      <c r="O8" s="2"/>
      <c r="P8" s="2"/>
      <c r="Q8" s="2"/>
      <c r="R8" s="2"/>
      <c r="S8" s="2"/>
      <c r="T8" s="2"/>
      <c r="U8" s="2"/>
      <c r="V8" s="2"/>
      <c r="W8" s="2"/>
      <c r="X8" s="82"/>
      <c r="Y8" s="6"/>
      <c r="Z8" s="6"/>
      <c r="AA8" s="2"/>
      <c r="AB8" s="2"/>
      <c r="AC8" s="2"/>
      <c r="AD8" s="2"/>
      <c r="AE8" s="2"/>
      <c r="AF8" s="2"/>
      <c r="AG8" s="2"/>
      <c r="AH8" s="2"/>
    </row>
    <row r="9" spans="1:34" ht="15" customHeight="1" x14ac:dyDescent="0.25">
      <c r="A9" s="2"/>
      <c r="B9" s="136" t="s">
        <v>47</v>
      </c>
      <c r="C9" s="136"/>
      <c r="D9" s="136"/>
      <c r="E9" s="136"/>
      <c r="F9" s="136"/>
      <c r="G9" s="136"/>
      <c r="H9" s="136"/>
      <c r="I9" s="136"/>
      <c r="J9" s="5">
        <v>12</v>
      </c>
      <c r="K9" s="3" t="s">
        <v>48</v>
      </c>
      <c r="L9" s="2"/>
      <c r="M9" s="2"/>
      <c r="N9" s="2"/>
      <c r="O9" s="2"/>
      <c r="P9" s="7"/>
      <c r="Q9" s="8" t="s">
        <v>20</v>
      </c>
      <c r="R9" s="8"/>
      <c r="S9" s="7"/>
      <c r="T9" s="7"/>
      <c r="U9" s="2"/>
      <c r="V9" s="2"/>
      <c r="W9" s="2"/>
      <c r="X9" s="83"/>
      <c r="Y9" s="3"/>
      <c r="Z9" s="2"/>
      <c r="AA9" s="2"/>
      <c r="AB9" s="2"/>
      <c r="AC9" s="2"/>
      <c r="AD9" s="7"/>
      <c r="AE9" s="8"/>
      <c r="AF9" s="8"/>
      <c r="AG9" s="7"/>
      <c r="AH9" s="7"/>
    </row>
    <row r="10" spans="1:34" ht="15" customHeight="1" x14ac:dyDescent="0.25">
      <c r="A10" s="2"/>
      <c r="B10" s="136" t="s">
        <v>62</v>
      </c>
      <c r="C10" s="136"/>
      <c r="D10" s="136"/>
      <c r="E10" s="136"/>
      <c r="F10" s="136"/>
      <c r="G10" s="136"/>
      <c r="H10" s="136"/>
      <c r="I10" s="136"/>
      <c r="J10" s="5">
        <v>8</v>
      </c>
      <c r="K10" s="3" t="s">
        <v>63</v>
      </c>
      <c r="L10" s="2"/>
      <c r="M10" s="2"/>
      <c r="N10" s="2"/>
      <c r="O10" s="2"/>
      <c r="P10" s="7"/>
      <c r="Q10" s="8" t="s">
        <v>20</v>
      </c>
      <c r="R10" s="8"/>
      <c r="S10" s="7"/>
      <c r="T10" s="7"/>
      <c r="U10" s="2"/>
      <c r="V10" s="2"/>
      <c r="W10" s="2"/>
      <c r="X10" s="2"/>
      <c r="Y10" s="2"/>
      <c r="Z10" s="2"/>
      <c r="AA10" s="2"/>
      <c r="AB10" s="2"/>
      <c r="AC10" s="2"/>
      <c r="AD10" s="7"/>
      <c r="AE10" s="8"/>
      <c r="AF10" s="8"/>
      <c r="AG10" s="7"/>
      <c r="AH10" s="7"/>
    </row>
    <row r="11" spans="1:34" x14ac:dyDescent="0.25">
      <c r="A11" s="2"/>
      <c r="B11" s="136" t="s">
        <v>21</v>
      </c>
      <c r="C11" s="136"/>
      <c r="D11" s="136"/>
      <c r="E11" s="136"/>
      <c r="F11" s="136"/>
      <c r="G11" s="136"/>
      <c r="H11" s="136"/>
      <c r="I11" s="136"/>
      <c r="J11" s="9">
        <v>0.19</v>
      </c>
      <c r="K11" s="2"/>
      <c r="L11" s="2"/>
      <c r="M11" s="2"/>
      <c r="N11" s="2"/>
      <c r="O11" s="2"/>
      <c r="P11" s="7"/>
      <c r="Q11" s="135"/>
      <c r="R11" s="135"/>
      <c r="S11" s="135"/>
      <c r="T11" s="135"/>
      <c r="U11" s="2"/>
      <c r="V11" s="2"/>
      <c r="W11" s="2"/>
      <c r="X11" s="2"/>
      <c r="Y11" s="2"/>
      <c r="Z11" s="2"/>
      <c r="AA11" s="2"/>
      <c r="AB11" s="2"/>
      <c r="AC11" s="2"/>
      <c r="AD11" s="7"/>
      <c r="AE11" s="135"/>
      <c r="AF11" s="135"/>
      <c r="AG11" s="135"/>
      <c r="AH11" s="135"/>
    </row>
    <row r="12" spans="1:34" x14ac:dyDescent="0.25">
      <c r="A12" s="2"/>
      <c r="B12" s="136" t="s">
        <v>64</v>
      </c>
      <c r="C12" s="136"/>
      <c r="D12" s="136"/>
      <c r="E12" s="136"/>
      <c r="F12" s="136"/>
      <c r="G12" s="136"/>
      <c r="H12" s="136"/>
      <c r="I12" s="136"/>
      <c r="J12" s="109">
        <v>0.03</v>
      </c>
      <c r="K12" s="2" t="s">
        <v>65</v>
      </c>
      <c r="L12" s="2"/>
      <c r="M12" s="2"/>
      <c r="N12" s="2"/>
      <c r="O12" s="2"/>
      <c r="P12" s="2"/>
      <c r="Q12" s="135"/>
      <c r="R12" s="135"/>
      <c r="S12" s="135"/>
      <c r="T12" s="135"/>
      <c r="U12" s="2"/>
      <c r="V12" s="2"/>
      <c r="W12" s="2"/>
      <c r="X12" s="2"/>
      <c r="Y12" s="2"/>
      <c r="Z12" s="2"/>
      <c r="AA12" s="2"/>
      <c r="AB12" s="2"/>
      <c r="AC12" s="2"/>
      <c r="AD12" s="2"/>
      <c r="AE12" s="135"/>
      <c r="AF12" s="135"/>
      <c r="AG12" s="135"/>
      <c r="AH12" s="135"/>
    </row>
    <row r="13" spans="1:34" ht="15" customHeight="1" x14ac:dyDescent="0.25"/>
    <row r="14" spans="1:34" ht="15.75" thickBot="1" x14ac:dyDescent="0.3">
      <c r="I14" s="140" t="s">
        <v>46</v>
      </c>
      <c r="J14" s="141"/>
      <c r="K14" s="141"/>
      <c r="L14" s="141"/>
      <c r="M14" s="141"/>
      <c r="N14" s="141"/>
      <c r="O14" s="142"/>
      <c r="P14" s="143" t="s">
        <v>73</v>
      </c>
      <c r="Q14" s="144"/>
      <c r="R14" s="144"/>
      <c r="S14" s="144"/>
      <c r="T14" s="144"/>
      <c r="U14" s="144"/>
      <c r="V14" s="145"/>
      <c r="W14" s="137" t="s">
        <v>74</v>
      </c>
      <c r="X14" s="138"/>
      <c r="Y14" s="138"/>
      <c r="Z14" s="138"/>
      <c r="AA14" s="138"/>
      <c r="AB14" s="138"/>
      <c r="AC14" s="139"/>
      <c r="AD14" s="73" t="s">
        <v>45</v>
      </c>
      <c r="AE14" s="80" t="s">
        <v>58</v>
      </c>
      <c r="AF14" s="88" t="s">
        <v>59</v>
      </c>
    </row>
    <row r="15" spans="1:34" ht="57.75" thickTop="1" thickBot="1" x14ac:dyDescent="0.3">
      <c r="A15" s="73" t="s">
        <v>52</v>
      </c>
      <c r="B15" s="73" t="s">
        <v>55</v>
      </c>
      <c r="C15" s="73" t="s">
        <v>54</v>
      </c>
      <c r="D15" s="99" t="s">
        <v>24</v>
      </c>
      <c r="E15" s="103" t="s">
        <v>25</v>
      </c>
      <c r="F15" s="100" t="s">
        <v>26</v>
      </c>
      <c r="G15" s="73" t="s">
        <v>27</v>
      </c>
      <c r="H15" s="73" t="s">
        <v>28</v>
      </c>
      <c r="I15" s="73" t="s">
        <v>42</v>
      </c>
      <c r="J15" s="73" t="s">
        <v>29</v>
      </c>
      <c r="K15" s="73" t="s">
        <v>30</v>
      </c>
      <c r="L15" s="73" t="s">
        <v>31</v>
      </c>
      <c r="M15" s="73" t="s">
        <v>53</v>
      </c>
      <c r="N15" s="73" t="s">
        <v>56</v>
      </c>
      <c r="O15" s="73" t="s">
        <v>57</v>
      </c>
      <c r="P15" s="80" t="s">
        <v>42</v>
      </c>
      <c r="Q15" s="80" t="s">
        <v>29</v>
      </c>
      <c r="R15" s="80" t="s">
        <v>30</v>
      </c>
      <c r="S15" s="80" t="s">
        <v>31</v>
      </c>
      <c r="T15" s="80" t="s">
        <v>53</v>
      </c>
      <c r="U15" s="80" t="s">
        <v>56</v>
      </c>
      <c r="V15" s="80" t="s">
        <v>57</v>
      </c>
      <c r="W15" s="85" t="s">
        <v>42</v>
      </c>
      <c r="X15" s="85" t="s">
        <v>29</v>
      </c>
      <c r="Y15" s="85" t="s">
        <v>30</v>
      </c>
      <c r="Z15" s="85" t="s">
        <v>31</v>
      </c>
      <c r="AA15" s="85" t="s">
        <v>53</v>
      </c>
      <c r="AB15" s="85" t="s">
        <v>56</v>
      </c>
      <c r="AC15" s="85" t="s">
        <v>57</v>
      </c>
      <c r="AD15" s="73" t="s">
        <v>85</v>
      </c>
      <c r="AE15" s="80" t="s">
        <v>61</v>
      </c>
      <c r="AF15" s="84" t="s">
        <v>60</v>
      </c>
    </row>
    <row r="16" spans="1:34" ht="102.75" thickTop="1" x14ac:dyDescent="0.25">
      <c r="A16" s="72">
        <v>1</v>
      </c>
      <c r="B16" s="72">
        <v>1</v>
      </c>
      <c r="C16" s="72">
        <v>1</v>
      </c>
      <c r="D16" s="69" t="s">
        <v>32</v>
      </c>
      <c r="E16" s="69" t="s">
        <v>13</v>
      </c>
      <c r="F16" s="65" t="s">
        <v>33</v>
      </c>
      <c r="G16" s="74">
        <v>1</v>
      </c>
      <c r="H16" s="74">
        <v>30</v>
      </c>
      <c r="I16" s="76">
        <f>'Anexo tecnico 2'!$C$8</f>
        <v>5062075</v>
      </c>
      <c r="J16" s="75"/>
      <c r="K16" s="75"/>
      <c r="L16" s="76">
        <f>+I16*19%</f>
        <v>961794.25</v>
      </c>
      <c r="M16" s="76">
        <f>ROUND(I16+J16+L16,0)</f>
        <v>6023869</v>
      </c>
      <c r="N16" s="76">
        <f>+$M16*$B16</f>
        <v>6023869</v>
      </c>
      <c r="O16" s="76">
        <f>+$M16*$C16</f>
        <v>6023869</v>
      </c>
      <c r="P16" s="76">
        <f>'Anexo tecnico 2'!$C$8</f>
        <v>5062075</v>
      </c>
      <c r="Q16" s="75"/>
      <c r="R16" s="75"/>
      <c r="S16" s="76">
        <f>+P16*19%</f>
        <v>961794.25</v>
      </c>
      <c r="T16" s="76">
        <f>ROUND(P16+Q16+S16,0)</f>
        <v>6023869</v>
      </c>
      <c r="U16" s="76">
        <f>+$T16*$B16</f>
        <v>6023869</v>
      </c>
      <c r="V16" s="76">
        <f>+$T16*$C16</f>
        <v>6023869</v>
      </c>
      <c r="W16" s="76">
        <f>'Anexo tecnico 2'!$C$8</f>
        <v>5062075</v>
      </c>
      <c r="X16" s="75"/>
      <c r="Y16" s="75"/>
      <c r="Z16" s="76">
        <f>+W16*19%</f>
        <v>961794.25</v>
      </c>
      <c r="AA16" s="76">
        <f>ROUND(W16+X16+Z16,0)</f>
        <v>6023869</v>
      </c>
      <c r="AB16" s="76">
        <f>+$AA16*B16</f>
        <v>6023869</v>
      </c>
      <c r="AC16" s="76">
        <f>+$AA16*C16</f>
        <v>6023869</v>
      </c>
      <c r="AD16" s="76">
        <f>($N16+$O16)*$J$8</f>
        <v>34095098.539999999</v>
      </c>
      <c r="AE16" s="76">
        <f>($U16+$V16)*$J$9</f>
        <v>144572856</v>
      </c>
      <c r="AF16" s="76">
        <f>($AB16+$AC16)*$J$10</f>
        <v>96381904</v>
      </c>
      <c r="AH16" s="87"/>
    </row>
    <row r="17" spans="1:33" ht="90.75" x14ac:dyDescent="0.25">
      <c r="A17" s="78">
        <v>2</v>
      </c>
      <c r="B17" s="71">
        <v>1</v>
      </c>
      <c r="C17" s="71">
        <v>2</v>
      </c>
      <c r="D17" s="67" t="s">
        <v>34</v>
      </c>
      <c r="E17" s="68" t="s">
        <v>14</v>
      </c>
      <c r="F17" s="66" t="s">
        <v>33</v>
      </c>
      <c r="G17" s="77">
        <v>1</v>
      </c>
      <c r="H17" s="77">
        <v>30</v>
      </c>
      <c r="I17" s="79">
        <f>'Anexo tecnico 2'!$C$9</f>
        <v>863449</v>
      </c>
      <c r="J17" s="75"/>
      <c r="K17" s="75"/>
      <c r="L17" s="79">
        <f>+I17*19%</f>
        <v>164055.31</v>
      </c>
      <c r="M17" s="79">
        <f t="shared" ref="M17:M18" si="0">ROUND(I17+J17+L17,0)</f>
        <v>1027504</v>
      </c>
      <c r="N17" s="79">
        <f t="shared" ref="N17:N19" si="1">+$M17*$B17</f>
        <v>1027504</v>
      </c>
      <c r="O17" s="79">
        <f t="shared" ref="O17:O19" si="2">+$M17*$C17</f>
        <v>2055008</v>
      </c>
      <c r="P17" s="79">
        <f>'Anexo tecnico 2'!$C$9</f>
        <v>863449</v>
      </c>
      <c r="Q17" s="75"/>
      <c r="R17" s="75"/>
      <c r="S17" s="79">
        <f>+P17*19%</f>
        <v>164055.31</v>
      </c>
      <c r="T17" s="79">
        <f t="shared" ref="T17:T18" si="3">ROUND(P17+Q17+S17,0)</f>
        <v>1027504</v>
      </c>
      <c r="U17" s="79">
        <f t="shared" ref="U17:U19" si="4">+$T17*$B17</f>
        <v>1027504</v>
      </c>
      <c r="V17" s="79">
        <f t="shared" ref="V17:V19" si="5">+$T17*$C17</f>
        <v>2055008</v>
      </c>
      <c r="W17" s="79">
        <f>'Anexo tecnico 2'!$C$9</f>
        <v>863449</v>
      </c>
      <c r="X17" s="75"/>
      <c r="Y17" s="75"/>
      <c r="Z17" s="79">
        <f>+W17*19%</f>
        <v>164055.31</v>
      </c>
      <c r="AA17" s="79">
        <f t="shared" ref="AA17:AA18" si="6">ROUND(W17+X17+Z17,0)</f>
        <v>1027504</v>
      </c>
      <c r="AB17" s="79">
        <f t="shared" ref="AB17:AB19" si="7">+$AA17*B17</f>
        <v>1027504</v>
      </c>
      <c r="AC17" s="79">
        <f t="shared" ref="AC17:AC19" si="8">+$AA17*C17</f>
        <v>2055008</v>
      </c>
      <c r="AD17" s="79">
        <f t="shared" ref="AD17:AD19" si="9">($N17+$O17)*$J$8</f>
        <v>8723508.9600000009</v>
      </c>
      <c r="AE17" s="79">
        <f t="shared" ref="AE17:AE19" si="10">($U17+$V17)*$J$9</f>
        <v>36990144</v>
      </c>
      <c r="AF17" s="79">
        <f t="shared" ref="AF17:AF19" si="11">($AB17+$AC17)*$J$10</f>
        <v>24660096</v>
      </c>
    </row>
    <row r="18" spans="1:33" ht="45.75" x14ac:dyDescent="0.25">
      <c r="A18" s="72">
        <v>3</v>
      </c>
      <c r="B18" s="72">
        <v>11</v>
      </c>
      <c r="C18" s="72">
        <v>7</v>
      </c>
      <c r="D18" s="69"/>
      <c r="E18" s="70" t="s">
        <v>12</v>
      </c>
      <c r="F18" s="65">
        <v>3</v>
      </c>
      <c r="G18" s="74">
        <v>1</v>
      </c>
      <c r="H18" s="74">
        <v>30</v>
      </c>
      <c r="I18" s="76" t="e">
        <f>#REF!</f>
        <v>#REF!</v>
      </c>
      <c r="J18" s="76" t="e">
        <f>+I18*10%</f>
        <v>#REF!</v>
      </c>
      <c r="K18" s="76" t="e">
        <f>+(I18+J18)*10%</f>
        <v>#REF!</v>
      </c>
      <c r="L18" s="76" t="e">
        <f>+K18*19%</f>
        <v>#REF!</v>
      </c>
      <c r="M18" s="76" t="e">
        <f t="shared" si="0"/>
        <v>#REF!</v>
      </c>
      <c r="N18" s="76" t="e">
        <f t="shared" si="1"/>
        <v>#REF!</v>
      </c>
      <c r="O18" s="76" t="e">
        <f t="shared" si="2"/>
        <v>#REF!</v>
      </c>
      <c r="P18" s="76" t="e">
        <f>#REF!</f>
        <v>#REF!</v>
      </c>
      <c r="Q18" s="76" t="e">
        <f>+P18*10%</f>
        <v>#REF!</v>
      </c>
      <c r="R18" s="76" t="e">
        <f>+(P18+Q18)*10%</f>
        <v>#REF!</v>
      </c>
      <c r="S18" s="76" t="e">
        <f>+R18*19%</f>
        <v>#REF!</v>
      </c>
      <c r="T18" s="76" t="e">
        <f t="shared" si="3"/>
        <v>#REF!</v>
      </c>
      <c r="U18" s="76" t="e">
        <f t="shared" si="4"/>
        <v>#REF!</v>
      </c>
      <c r="V18" s="76" t="e">
        <f t="shared" si="5"/>
        <v>#REF!</v>
      </c>
      <c r="W18" s="76" t="e">
        <f>#REF!</f>
        <v>#REF!</v>
      </c>
      <c r="X18" s="76" t="e">
        <f>+W18*10%</f>
        <v>#REF!</v>
      </c>
      <c r="Y18" s="76" t="e">
        <f>+(W18+X18)*10%</f>
        <v>#REF!</v>
      </c>
      <c r="Z18" s="76" t="e">
        <f>+Y18*19%</f>
        <v>#REF!</v>
      </c>
      <c r="AA18" s="76" t="e">
        <f t="shared" si="6"/>
        <v>#REF!</v>
      </c>
      <c r="AB18" s="76" t="e">
        <f t="shared" si="7"/>
        <v>#REF!</v>
      </c>
      <c r="AC18" s="76" t="e">
        <f t="shared" si="8"/>
        <v>#REF!</v>
      </c>
      <c r="AD18" s="76" t="e">
        <f>($N18+$O18)*$J$8</f>
        <v>#REF!</v>
      </c>
      <c r="AE18" s="76" t="e">
        <f>($U18+$V18)*$J$9</f>
        <v>#REF!</v>
      </c>
      <c r="AF18" s="76" t="e">
        <f t="shared" si="11"/>
        <v>#REF!</v>
      </c>
    </row>
    <row r="19" spans="1:33" ht="45.75" x14ac:dyDescent="0.25">
      <c r="A19" s="78">
        <v>4</v>
      </c>
      <c r="B19" s="71">
        <v>3</v>
      </c>
      <c r="C19" s="71">
        <v>1</v>
      </c>
      <c r="D19" s="67"/>
      <c r="E19" s="68" t="s">
        <v>70</v>
      </c>
      <c r="F19" s="66">
        <v>1</v>
      </c>
      <c r="G19" s="77">
        <v>1</v>
      </c>
      <c r="H19" s="77">
        <v>20</v>
      </c>
      <c r="I19" s="79" t="e">
        <f>#REF!</f>
        <v>#REF!</v>
      </c>
      <c r="J19" s="79" t="e">
        <f>+I19*10%</f>
        <v>#REF!</v>
      </c>
      <c r="K19" s="79" t="e">
        <f>+(I19+J19)*10%</f>
        <v>#REF!</v>
      </c>
      <c r="L19" s="79" t="e">
        <f>+K19*19%</f>
        <v>#REF!</v>
      </c>
      <c r="M19" s="79" t="e">
        <f>ROUND(I19+J19+L19,0)</f>
        <v>#REF!</v>
      </c>
      <c r="N19" s="79" t="e">
        <f t="shared" si="1"/>
        <v>#REF!</v>
      </c>
      <c r="O19" s="79" t="e">
        <f t="shared" si="2"/>
        <v>#REF!</v>
      </c>
      <c r="P19" s="79" t="e">
        <f>#REF!</f>
        <v>#REF!</v>
      </c>
      <c r="Q19" s="79" t="e">
        <f>+P19*10%</f>
        <v>#REF!</v>
      </c>
      <c r="R19" s="79" t="e">
        <f>+(P19+Q19)*10%</f>
        <v>#REF!</v>
      </c>
      <c r="S19" s="79" t="e">
        <f>+R19*19%</f>
        <v>#REF!</v>
      </c>
      <c r="T19" s="79" t="e">
        <f>ROUND(P19+Q19+S19,0)</f>
        <v>#REF!</v>
      </c>
      <c r="U19" s="79" t="e">
        <f t="shared" si="4"/>
        <v>#REF!</v>
      </c>
      <c r="V19" s="79" t="e">
        <f t="shared" si="5"/>
        <v>#REF!</v>
      </c>
      <c r="W19" s="79" t="e">
        <f>#REF!</f>
        <v>#REF!</v>
      </c>
      <c r="X19" s="79" t="e">
        <f>+W19*10%</f>
        <v>#REF!</v>
      </c>
      <c r="Y19" s="79" t="e">
        <f>+(W19+X19)*10%</f>
        <v>#REF!</v>
      </c>
      <c r="Z19" s="79" t="e">
        <f>+Y19*19%</f>
        <v>#REF!</v>
      </c>
      <c r="AA19" s="79" t="e">
        <f>ROUND(W19+X19+Z19,0)</f>
        <v>#REF!</v>
      </c>
      <c r="AB19" s="79" t="e">
        <f t="shared" si="7"/>
        <v>#REF!</v>
      </c>
      <c r="AC19" s="79" t="e">
        <f t="shared" si="8"/>
        <v>#REF!</v>
      </c>
      <c r="AD19" s="79" t="e">
        <f t="shared" si="9"/>
        <v>#REF!</v>
      </c>
      <c r="AE19" s="79" t="e">
        <f t="shared" si="10"/>
        <v>#REF!</v>
      </c>
      <c r="AF19" s="79" t="e">
        <f t="shared" si="11"/>
        <v>#REF!</v>
      </c>
    </row>
    <row r="20" spans="1:33" ht="15" customHeight="1" x14ac:dyDescent="0.25">
      <c r="M20" s="107" t="s">
        <v>83</v>
      </c>
      <c r="N20" s="87" t="e">
        <f>+$T20*$F25+SUM(N16:N19)</f>
        <v>#REF!</v>
      </c>
      <c r="O20" s="87" t="e">
        <f>+SUM(O16:O19)</f>
        <v>#REF!</v>
      </c>
      <c r="U20" s="87" t="e">
        <f>+$T20*$F25+SUM(U16:U19)</f>
        <v>#REF!</v>
      </c>
      <c r="V20" s="87" t="e">
        <f>+SUM(V16:V19)</f>
        <v>#REF!</v>
      </c>
      <c r="AB20" s="87" t="e">
        <f>+$T20*$F25+SUM(AB16:AB19)</f>
        <v>#REF!</v>
      </c>
      <c r="AC20" s="87" t="e">
        <f>+SUM(AC16:AC19)</f>
        <v>#REF!</v>
      </c>
      <c r="AD20" s="87" t="e">
        <f>+SUM(AD16:AD19)</f>
        <v>#REF!</v>
      </c>
      <c r="AE20" s="87" t="e">
        <f>+SUM(AE16:AE19)</f>
        <v>#REF!</v>
      </c>
      <c r="AF20" s="87" t="e">
        <f>SUM(AF16:AF19)</f>
        <v>#REF!</v>
      </c>
      <c r="AG20" s="87"/>
    </row>
    <row r="21" spans="1:33" ht="15" customHeight="1" x14ac:dyDescent="0.25">
      <c r="N21" s="87"/>
      <c r="O21" s="87"/>
      <c r="U21" s="87"/>
      <c r="V21" s="87"/>
      <c r="AB21" s="87"/>
      <c r="AC21" s="87"/>
      <c r="AD21" s="87"/>
      <c r="AE21" s="87"/>
      <c r="AF21" s="87"/>
      <c r="AG21" s="87"/>
    </row>
    <row r="22" spans="1:33" ht="15" customHeight="1" x14ac:dyDescent="0.25">
      <c r="N22" s="87"/>
      <c r="O22" s="87"/>
      <c r="U22" s="87"/>
      <c r="V22" s="87"/>
      <c r="AB22" s="134" t="s">
        <v>82</v>
      </c>
      <c r="AC22" s="134"/>
      <c r="AD22" s="108" t="e">
        <f>SUM(AD20,AE20,AF20)</f>
        <v>#REF!</v>
      </c>
      <c r="AE22" s="87"/>
      <c r="AF22" s="87"/>
      <c r="AG22" s="87"/>
    </row>
    <row r="23" spans="1:33" x14ac:dyDescent="0.25">
      <c r="E23" s="133" t="s">
        <v>77</v>
      </c>
      <c r="F23" s="133"/>
      <c r="G23" s="133"/>
      <c r="H23" s="133"/>
    </row>
    <row r="24" spans="1:33" ht="22.5" x14ac:dyDescent="0.25">
      <c r="E24" s="106" t="s">
        <v>78</v>
      </c>
      <c r="F24" s="106" t="s">
        <v>67</v>
      </c>
      <c r="G24" s="106" t="s">
        <v>76</v>
      </c>
      <c r="H24" s="106" t="s">
        <v>81</v>
      </c>
    </row>
    <row r="25" spans="1:33" ht="23.25" x14ac:dyDescent="0.25">
      <c r="E25" s="104" t="s">
        <v>75</v>
      </c>
      <c r="F25" s="105">
        <f>SUM($B$16:$B$19)-$B$16-$B$17</f>
        <v>14</v>
      </c>
      <c r="G25" s="105">
        <f>SUM($C$16:$C$19)-$C$16-$C$17</f>
        <v>8</v>
      </c>
      <c r="H25" s="105">
        <f>SUM(F25:G25)</f>
        <v>22</v>
      </c>
    </row>
    <row r="26" spans="1:33" ht="23.25" x14ac:dyDescent="0.25">
      <c r="E26" s="101" t="s">
        <v>79</v>
      </c>
      <c r="F26" s="102">
        <f>+$B$17</f>
        <v>1</v>
      </c>
      <c r="G26" s="102">
        <f>+$C$17</f>
        <v>2</v>
      </c>
      <c r="H26" s="102">
        <f t="shared" ref="H26:H27" si="12">SUM(F26:G26)</f>
        <v>3</v>
      </c>
    </row>
    <row r="27" spans="1:33" ht="23.25" x14ac:dyDescent="0.25">
      <c r="E27" s="101" t="s">
        <v>80</v>
      </c>
      <c r="F27" s="102">
        <f>+$B$16</f>
        <v>1</v>
      </c>
      <c r="G27" s="102">
        <f>+$C$16</f>
        <v>1</v>
      </c>
      <c r="H27" s="102">
        <f t="shared" si="12"/>
        <v>2</v>
      </c>
    </row>
  </sheetData>
  <mergeCells count="14">
    <mergeCell ref="A1:T5"/>
    <mergeCell ref="Q11:T12"/>
    <mergeCell ref="B10:I10"/>
    <mergeCell ref="I14:O14"/>
    <mergeCell ref="P14:V14"/>
    <mergeCell ref="B7:I7"/>
    <mergeCell ref="B8:I8"/>
    <mergeCell ref="B9:I9"/>
    <mergeCell ref="E23:H23"/>
    <mergeCell ref="AB22:AC22"/>
    <mergeCell ref="AE11:AH12"/>
    <mergeCell ref="B11:I11"/>
    <mergeCell ref="B12:I12"/>
    <mergeCell ref="W14:AC14"/>
  </mergeCells>
  <pageMargins left="0.7" right="0.7" top="0.75" bottom="0.75" header="0.3" footer="0.3"/>
  <pageSetup paperSize="14" orientation="portrait"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499984740745262"/>
    <pageSetUpPr fitToPage="1"/>
  </sheetPr>
  <dimension ref="A1:O60"/>
  <sheetViews>
    <sheetView showGridLines="0" topLeftCell="D1" zoomScale="90" zoomScaleNormal="90" zoomScaleSheetLayoutView="130" workbookViewId="0">
      <selection activeCell="L21" sqref="L21"/>
    </sheetView>
  </sheetViews>
  <sheetFormatPr baseColWidth="10" defaultColWidth="11.42578125" defaultRowHeight="11.25" x14ac:dyDescent="0.25"/>
  <cols>
    <col min="1" max="1" width="1.28515625" style="3" customWidth="1"/>
    <col min="2" max="2" width="11.7109375" style="3" customWidth="1"/>
    <col min="3" max="3" width="17.85546875" style="3" customWidth="1"/>
    <col min="4" max="4" width="24.85546875" style="3" customWidth="1"/>
    <col min="5" max="5" width="17.7109375" style="3" customWidth="1"/>
    <col min="6" max="7" width="16.28515625" style="3" customWidth="1"/>
    <col min="8" max="8" width="20.140625" style="3" customWidth="1"/>
    <col min="9" max="9" width="19.42578125" style="3" bestFit="1" customWidth="1"/>
    <col min="10" max="10" width="13.28515625" style="3" customWidth="1"/>
    <col min="11" max="11" width="11.7109375" style="3" customWidth="1"/>
    <col min="12" max="12" width="19" style="3" customWidth="1"/>
    <col min="13" max="13" width="26.140625" style="3" customWidth="1"/>
    <col min="14" max="14" width="21" style="3" customWidth="1"/>
    <col min="15" max="15" width="7.42578125" style="89" customWidth="1"/>
    <col min="16" max="16384" width="11.42578125" style="3"/>
  </cols>
  <sheetData>
    <row r="1" spans="1:15" x14ac:dyDescent="0.25">
      <c r="A1" s="2"/>
      <c r="B1" s="2"/>
      <c r="C1" s="2"/>
      <c r="D1" s="2"/>
      <c r="E1" s="2"/>
      <c r="F1" s="2"/>
      <c r="G1" s="2"/>
      <c r="H1" s="2"/>
      <c r="I1" s="2"/>
      <c r="J1" s="2"/>
      <c r="K1" s="2"/>
      <c r="L1" s="2"/>
      <c r="M1" s="2"/>
      <c r="N1" s="2"/>
    </row>
    <row r="2" spans="1:15" x14ac:dyDescent="0.25">
      <c r="A2" s="132" t="s">
        <v>106</v>
      </c>
      <c r="B2" s="132"/>
      <c r="C2" s="132"/>
      <c r="D2" s="132"/>
      <c r="E2" s="132"/>
      <c r="F2" s="132"/>
      <c r="G2" s="132"/>
      <c r="H2" s="132"/>
      <c r="I2" s="132"/>
      <c r="J2" s="132"/>
      <c r="K2" s="132"/>
      <c r="L2" s="132"/>
      <c r="M2" s="132"/>
      <c r="N2" s="132"/>
    </row>
    <row r="3" spans="1:15" x14ac:dyDescent="0.25">
      <c r="A3" s="132"/>
      <c r="B3" s="132"/>
      <c r="C3" s="132"/>
      <c r="D3" s="132"/>
      <c r="E3" s="132"/>
      <c r="F3" s="132"/>
      <c r="G3" s="132"/>
      <c r="H3" s="132"/>
      <c r="I3" s="132"/>
      <c r="J3" s="132"/>
      <c r="K3" s="132"/>
      <c r="L3" s="132"/>
      <c r="M3" s="132"/>
      <c r="N3" s="132"/>
    </row>
    <row r="4" spans="1:15" x14ac:dyDescent="0.25">
      <c r="A4" s="132"/>
      <c r="B4" s="132"/>
      <c r="C4" s="132"/>
      <c r="D4" s="132"/>
      <c r="E4" s="132"/>
      <c r="F4" s="132"/>
      <c r="G4" s="132"/>
      <c r="H4" s="132"/>
      <c r="I4" s="132"/>
      <c r="J4" s="132"/>
      <c r="K4" s="132"/>
      <c r="L4" s="132"/>
      <c r="M4" s="132"/>
      <c r="N4" s="132"/>
    </row>
    <row r="5" spans="1:15" x14ac:dyDescent="0.25">
      <c r="A5" s="132"/>
      <c r="B5" s="132"/>
      <c r="C5" s="132"/>
      <c r="D5" s="132"/>
      <c r="E5" s="132"/>
      <c r="F5" s="132"/>
      <c r="G5" s="132"/>
      <c r="H5" s="132"/>
      <c r="I5" s="132"/>
      <c r="J5" s="132"/>
      <c r="K5" s="132"/>
      <c r="L5" s="132"/>
      <c r="M5" s="132"/>
      <c r="N5" s="132"/>
    </row>
    <row r="6" spans="1:15" x14ac:dyDescent="0.25">
      <c r="A6" s="132"/>
      <c r="B6" s="132"/>
      <c r="C6" s="132"/>
      <c r="D6" s="132"/>
      <c r="E6" s="132"/>
      <c r="F6" s="132"/>
      <c r="G6" s="132"/>
      <c r="H6" s="132"/>
      <c r="I6" s="132"/>
      <c r="J6" s="132"/>
      <c r="K6" s="132"/>
      <c r="L6" s="132"/>
      <c r="M6" s="132"/>
      <c r="N6" s="132"/>
    </row>
    <row r="7" spans="1:15" x14ac:dyDescent="0.25">
      <c r="A7" s="2"/>
      <c r="B7" s="2"/>
      <c r="C7" s="2"/>
      <c r="D7" s="2"/>
      <c r="E7" s="2"/>
      <c r="F7" s="2"/>
      <c r="G7" s="2"/>
      <c r="H7" s="2"/>
      <c r="I7" s="2"/>
      <c r="J7" s="2"/>
      <c r="K7" s="2"/>
      <c r="L7" s="2"/>
      <c r="M7" s="2"/>
      <c r="N7" s="2"/>
    </row>
    <row r="8" spans="1:15" x14ac:dyDescent="0.25">
      <c r="A8" s="2"/>
      <c r="B8" s="146" t="s">
        <v>17</v>
      </c>
      <c r="C8" s="146"/>
      <c r="D8" s="146"/>
      <c r="E8" s="146"/>
      <c r="F8" s="146"/>
      <c r="G8" s="146"/>
      <c r="H8" s="146"/>
      <c r="I8" s="146"/>
      <c r="J8" s="4" t="s">
        <v>18</v>
      </c>
      <c r="K8" s="2"/>
      <c r="L8" s="2"/>
      <c r="M8" s="2"/>
      <c r="N8" s="2"/>
    </row>
    <row r="9" spans="1:15" x14ac:dyDescent="0.25">
      <c r="A9" s="2"/>
      <c r="B9" s="136" t="s">
        <v>87</v>
      </c>
      <c r="C9" s="136"/>
      <c r="D9" s="136"/>
      <c r="E9" s="136"/>
      <c r="F9" s="136"/>
      <c r="G9" s="136"/>
      <c r="H9" s="136"/>
      <c r="I9" s="136"/>
      <c r="J9" s="116">
        <v>2</v>
      </c>
      <c r="K9" s="6" t="s">
        <v>146</v>
      </c>
      <c r="L9" s="6"/>
      <c r="M9" s="117"/>
      <c r="N9" s="117"/>
    </row>
    <row r="10" spans="1:15" x14ac:dyDescent="0.25">
      <c r="A10" s="2"/>
      <c r="B10" s="136" t="s">
        <v>134</v>
      </c>
      <c r="C10" s="136"/>
      <c r="D10" s="136"/>
      <c r="E10" s="136"/>
      <c r="F10" s="136"/>
      <c r="G10" s="136"/>
      <c r="H10" s="136"/>
      <c r="I10" s="136"/>
      <c r="J10" s="116"/>
      <c r="K10" s="6"/>
      <c r="L10" s="2"/>
      <c r="M10" s="2"/>
      <c r="N10" s="2"/>
    </row>
    <row r="11" spans="1:15" ht="13.5" customHeight="1" x14ac:dyDescent="0.25">
      <c r="A11" s="2"/>
      <c r="B11" s="136"/>
      <c r="C11" s="136"/>
      <c r="D11" s="136"/>
      <c r="E11" s="136"/>
      <c r="F11" s="136"/>
      <c r="G11" s="136"/>
      <c r="H11" s="136"/>
      <c r="I11" s="136"/>
      <c r="J11" s="116"/>
      <c r="M11" s="117"/>
      <c r="N11" s="117"/>
    </row>
    <row r="12" spans="1:15" x14ac:dyDescent="0.25">
      <c r="A12" s="2"/>
      <c r="B12" s="136" t="s">
        <v>21</v>
      </c>
      <c r="C12" s="136"/>
      <c r="D12" s="136"/>
      <c r="E12" s="136"/>
      <c r="F12" s="136"/>
      <c r="G12" s="136"/>
      <c r="H12" s="136"/>
      <c r="I12" s="136"/>
      <c r="J12" s="9">
        <v>0.19</v>
      </c>
      <c r="K12" s="2"/>
      <c r="L12" s="2"/>
      <c r="M12" s="2"/>
      <c r="N12" s="2"/>
    </row>
    <row r="13" spans="1:15" x14ac:dyDescent="0.25">
      <c r="A13" s="2"/>
      <c r="B13" s="2"/>
      <c r="C13" s="2"/>
      <c r="D13" s="2"/>
      <c r="E13" s="2"/>
      <c r="F13" s="2"/>
      <c r="G13" s="2"/>
      <c r="H13" s="2"/>
      <c r="I13" s="34"/>
      <c r="J13" s="2"/>
      <c r="K13" s="2"/>
      <c r="L13" s="2"/>
      <c r="M13" s="2"/>
      <c r="N13" s="2"/>
    </row>
    <row r="14" spans="1:15" ht="15" customHeight="1" x14ac:dyDescent="0.25">
      <c r="A14" s="2"/>
      <c r="B14" s="10"/>
      <c r="C14" s="10"/>
      <c r="D14" s="10"/>
      <c r="E14" s="11"/>
      <c r="F14" s="2"/>
      <c r="G14" s="2"/>
      <c r="H14" s="2"/>
      <c r="I14" s="151" t="s">
        <v>147</v>
      </c>
      <c r="J14" s="151"/>
      <c r="K14" s="151"/>
      <c r="L14" s="151"/>
      <c r="M14" s="151"/>
      <c r="N14" s="16" t="s">
        <v>88</v>
      </c>
      <c r="O14" s="147" t="s">
        <v>69</v>
      </c>
    </row>
    <row r="15" spans="1:15" ht="54.75" customHeight="1" thickBot="1" x14ac:dyDescent="0.3">
      <c r="A15" s="2"/>
      <c r="B15" s="55" t="s">
        <v>22</v>
      </c>
      <c r="C15" s="55" t="s">
        <v>23</v>
      </c>
      <c r="D15" s="55" t="s">
        <v>24</v>
      </c>
      <c r="E15" s="55" t="s">
        <v>25</v>
      </c>
      <c r="F15" s="55" t="s">
        <v>26</v>
      </c>
      <c r="G15" s="55" t="s">
        <v>89</v>
      </c>
      <c r="H15" s="55" t="s">
        <v>28</v>
      </c>
      <c r="I15" s="55" t="s">
        <v>36</v>
      </c>
      <c r="J15" s="56" t="s">
        <v>37</v>
      </c>
      <c r="K15" s="55" t="s">
        <v>38</v>
      </c>
      <c r="L15" s="55" t="s">
        <v>39</v>
      </c>
      <c r="M15" s="55" t="s">
        <v>40</v>
      </c>
      <c r="N15" s="55" t="s">
        <v>125</v>
      </c>
      <c r="O15" s="141"/>
    </row>
    <row r="16" spans="1:15" ht="12" thickTop="1" x14ac:dyDescent="0.2">
      <c r="A16" s="2"/>
      <c r="B16" s="24" t="s">
        <v>93</v>
      </c>
      <c r="C16" s="24"/>
      <c r="D16" s="35"/>
      <c r="E16" s="25"/>
      <c r="F16" s="37"/>
      <c r="G16" s="37"/>
      <c r="H16" s="37"/>
      <c r="I16" s="38"/>
      <c r="J16" s="38"/>
      <c r="K16" s="38"/>
      <c r="L16" s="38"/>
      <c r="M16" s="38"/>
      <c r="N16" s="38"/>
      <c r="O16" s="96"/>
    </row>
    <row r="17" spans="1:15" ht="33.75" x14ac:dyDescent="0.2">
      <c r="A17" s="2"/>
      <c r="B17" s="21" t="s">
        <v>90</v>
      </c>
      <c r="C17" s="21" t="s">
        <v>128</v>
      </c>
      <c r="D17" s="21" t="s">
        <v>91</v>
      </c>
      <c r="E17" s="17" t="s">
        <v>12</v>
      </c>
      <c r="F17" s="19">
        <v>3</v>
      </c>
      <c r="G17" s="22">
        <v>1</v>
      </c>
      <c r="H17" s="19">
        <v>30</v>
      </c>
      <c r="I17" s="20">
        <f>'Anexo tecnico 4'!$E$8</f>
        <v>17880640.050000001</v>
      </c>
      <c r="J17" s="20">
        <f>+Tabla1[[#This Row],[TARIFA BASE Valor Unitario incluida prima seguro-VF]]*10%</f>
        <v>1788064.0050000001</v>
      </c>
      <c r="K17" s="20">
        <f>+(Tabla1[[#This Row],[TARIFA BASE Valor Unitario incluida prima seguro-VF]]+Tabla1[[#This Row],[Valor Unitario AyS (10%)-VF]])*10%</f>
        <v>1966870.4055000001</v>
      </c>
      <c r="L17" s="20">
        <f>+Tabla1[[#This Row],[Base Gravable-VF]]*19%</f>
        <v>373705.37704500003</v>
      </c>
      <c r="M17" s="20">
        <f>ROUND(I17+J17+L17,0)</f>
        <v>20042409</v>
      </c>
      <c r="N17" s="20">
        <f>ROUND(Tabla1[[#This Row],[Valor Total Unitario Mensual TARIFA-VF]]*$J$9,0)</f>
        <v>40084818</v>
      </c>
      <c r="O17" s="77" t="s">
        <v>103</v>
      </c>
    </row>
    <row r="18" spans="1:15" ht="45" x14ac:dyDescent="0.2">
      <c r="A18" s="2"/>
      <c r="B18" s="21" t="s">
        <v>90</v>
      </c>
      <c r="C18" s="21" t="s">
        <v>128</v>
      </c>
      <c r="D18" s="21" t="s">
        <v>92</v>
      </c>
      <c r="E18" s="17" t="s">
        <v>70</v>
      </c>
      <c r="F18" s="19">
        <v>1</v>
      </c>
      <c r="G18" s="22">
        <v>1</v>
      </c>
      <c r="H18" s="19">
        <v>20</v>
      </c>
      <c r="I18" s="20">
        <f>'Anexo tecnico 4'!$E$9</f>
        <v>5337490.2591920001</v>
      </c>
      <c r="J18" s="20">
        <f>+Tabla1[[#This Row],[TARIFA BASE Valor Unitario incluida prima seguro-VF]]*10%</f>
        <v>533749.02591920004</v>
      </c>
      <c r="K18" s="20">
        <f>+(Tabla1[[#This Row],[TARIFA BASE Valor Unitario incluida prima seguro-VF]]+Tabla1[[#This Row],[Valor Unitario AyS (10%)-VF]])*10%</f>
        <v>587123.92851112003</v>
      </c>
      <c r="L18" s="20">
        <f>+Tabla1[[#This Row],[Base Gravable-VF]]*19%</f>
        <v>111553.54641711281</v>
      </c>
      <c r="M18" s="20">
        <f>ROUND(I18+J18+L18,0)</f>
        <v>5982793</v>
      </c>
      <c r="N18" s="20">
        <f>ROUND(Tabla1[[#This Row],[Valor Total Unitario Mensual TARIFA-VF]]*$J$9,0)</f>
        <v>11965586</v>
      </c>
      <c r="O18" s="77" t="s">
        <v>103</v>
      </c>
    </row>
    <row r="19" spans="1:15" ht="90" x14ac:dyDescent="0.2">
      <c r="A19" s="2"/>
      <c r="B19" s="21" t="s">
        <v>90</v>
      </c>
      <c r="C19" s="21" t="s">
        <v>128</v>
      </c>
      <c r="D19" s="21" t="s">
        <v>32</v>
      </c>
      <c r="E19" s="23" t="s">
        <v>13</v>
      </c>
      <c r="F19" s="18" t="s">
        <v>33</v>
      </c>
      <c r="G19" s="19">
        <v>1</v>
      </c>
      <c r="H19" s="19">
        <v>30</v>
      </c>
      <c r="I19" s="20">
        <f>'Anexo tecnico 2'!$C$8</f>
        <v>5062075</v>
      </c>
      <c r="J19" s="54"/>
      <c r="K19" s="54"/>
      <c r="L19" s="20">
        <f>+Tabla1[[#This Row],[TARIFA BASE Valor Unitario incluida prima seguro-VF]]*19%</f>
        <v>961794.25</v>
      </c>
      <c r="M19" s="20">
        <f t="shared" ref="M19" si="0">ROUND(I19+J19+L19,0)</f>
        <v>6023869</v>
      </c>
      <c r="N19" s="20">
        <f>ROUND(Tabla1[[#This Row],[Valor Total Unitario Mensual TARIFA-VF]]*$J$9,0)</f>
        <v>12047738</v>
      </c>
      <c r="O19" s="77" t="s">
        <v>103</v>
      </c>
    </row>
    <row r="20" spans="1:15" ht="69" customHeight="1" x14ac:dyDescent="0.2">
      <c r="A20" s="2"/>
      <c r="B20" s="21" t="s">
        <v>90</v>
      </c>
      <c r="C20" s="21" t="s">
        <v>94</v>
      </c>
      <c r="D20" s="21" t="s">
        <v>133</v>
      </c>
      <c r="E20" s="17" t="s">
        <v>12</v>
      </c>
      <c r="F20" s="19">
        <v>3</v>
      </c>
      <c r="G20" s="22">
        <v>1</v>
      </c>
      <c r="H20" s="19">
        <v>30</v>
      </c>
      <c r="I20" s="20">
        <f>'Anexo tecnico 4'!$E$8</f>
        <v>17880640.050000001</v>
      </c>
      <c r="J20" s="20">
        <f>+Tabla1[[#This Row],[TARIFA BASE Valor Unitario incluida prima seguro-VF]]*10%</f>
        <v>1788064.0050000001</v>
      </c>
      <c r="K20" s="20">
        <f>+(Tabla1[[#This Row],[TARIFA BASE Valor Unitario incluida prima seguro-VF]]+Tabla1[[#This Row],[Valor Unitario AyS (10%)-VF]])*10%</f>
        <v>1966870.4055000001</v>
      </c>
      <c r="L20" s="20">
        <f>+Tabla1[[#This Row],[Base Gravable-VF]]*19%</f>
        <v>373705.37704500003</v>
      </c>
      <c r="M20" s="20">
        <f>ROUND(I20+J20+L20,0)</f>
        <v>20042409</v>
      </c>
      <c r="N20" s="20">
        <f>ROUND(Tabla1[[#This Row],[Valor Total Unitario Mensual TARIFA-VF]]*$J$9,0)</f>
        <v>40084818</v>
      </c>
      <c r="O20" s="77" t="s">
        <v>104</v>
      </c>
    </row>
    <row r="21" spans="1:15" ht="90" x14ac:dyDescent="0.2">
      <c r="A21" s="2"/>
      <c r="B21" s="21" t="s">
        <v>90</v>
      </c>
      <c r="C21" s="21" t="s">
        <v>94</v>
      </c>
      <c r="D21" s="21" t="s">
        <v>34</v>
      </c>
      <c r="E21" s="23" t="s">
        <v>14</v>
      </c>
      <c r="F21" s="18" t="s">
        <v>33</v>
      </c>
      <c r="G21" s="19">
        <v>1</v>
      </c>
      <c r="H21" s="19">
        <v>30</v>
      </c>
      <c r="I21" s="20">
        <f>'Anexo tecnico 2'!$C$9</f>
        <v>863449</v>
      </c>
      <c r="J21" s="54"/>
      <c r="K21" s="54"/>
      <c r="L21" s="20">
        <f>+Tabla1[[#This Row],[TARIFA BASE Valor Unitario incluida prima seguro-VF]]*19%</f>
        <v>164055.31</v>
      </c>
      <c r="M21" s="20">
        <f t="shared" ref="M21" si="1">ROUND(I21+J21+L21,0)</f>
        <v>1027504</v>
      </c>
      <c r="N21" s="20">
        <f>ROUND(Tabla1[[#This Row],[Valor Total Unitario Mensual TARIFA-VF]]*$J$9,0)</f>
        <v>2055008</v>
      </c>
      <c r="O21" s="77" t="s">
        <v>103</v>
      </c>
    </row>
    <row r="22" spans="1:15" ht="33.75" x14ac:dyDescent="0.2">
      <c r="A22" s="2"/>
      <c r="B22" s="21" t="s">
        <v>90</v>
      </c>
      <c r="C22" s="21" t="s">
        <v>129</v>
      </c>
      <c r="D22" s="21" t="s">
        <v>131</v>
      </c>
      <c r="E22" s="17" t="s">
        <v>12</v>
      </c>
      <c r="F22" s="18">
        <v>3</v>
      </c>
      <c r="G22" s="19">
        <v>1</v>
      </c>
      <c r="H22" s="19">
        <v>30</v>
      </c>
      <c r="I22" s="20">
        <f>'Anexo tecnico 4'!$E$8</f>
        <v>17880640.050000001</v>
      </c>
      <c r="J22" s="20">
        <f>+Tabla1[[#This Row],[TARIFA BASE Valor Unitario incluida prima seguro-VF]]*10%</f>
        <v>1788064.0050000001</v>
      </c>
      <c r="K22" s="20">
        <f>+(Tabla1[[#This Row],[TARIFA BASE Valor Unitario incluida prima seguro-VF]]+Tabla1[[#This Row],[Valor Unitario AyS (10%)-VF]])*10%</f>
        <v>1966870.4055000001</v>
      </c>
      <c r="L22" s="20">
        <f>+Tabla1[[#This Row],[Base Gravable-VF]]*19%</f>
        <v>373705.37704500003</v>
      </c>
      <c r="M22" s="20">
        <f>ROUND(I22+J22+L22,0)</f>
        <v>20042409</v>
      </c>
      <c r="N22" s="20">
        <f>ROUND(Tabla1[[#This Row],[Valor Total Unitario Mensual TARIFA-VF]]*$J$9,0)</f>
        <v>40084818</v>
      </c>
      <c r="O22" s="77" t="s">
        <v>103</v>
      </c>
    </row>
    <row r="23" spans="1:15" ht="33.75" x14ac:dyDescent="0.2">
      <c r="A23" s="2"/>
      <c r="B23" s="21" t="s">
        <v>90</v>
      </c>
      <c r="C23" s="21" t="s">
        <v>129</v>
      </c>
      <c r="D23" s="21" t="s">
        <v>132</v>
      </c>
      <c r="E23" s="17" t="s">
        <v>12</v>
      </c>
      <c r="F23" s="19">
        <v>3</v>
      </c>
      <c r="G23" s="22">
        <v>1</v>
      </c>
      <c r="H23" s="19">
        <v>30</v>
      </c>
      <c r="I23" s="20">
        <f>'Anexo tecnico 4'!$E$8</f>
        <v>17880640.050000001</v>
      </c>
      <c r="J23" s="20">
        <f>+Tabla1[[#This Row],[TARIFA BASE Valor Unitario incluida prima seguro-VF]]*10%</f>
        <v>1788064.0050000001</v>
      </c>
      <c r="K23" s="20">
        <f>+(Tabla1[[#This Row],[TARIFA BASE Valor Unitario incluida prima seguro-VF]]+Tabla1[[#This Row],[Valor Unitario AyS (10%)-VF]])*10%</f>
        <v>1966870.4055000001</v>
      </c>
      <c r="L23" s="20">
        <f>+Tabla1[[#This Row],[Base Gravable-VF]]*19%</f>
        <v>373705.37704500003</v>
      </c>
      <c r="M23" s="20">
        <f>ROUND(I23+J23+L23,0)</f>
        <v>20042409</v>
      </c>
      <c r="N23" s="20">
        <f>ROUND(Tabla1[[#This Row],[Valor Total Unitario Mensual TARIFA-VF]]*$J$9,0)</f>
        <v>40084818</v>
      </c>
      <c r="O23" s="77" t="s">
        <v>103</v>
      </c>
    </row>
    <row r="24" spans="1:15" ht="45" x14ac:dyDescent="0.2">
      <c r="A24" s="2"/>
      <c r="B24" s="21" t="s">
        <v>90</v>
      </c>
      <c r="C24" s="21" t="s">
        <v>128</v>
      </c>
      <c r="D24" s="21" t="s">
        <v>130</v>
      </c>
      <c r="E24" s="17" t="s">
        <v>70</v>
      </c>
      <c r="F24" s="19">
        <v>1</v>
      </c>
      <c r="G24" s="22">
        <v>1</v>
      </c>
      <c r="H24" s="19">
        <v>20</v>
      </c>
      <c r="I24" s="20">
        <f>'Anexo tecnico 4'!$E$9</f>
        <v>5337490.2591920001</v>
      </c>
      <c r="J24" s="20">
        <f>+Tabla1[[#This Row],[TARIFA BASE Valor Unitario incluida prima seguro-VF]]*10%</f>
        <v>533749.02591920004</v>
      </c>
      <c r="K24" s="20">
        <f>+(Tabla1[[#This Row],[TARIFA BASE Valor Unitario incluida prima seguro-VF]]+Tabla1[[#This Row],[Valor Unitario AyS (10%)-VF]])*10%</f>
        <v>587123.92851112003</v>
      </c>
      <c r="L24" s="20">
        <f>+Tabla1[[#This Row],[Base Gravable-VF]]*19%</f>
        <v>111553.54641711281</v>
      </c>
      <c r="M24" s="20">
        <f>ROUND(I24+J24+L24,0)</f>
        <v>5982793</v>
      </c>
      <c r="N24" s="20">
        <f>ROUND(Tabla1[[#This Row],[Valor Total Unitario Mensual TARIFA-VF]]*$J$9,0)</f>
        <v>11965586</v>
      </c>
      <c r="O24" s="77" t="s">
        <v>103</v>
      </c>
    </row>
    <row r="25" spans="1:15" ht="33.75" x14ac:dyDescent="0.2">
      <c r="A25" s="2"/>
      <c r="B25" s="21" t="s">
        <v>95</v>
      </c>
      <c r="C25" s="21" t="s">
        <v>96</v>
      </c>
      <c r="D25" s="21" t="s">
        <v>35</v>
      </c>
      <c r="E25" s="17" t="s">
        <v>12</v>
      </c>
      <c r="F25" s="18">
        <v>3</v>
      </c>
      <c r="G25" s="19">
        <v>1</v>
      </c>
      <c r="H25" s="19">
        <v>30</v>
      </c>
      <c r="I25" s="20">
        <f>'Anexo tecnico 4'!$E$8</f>
        <v>17880640.050000001</v>
      </c>
      <c r="J25" s="20">
        <f>+Tabla1[[#This Row],[TARIFA BASE Valor Unitario incluida prima seguro-VF]]*10%</f>
        <v>1788064.0050000001</v>
      </c>
      <c r="K25" s="20">
        <f>+(Tabla1[[#This Row],[TARIFA BASE Valor Unitario incluida prima seguro-VF]]+Tabla1[[#This Row],[Valor Unitario AyS (10%)-VF]])*10%</f>
        <v>1966870.4055000001</v>
      </c>
      <c r="L25" s="20">
        <f>+Tabla1[[#This Row],[Base Gravable-VF]]*19%</f>
        <v>373705.37704500003</v>
      </c>
      <c r="M25" s="20">
        <f t="shared" ref="M25:M29" si="2">ROUND(I25+J25+L25,0)</f>
        <v>20042409</v>
      </c>
      <c r="N25" s="20">
        <f>ROUND(Tabla1[[#This Row],[Valor Total Unitario Mensual TARIFA-VF]]*$J$9,0)</f>
        <v>40084818</v>
      </c>
      <c r="O25" s="77" t="s">
        <v>103</v>
      </c>
    </row>
    <row r="26" spans="1:15" ht="33.75" x14ac:dyDescent="0.2">
      <c r="A26" s="2"/>
      <c r="B26" s="21" t="s">
        <v>97</v>
      </c>
      <c r="C26" s="21" t="s">
        <v>98</v>
      </c>
      <c r="D26" s="21" t="s">
        <v>35</v>
      </c>
      <c r="E26" s="17" t="s">
        <v>12</v>
      </c>
      <c r="F26" s="18">
        <v>3</v>
      </c>
      <c r="G26" s="19">
        <v>1</v>
      </c>
      <c r="H26" s="19">
        <v>30</v>
      </c>
      <c r="I26" s="20">
        <f>'Anexo tecnico 4'!$E$8</f>
        <v>17880640.050000001</v>
      </c>
      <c r="J26" s="20">
        <f>+Tabla1[[#This Row],[TARIFA BASE Valor Unitario incluida prima seguro-VF]]*10%</f>
        <v>1788064.0050000001</v>
      </c>
      <c r="K26" s="20">
        <f>+(Tabla1[[#This Row],[TARIFA BASE Valor Unitario incluida prima seguro-VF]]+Tabla1[[#This Row],[Valor Unitario AyS (10%)-VF]])*10%</f>
        <v>1966870.4055000001</v>
      </c>
      <c r="L26" s="20">
        <f>+Tabla1[[#This Row],[Base Gravable-VF]]*19%</f>
        <v>373705.37704500003</v>
      </c>
      <c r="M26" s="20">
        <f t="shared" si="2"/>
        <v>20042409</v>
      </c>
      <c r="N26" s="20">
        <f>ROUND(Tabla1[[#This Row],[Valor Total Unitario Mensual TARIFA-VF]]*$J$9,0)</f>
        <v>40084818</v>
      </c>
      <c r="O26" s="77" t="s">
        <v>103</v>
      </c>
    </row>
    <row r="27" spans="1:15" ht="33.75" x14ac:dyDescent="0.2">
      <c r="A27" s="2"/>
      <c r="B27" s="17" t="s">
        <v>99</v>
      </c>
      <c r="C27" s="17" t="s">
        <v>100</v>
      </c>
      <c r="D27" s="21" t="s">
        <v>35</v>
      </c>
      <c r="E27" s="17" t="s">
        <v>12</v>
      </c>
      <c r="F27" s="18">
        <v>3</v>
      </c>
      <c r="G27" s="19">
        <v>1</v>
      </c>
      <c r="H27" s="19">
        <v>30</v>
      </c>
      <c r="I27" s="20">
        <f>'Anexo tecnico 4'!$E$8</f>
        <v>17880640.050000001</v>
      </c>
      <c r="J27" s="20">
        <f>+Tabla1[[#This Row],[TARIFA BASE Valor Unitario incluida prima seguro-VF]]*10%</f>
        <v>1788064.0050000001</v>
      </c>
      <c r="K27" s="20">
        <f>+(Tabla1[[#This Row],[TARIFA BASE Valor Unitario incluida prima seguro-VF]]+Tabla1[[#This Row],[Valor Unitario AyS (10%)-VF]])*10%</f>
        <v>1966870.4055000001</v>
      </c>
      <c r="L27" s="20">
        <f>+Tabla1[[#This Row],[Base Gravable-VF]]*19%</f>
        <v>373705.37704500003</v>
      </c>
      <c r="M27" s="20">
        <f t="shared" si="2"/>
        <v>20042409</v>
      </c>
      <c r="N27" s="20">
        <f>ROUND(Tabla1[[#This Row],[Valor Total Unitario Mensual TARIFA-VF]]*$J$9,0)</f>
        <v>40084818</v>
      </c>
      <c r="O27" s="77" t="s">
        <v>103</v>
      </c>
    </row>
    <row r="28" spans="1:15" ht="90" x14ac:dyDescent="0.2">
      <c r="A28" s="2"/>
      <c r="B28" s="21" t="s">
        <v>101</v>
      </c>
      <c r="C28" s="17" t="s">
        <v>100</v>
      </c>
      <c r="D28" s="21" t="s">
        <v>34</v>
      </c>
      <c r="E28" s="23" t="s">
        <v>14</v>
      </c>
      <c r="F28" s="18" t="s">
        <v>33</v>
      </c>
      <c r="G28" s="19">
        <v>1</v>
      </c>
      <c r="H28" s="19">
        <v>30</v>
      </c>
      <c r="I28" s="20">
        <f>'Anexo tecnico 2'!$C$9</f>
        <v>863449</v>
      </c>
      <c r="J28" s="54"/>
      <c r="K28" s="54"/>
      <c r="L28" s="20">
        <f>+Tabla1[[#This Row],[TARIFA BASE Valor Unitario incluida prima seguro-VF]]*19%</f>
        <v>164055.31</v>
      </c>
      <c r="M28" s="20">
        <f t="shared" si="2"/>
        <v>1027504</v>
      </c>
      <c r="N28" s="20">
        <f>ROUND(Tabla1[[#This Row],[Valor Total Unitario Mensual TARIFA-VF]]*$J$9,0)</f>
        <v>2055008</v>
      </c>
      <c r="O28" s="77" t="s">
        <v>103</v>
      </c>
    </row>
    <row r="29" spans="1:15" ht="33.75" x14ac:dyDescent="0.2">
      <c r="A29" s="2"/>
      <c r="B29" s="17" t="s">
        <v>99</v>
      </c>
      <c r="C29" s="17" t="s">
        <v>102</v>
      </c>
      <c r="D29" s="21" t="s">
        <v>35</v>
      </c>
      <c r="E29" s="17" t="s">
        <v>12</v>
      </c>
      <c r="F29" s="18">
        <v>3</v>
      </c>
      <c r="G29" s="19">
        <v>1</v>
      </c>
      <c r="H29" s="19">
        <v>30</v>
      </c>
      <c r="I29" s="20">
        <f>'Anexo tecnico 4'!$E$8</f>
        <v>17880640.050000001</v>
      </c>
      <c r="J29" s="20">
        <f>+Tabla1[[#This Row],[TARIFA BASE Valor Unitario incluida prima seguro-VF]]*10%</f>
        <v>1788064.0050000001</v>
      </c>
      <c r="K29" s="20">
        <f>+(Tabla1[[#This Row],[TARIFA BASE Valor Unitario incluida prima seguro-VF]]+Tabla1[[#This Row],[Valor Unitario AyS (10%)-VF]])*10%</f>
        <v>1966870.4055000001</v>
      </c>
      <c r="L29" s="20">
        <f>+Tabla1[[#This Row],[Base Gravable-VF]]*19%</f>
        <v>373705.37704500003</v>
      </c>
      <c r="M29" s="20">
        <f t="shared" si="2"/>
        <v>20042409</v>
      </c>
      <c r="N29" s="20">
        <f>ROUND(Tabla1[[#This Row],[Valor Total Unitario Mensual TARIFA-VF]]*$J$9,0)</f>
        <v>40084818</v>
      </c>
      <c r="O29" s="77" t="s">
        <v>103</v>
      </c>
    </row>
    <row r="30" spans="1:15" x14ac:dyDescent="0.2">
      <c r="A30" s="2"/>
      <c r="B30" s="24"/>
      <c r="C30" s="24"/>
      <c r="D30" s="35"/>
      <c r="E30" s="25"/>
      <c r="F30" s="37"/>
      <c r="G30" s="37"/>
      <c r="H30" s="37"/>
      <c r="I30" s="37"/>
      <c r="J30" s="39"/>
      <c r="K30" s="39"/>
      <c r="L30" s="39"/>
      <c r="M30" s="39">
        <f>SUBTOTAL(109,M16:M29)</f>
        <v>180383735</v>
      </c>
      <c r="N30" s="39">
        <f>SUBTOTAL(109,N16:N29)</f>
        <v>360767470</v>
      </c>
      <c r="O30" s="97"/>
    </row>
    <row r="31" spans="1:15" s="31" customFormat="1" ht="12" x14ac:dyDescent="0.2">
      <c r="A31" s="28"/>
      <c r="B31" s="29" t="s">
        <v>15</v>
      </c>
      <c r="C31" s="29"/>
      <c r="D31" s="36"/>
      <c r="E31" s="29"/>
      <c r="F31" s="30"/>
      <c r="G31" s="30"/>
      <c r="H31" s="30"/>
      <c r="I31" s="30"/>
      <c r="J31" s="30"/>
      <c r="K31" s="30"/>
      <c r="L31" s="30"/>
      <c r="M31" s="33"/>
      <c r="N31" s="114" t="s">
        <v>135</v>
      </c>
    </row>
    <row r="32" spans="1:15" ht="10.5" customHeight="1" x14ac:dyDescent="0.25">
      <c r="K32" s="2"/>
      <c r="L32" s="2"/>
      <c r="M32" s="26"/>
      <c r="N32" s="26"/>
    </row>
    <row r="33" spans="2:15" x14ac:dyDescent="0.25">
      <c r="M33" s="12"/>
      <c r="N33" s="12"/>
      <c r="O33" s="110" t="s">
        <v>86</v>
      </c>
    </row>
    <row r="34" spans="2:15" x14ac:dyDescent="0.25">
      <c r="O34" s="90"/>
    </row>
    <row r="35" spans="2:15" x14ac:dyDescent="0.25">
      <c r="B35" s="3" t="s">
        <v>71</v>
      </c>
      <c r="M35" s="12"/>
      <c r="N35" s="12">
        <f>N30-N20</f>
        <v>320682652</v>
      </c>
      <c r="O35" s="91"/>
    </row>
    <row r="36" spans="2:15" ht="12.75" x14ac:dyDescent="0.2">
      <c r="B36" s="52" t="s">
        <v>49</v>
      </c>
    </row>
    <row r="37" spans="2:15" ht="12.75" x14ac:dyDescent="0.2">
      <c r="B37" s="53" t="s">
        <v>51</v>
      </c>
    </row>
    <row r="38" spans="2:15" ht="12.75" x14ac:dyDescent="0.2">
      <c r="B38" s="53" t="s">
        <v>72</v>
      </c>
      <c r="M38" s="15"/>
      <c r="N38" s="15"/>
    </row>
    <row r="39" spans="2:15" x14ac:dyDescent="0.25">
      <c r="M39" s="12"/>
      <c r="N39" s="12"/>
    </row>
    <row r="40" spans="2:15" x14ac:dyDescent="0.25">
      <c r="B40" s="13"/>
      <c r="C40" s="13"/>
      <c r="D40" s="13"/>
      <c r="E40" s="13"/>
      <c r="F40" s="13"/>
      <c r="G40" s="13"/>
      <c r="H40" s="13"/>
      <c r="I40" s="13"/>
      <c r="J40" s="13"/>
      <c r="K40" s="13"/>
      <c r="L40" s="13"/>
      <c r="M40" s="27"/>
      <c r="N40" s="27"/>
    </row>
    <row r="41" spans="2:15" x14ac:dyDescent="0.25">
      <c r="J41" s="13"/>
      <c r="K41" s="13"/>
      <c r="L41" s="13"/>
      <c r="M41" s="13"/>
      <c r="N41" s="13"/>
    </row>
    <row r="42" spans="2:15" x14ac:dyDescent="0.25">
      <c r="J42" s="13"/>
      <c r="K42" s="13"/>
      <c r="L42" s="13"/>
      <c r="M42" s="13"/>
      <c r="N42" s="13"/>
    </row>
    <row r="43" spans="2:15" ht="11.25" customHeight="1" x14ac:dyDescent="0.25">
      <c r="J43" s="13"/>
      <c r="K43" s="13" t="s">
        <v>115</v>
      </c>
    </row>
    <row r="44" spans="2:15" x14ac:dyDescent="0.25">
      <c r="D44" s="118" t="e">
        <f>#REF!</f>
        <v>#REF!</v>
      </c>
      <c r="F44" s="119"/>
      <c r="G44" s="119">
        <v>2</v>
      </c>
      <c r="H44" s="119">
        <v>8</v>
      </c>
      <c r="K44" s="92" t="s">
        <v>66</v>
      </c>
      <c r="L44" s="148" t="s">
        <v>117</v>
      </c>
      <c r="M44" s="149"/>
      <c r="N44" s="111"/>
      <c r="O44" s="3"/>
    </row>
    <row r="45" spans="2:15" ht="9.9499999999999993" customHeight="1" x14ac:dyDescent="0.25">
      <c r="D45" s="118">
        <v>1462101180</v>
      </c>
      <c r="F45" s="119" t="s">
        <v>119</v>
      </c>
      <c r="G45" s="120">
        <v>21506776.899999999</v>
      </c>
      <c r="H45" s="120">
        <v>722623824.12</v>
      </c>
      <c r="I45" s="121">
        <f>G45+H45</f>
        <v>744130601.01999998</v>
      </c>
      <c r="K45" s="92"/>
      <c r="L45" s="92" t="s">
        <v>112</v>
      </c>
      <c r="M45" s="92" t="s">
        <v>113</v>
      </c>
      <c r="N45" s="111"/>
      <c r="O45" s="3"/>
    </row>
    <row r="46" spans="2:15" ht="9.9499999999999993" customHeight="1" x14ac:dyDescent="0.25">
      <c r="D46" s="118"/>
      <c r="F46" s="119" t="s">
        <v>120</v>
      </c>
      <c r="G46" s="120">
        <v>101465000</v>
      </c>
      <c r="H46" s="120">
        <v>820306768</v>
      </c>
      <c r="I46" s="121">
        <f t="shared" ref="I46:I49" si="3">G46+H46</f>
        <v>921771768</v>
      </c>
      <c r="K46" s="93" t="s">
        <v>114</v>
      </c>
      <c r="L46" s="94" t="e">
        <f>#REF!</f>
        <v>#REF!</v>
      </c>
      <c r="M46" s="94" t="e">
        <f>#REF!-#REF!</f>
        <v>#REF!</v>
      </c>
      <c r="N46" s="112"/>
      <c r="O46" s="3"/>
    </row>
    <row r="47" spans="2:15" x14ac:dyDescent="0.25">
      <c r="D47" s="118" t="e">
        <f>D44-D45</f>
        <v>#REF!</v>
      </c>
      <c r="F47" s="119" t="s">
        <v>15</v>
      </c>
      <c r="G47" s="120">
        <f>G45+G46</f>
        <v>122971776.90000001</v>
      </c>
      <c r="H47" s="120">
        <f>H45+H46</f>
        <v>1542930592.1199999</v>
      </c>
      <c r="I47" s="121">
        <f t="shared" si="3"/>
        <v>1665902369.02</v>
      </c>
      <c r="K47" s="3" t="s">
        <v>68</v>
      </c>
      <c r="L47" s="95" t="e">
        <f>SUM(L46:L46)</f>
        <v>#REF!</v>
      </c>
      <c r="M47" s="95" t="e">
        <f>SUM(M46:M46)</f>
        <v>#REF!</v>
      </c>
      <c r="N47" s="95"/>
      <c r="O47" s="3"/>
    </row>
    <row r="48" spans="2:15" x14ac:dyDescent="0.25">
      <c r="D48" s="118"/>
      <c r="F48" s="119" t="s">
        <v>121</v>
      </c>
      <c r="G48" s="120">
        <v>132854510</v>
      </c>
      <c r="H48" s="120">
        <v>1667259701</v>
      </c>
      <c r="I48" s="121">
        <f t="shared" si="3"/>
        <v>1800114211</v>
      </c>
      <c r="K48" s="14"/>
      <c r="L48" s="14"/>
      <c r="M48" s="14"/>
      <c r="N48" s="14"/>
    </row>
    <row r="49" spans="4:15" x14ac:dyDescent="0.25">
      <c r="D49" s="118"/>
      <c r="F49" s="119" t="s">
        <v>122</v>
      </c>
      <c r="G49" s="120">
        <f>G48-G47</f>
        <v>9882733.099999994</v>
      </c>
      <c r="H49" s="120">
        <f>H48-H47</f>
        <v>124329108.88000011</v>
      </c>
      <c r="I49" s="121">
        <f t="shared" si="3"/>
        <v>134211841.98000011</v>
      </c>
      <c r="K49" s="13" t="s">
        <v>116</v>
      </c>
    </row>
    <row r="50" spans="4:15" x14ac:dyDescent="0.25">
      <c r="D50" s="118"/>
      <c r="G50" s="118"/>
      <c r="H50" s="118"/>
      <c r="K50" s="92" t="s">
        <v>66</v>
      </c>
      <c r="L50" s="148" t="s">
        <v>117</v>
      </c>
      <c r="M50" s="149"/>
      <c r="N50" s="111"/>
      <c r="O50" s="3"/>
    </row>
    <row r="51" spans="4:15" x14ac:dyDescent="0.25">
      <c r="D51" s="112" t="e">
        <f>#REF!+#REF!</f>
        <v>#REF!</v>
      </c>
      <c r="E51" s="3" t="s">
        <v>123</v>
      </c>
      <c r="G51" s="118"/>
      <c r="H51" s="118"/>
      <c r="K51" s="92"/>
      <c r="L51" s="92" t="s">
        <v>112</v>
      </c>
      <c r="M51" s="92" t="s">
        <v>113</v>
      </c>
      <c r="N51" s="111"/>
      <c r="O51" s="3"/>
    </row>
    <row r="52" spans="4:15" x14ac:dyDescent="0.25">
      <c r="D52" s="112" t="e">
        <f>#REF!+#REF!</f>
        <v>#REF!</v>
      </c>
      <c r="E52" s="3" t="s">
        <v>124</v>
      </c>
      <c r="K52" s="93" t="s">
        <v>67</v>
      </c>
      <c r="L52" s="94" t="e">
        <f>#REF!</f>
        <v>#REF!</v>
      </c>
      <c r="M52" s="94" t="e">
        <f>#REF!-#REF!</f>
        <v>#REF!</v>
      </c>
      <c r="N52" s="112"/>
      <c r="O52" s="3"/>
    </row>
    <row r="53" spans="4:15" x14ac:dyDescent="0.25">
      <c r="D53" s="112" t="e">
        <f>SUM(D51:D52)</f>
        <v>#REF!</v>
      </c>
      <c r="K53" s="3" t="s">
        <v>68</v>
      </c>
      <c r="L53" s="95" t="e">
        <f>SUM(L52:L52)</f>
        <v>#REF!</v>
      </c>
      <c r="M53" s="95" t="e">
        <f>SUM(M52:M52)</f>
        <v>#REF!</v>
      </c>
      <c r="N53" s="95"/>
      <c r="O53" s="3"/>
    </row>
    <row r="56" spans="4:15" x14ac:dyDescent="0.25">
      <c r="K56" s="13" t="s">
        <v>118</v>
      </c>
    </row>
    <row r="57" spans="4:15" x14ac:dyDescent="0.25">
      <c r="K57" s="92" t="s">
        <v>66</v>
      </c>
      <c r="L57" s="150" t="s">
        <v>117</v>
      </c>
      <c r="M57" s="150"/>
      <c r="N57" s="111"/>
    </row>
    <row r="58" spans="4:15" x14ac:dyDescent="0.25">
      <c r="K58" s="92"/>
      <c r="L58" s="92" t="s">
        <v>112</v>
      </c>
      <c r="M58" s="92" t="s">
        <v>113</v>
      </c>
      <c r="N58" s="111"/>
    </row>
    <row r="59" spans="4:15" x14ac:dyDescent="0.25">
      <c r="K59" s="93" t="s">
        <v>67</v>
      </c>
      <c r="L59" s="94" t="e">
        <f>L46+L52</f>
        <v>#REF!</v>
      </c>
      <c r="M59" s="94" t="e">
        <f t="shared" ref="M59" si="4">M46+M52</f>
        <v>#REF!</v>
      </c>
      <c r="N59" s="112"/>
    </row>
    <row r="60" spans="4:15" x14ac:dyDescent="0.25">
      <c r="K60" s="3" t="s">
        <v>68</v>
      </c>
      <c r="L60" s="95" t="e">
        <f>SUM(L59:L59)</f>
        <v>#REF!</v>
      </c>
      <c r="M60" s="95" t="e">
        <f>SUM(M59:M59)</f>
        <v>#REF!</v>
      </c>
      <c r="N60" s="95"/>
    </row>
  </sheetData>
  <sheetProtection insertRows="0"/>
  <mergeCells count="11">
    <mergeCell ref="A2:N6"/>
    <mergeCell ref="B8:I8"/>
    <mergeCell ref="B9:I9"/>
    <mergeCell ref="B11:I11"/>
    <mergeCell ref="B12:I12"/>
    <mergeCell ref="B10:I10"/>
    <mergeCell ref="O14:O15"/>
    <mergeCell ref="L44:M44"/>
    <mergeCell ref="L50:M50"/>
    <mergeCell ref="L57:M57"/>
    <mergeCell ref="I14:M14"/>
  </mergeCells>
  <phoneticPr fontId="29" type="noConversion"/>
  <printOptions horizontalCentered="1"/>
  <pageMargins left="0.70866141732283472" right="0.70866141732283472" top="0.74803149606299213" bottom="0.74803149606299213" header="0.31496062992125984" footer="0.31496062992125984"/>
  <pageSetup paperSize="5" scale="33" fitToHeight="0" orientation="landscape" r:id="rId1"/>
  <headerFooter>
    <oddHeader>&amp;CEstudio de mercado: Contratar servicio de vigilancia, seguridad privada y el arrendamiento de equipos tecnológicos. Cesar y La Guajira</oddHeader>
    <oddFooter>&amp;LHoja &amp;P de &amp;N</oddFooter>
  </headerFooter>
  <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pageSetUpPr fitToPage="1"/>
  </sheetPr>
  <dimension ref="A1:H9"/>
  <sheetViews>
    <sheetView showGridLines="0" topLeftCell="A7" zoomScale="110" zoomScaleNormal="110" workbookViewId="0">
      <selection activeCell="C10" sqref="C10"/>
    </sheetView>
  </sheetViews>
  <sheetFormatPr baseColWidth="10" defaultColWidth="11.42578125" defaultRowHeight="14.25" x14ac:dyDescent="0.2"/>
  <cols>
    <col min="1" max="1" width="7.85546875" style="1" bestFit="1" customWidth="1"/>
    <col min="2" max="2" width="89.140625" style="1" customWidth="1"/>
    <col min="3" max="5" width="16.140625" style="1" customWidth="1"/>
    <col min="6" max="6" width="11.42578125" style="1" bestFit="1" customWidth="1"/>
    <col min="7" max="16384" width="11.42578125" style="1"/>
  </cols>
  <sheetData>
    <row r="1" spans="1:8" ht="60" customHeight="1" x14ac:dyDescent="0.2">
      <c r="A1" s="126" t="s">
        <v>107</v>
      </c>
      <c r="B1" s="127"/>
      <c r="C1" s="127"/>
      <c r="D1" s="127"/>
      <c r="E1" s="127"/>
    </row>
    <row r="2" spans="1:8" ht="15" x14ac:dyDescent="0.25">
      <c r="A2" s="128" t="s">
        <v>41</v>
      </c>
      <c r="B2" s="128"/>
      <c r="C2" s="128"/>
      <c r="D2" s="128"/>
      <c r="E2" s="128"/>
    </row>
    <row r="3" spans="1:8" ht="69.95" customHeight="1" x14ac:dyDescent="0.2">
      <c r="A3" s="41" t="s">
        <v>0</v>
      </c>
      <c r="B3" s="129" t="s">
        <v>108</v>
      </c>
      <c r="C3" s="129"/>
      <c r="D3" s="129"/>
      <c r="E3" s="129"/>
    </row>
    <row r="4" spans="1:8" x14ac:dyDescent="0.2">
      <c r="A4" s="41"/>
      <c r="B4" s="42"/>
      <c r="C4" s="42"/>
      <c r="D4" s="42"/>
      <c r="E4" s="42"/>
    </row>
    <row r="5" spans="1:8" ht="15" x14ac:dyDescent="0.25">
      <c r="A5" s="43"/>
      <c r="B5" s="43"/>
      <c r="C5" s="43"/>
      <c r="D5" s="43"/>
      <c r="E5" s="43"/>
    </row>
    <row r="6" spans="1:8" s="44" customFormat="1" ht="46.5" customHeight="1" x14ac:dyDescent="0.2">
      <c r="A6" s="130" t="s">
        <v>1</v>
      </c>
      <c r="B6" s="130" t="s">
        <v>2</v>
      </c>
      <c r="C6" s="131" t="s">
        <v>3</v>
      </c>
      <c r="D6" s="131"/>
      <c r="E6" s="131"/>
    </row>
    <row r="7" spans="1:8" s="44" customFormat="1" ht="24" x14ac:dyDescent="0.2">
      <c r="A7" s="130"/>
      <c r="B7" s="130"/>
      <c r="C7" s="45" t="s">
        <v>4</v>
      </c>
      <c r="D7" s="45" t="s">
        <v>5</v>
      </c>
      <c r="E7" s="45" t="s">
        <v>6</v>
      </c>
      <c r="F7" s="46"/>
    </row>
    <row r="8" spans="1:8" s="51" customFormat="1" ht="108" x14ac:dyDescent="0.2">
      <c r="A8" s="47">
        <v>1</v>
      </c>
      <c r="B8" s="48" t="s">
        <v>7</v>
      </c>
      <c r="C8" s="98">
        <v>5062075</v>
      </c>
      <c r="D8" s="115">
        <f>+C8*19%</f>
        <v>961794.25</v>
      </c>
      <c r="E8" s="115">
        <f>ROUND(C8+D8,0)</f>
        <v>6023869</v>
      </c>
      <c r="F8" s="49"/>
      <c r="G8" s="50"/>
      <c r="H8" s="50"/>
    </row>
    <row r="9" spans="1:8" s="51" customFormat="1" ht="96" x14ac:dyDescent="0.2">
      <c r="A9" s="47">
        <v>2</v>
      </c>
      <c r="B9" s="48" t="s">
        <v>109</v>
      </c>
      <c r="C9" s="98">
        <v>863449</v>
      </c>
      <c r="D9" s="115">
        <f>+C9*19%</f>
        <v>164055.31</v>
      </c>
      <c r="E9" s="115">
        <f>ROUND(C9+D9,0)</f>
        <v>1027504</v>
      </c>
      <c r="F9" s="49"/>
      <c r="G9" s="50"/>
      <c r="H9" s="50"/>
    </row>
  </sheetData>
  <mergeCells count="6">
    <mergeCell ref="A1:E1"/>
    <mergeCell ref="A2:E2"/>
    <mergeCell ref="B3:E3"/>
    <mergeCell ref="A6:A7"/>
    <mergeCell ref="B6:B7"/>
    <mergeCell ref="C6:E6"/>
  </mergeCells>
  <pageMargins left="0.7" right="0.7" top="0.75" bottom="0.68" header="0.3" footer="0.3"/>
  <pageSetup paperSize="5" scale="87"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I12"/>
  <sheetViews>
    <sheetView showGridLines="0" tabSelected="1" zoomScaleNormal="100" zoomScaleSheetLayoutView="150" workbookViewId="0">
      <selection activeCell="G12" sqref="G12"/>
    </sheetView>
  </sheetViews>
  <sheetFormatPr baseColWidth="10" defaultColWidth="11.42578125" defaultRowHeight="9" x14ac:dyDescent="0.15"/>
  <cols>
    <col min="1" max="1" width="11" style="32" customWidth="1"/>
    <col min="2" max="2" width="61.7109375" style="32" customWidth="1"/>
    <col min="3" max="3" width="16.42578125" style="32" customWidth="1"/>
    <col min="4" max="4" width="15.42578125" style="32" customWidth="1"/>
    <col min="5" max="5" width="16" style="32" customWidth="1"/>
    <col min="6" max="6" width="11.42578125" style="32"/>
    <col min="7" max="7" width="14.140625" style="32" bestFit="1" customWidth="1"/>
    <col min="8" max="16384" width="11.42578125" style="32"/>
  </cols>
  <sheetData>
    <row r="1" spans="1:9" ht="20.100000000000001" customHeight="1" x14ac:dyDescent="0.15"/>
    <row r="2" spans="1:9" ht="36.75" customHeight="1" x14ac:dyDescent="0.2">
      <c r="A2" s="113"/>
      <c r="B2" s="113"/>
      <c r="C2" s="113"/>
      <c r="D2" s="113"/>
      <c r="E2" s="113"/>
    </row>
    <row r="3" spans="1:9" ht="12.75" x14ac:dyDescent="0.2">
      <c r="A3" s="152" t="s">
        <v>126</v>
      </c>
      <c r="B3" s="152"/>
      <c r="C3" s="123">
        <v>1750905</v>
      </c>
      <c r="D3" s="113"/>
      <c r="E3" s="113"/>
    </row>
    <row r="4" spans="1:9" ht="24.75" customHeight="1" x14ac:dyDescent="0.2">
      <c r="A4" s="113"/>
      <c r="B4" s="113"/>
      <c r="C4" s="113"/>
      <c r="D4" s="113"/>
      <c r="E4" s="113"/>
    </row>
    <row r="5" spans="1:9" x14ac:dyDescent="0.15">
      <c r="D5" s="122" t="s">
        <v>127</v>
      </c>
      <c r="E5" s="32">
        <v>10.210000000000001</v>
      </c>
    </row>
    <row r="6" spans="1:9" ht="12.75" x14ac:dyDescent="0.2">
      <c r="C6" s="153" t="s">
        <v>110</v>
      </c>
      <c r="D6" s="154"/>
      <c r="E6" s="155"/>
    </row>
    <row r="7" spans="1:9" ht="38.25" x14ac:dyDescent="0.15">
      <c r="A7" s="61" t="s">
        <v>8</v>
      </c>
      <c r="B7" s="62" t="s">
        <v>9</v>
      </c>
      <c r="C7" s="57" t="s">
        <v>43</v>
      </c>
      <c r="D7" s="57" t="s">
        <v>10</v>
      </c>
      <c r="E7" s="57" t="s">
        <v>44</v>
      </c>
    </row>
    <row r="8" spans="1:9" ht="15" x14ac:dyDescent="0.25">
      <c r="A8" s="58">
        <v>1</v>
      </c>
      <c r="B8" s="59" t="s">
        <v>11</v>
      </c>
      <c r="C8" s="63">
        <f>$C$3*E5</f>
        <v>17876740.050000001</v>
      </c>
      <c r="D8" s="125">
        <v>3900</v>
      </c>
      <c r="E8" s="63">
        <f>D8+C8</f>
        <v>17880640.050000001</v>
      </c>
    </row>
    <row r="9" spans="1:9" ht="15" x14ac:dyDescent="0.25">
      <c r="A9" s="58">
        <v>2</v>
      </c>
      <c r="B9" s="60" t="s">
        <v>50</v>
      </c>
      <c r="C9" s="63">
        <f>$C$3*E5</f>
        <v>17876740.050000001</v>
      </c>
      <c r="D9" s="125">
        <v>3900</v>
      </c>
      <c r="E9" s="63">
        <f>+((((($C9+$D9)*55.97%)/30)*20)/15)*12</f>
        <v>5337490.2591920001</v>
      </c>
      <c r="H9" s="124"/>
      <c r="I9" s="124"/>
    </row>
    <row r="11" spans="1:9" ht="15" x14ac:dyDescent="0.25">
      <c r="B11" s="40"/>
    </row>
    <row r="12" spans="1:9" ht="14.25" x14ac:dyDescent="0.2">
      <c r="B12" s="1"/>
    </row>
  </sheetData>
  <mergeCells count="2">
    <mergeCell ref="A3:B3"/>
    <mergeCell ref="C6:E6"/>
  </mergeCells>
  <pageMargins left="0.7" right="0.7" top="0.75" bottom="0.75" header="0.3" footer="0.3"/>
  <pageSetup scale="5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Intructivo Diligenciamiento</vt:lpstr>
      <vt:lpstr>Anexo tecnico 0 resumen</vt:lpstr>
      <vt:lpstr>Anexo tecnico 1 LP-2026</vt:lpstr>
      <vt:lpstr>Anexo tecnico 2</vt:lpstr>
      <vt:lpstr>Anexo tecnico 4</vt:lpstr>
      <vt:lpstr>'Anexo tecnico 1 LP-2026'!Área_de_impresión</vt:lpstr>
      <vt:lpstr>'Anexo tecnico 2'!Área_de_impresión</vt:lpstr>
      <vt:lpstr>'Anexo tecnico 4'!Área_de_impresión</vt:lpstr>
      <vt:lpstr>'Intructivo Diligenciamiento'!Área_de_impresión</vt:lpstr>
      <vt:lpstr>'Anexo tecnico 1 LP-2026'!Títulos_a_imprimir</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 Almeira</dc:creator>
  <cp:lastModifiedBy>Licitaciones 2</cp:lastModifiedBy>
  <cp:lastPrinted>2026-06-01T14:12:14Z</cp:lastPrinted>
  <dcterms:created xsi:type="dcterms:W3CDTF">2022-09-21T04:38:14Z</dcterms:created>
  <dcterms:modified xsi:type="dcterms:W3CDTF">2026-08-04T13:44:54Z</dcterms:modified>
</cp:coreProperties>
</file>