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perez/Downloads/Documentos puente/"/>
    </mc:Choice>
  </mc:AlternateContent>
  <xr:revisionPtr revIDLastSave="0" documentId="13_ncr:1_{33FEC51E-CEFD-D74C-9719-9AAB79338465}" xr6:coauthVersionLast="47" xr6:coauthVersionMax="47" xr10:uidLastSave="{00000000-0000-0000-0000-000000000000}"/>
  <bookViews>
    <workbookView xWindow="0" yWindow="660" windowWidth="23260" windowHeight="12460" xr2:uid="{F3E3ED64-AD21-49E6-BBCA-1365EA0F19B3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7" i="1" l="1"/>
  <c r="F134" i="1"/>
  <c r="F133" i="1"/>
  <c r="F126" i="1"/>
  <c r="E123" i="1"/>
  <c r="E122" i="1"/>
  <c r="D122" i="1"/>
  <c r="D123" i="1" s="1"/>
  <c r="E121" i="1"/>
  <c r="F121" i="1" s="1"/>
  <c r="D121" i="1"/>
  <c r="E120" i="1"/>
  <c r="D120" i="1"/>
  <c r="F120" i="1" s="1"/>
  <c r="E119" i="1"/>
  <c r="D119" i="1"/>
  <c r="E118" i="1"/>
  <c r="F118" i="1" s="1"/>
  <c r="E117" i="1"/>
  <c r="E116" i="1"/>
  <c r="D116" i="1"/>
  <c r="D117" i="1" s="1"/>
  <c r="E115" i="1"/>
  <c r="D115" i="1"/>
  <c r="F115" i="1" s="1"/>
  <c r="E114" i="1"/>
  <c r="F114" i="1" s="1"/>
  <c r="E113" i="1"/>
  <c r="D113" i="1"/>
  <c r="E112" i="1"/>
  <c r="F112" i="1" s="1"/>
  <c r="E110" i="1"/>
  <c r="F110" i="1" s="1"/>
  <c r="E109" i="1"/>
  <c r="F109" i="1" s="1"/>
  <c r="E108" i="1"/>
  <c r="F108" i="1" s="1"/>
  <c r="E107" i="1"/>
  <c r="F107" i="1" s="1"/>
  <c r="F105" i="1"/>
  <c r="E105" i="1"/>
  <c r="E104" i="1"/>
  <c r="F104" i="1" s="1"/>
  <c r="E103" i="1"/>
  <c r="F103" i="1" s="1"/>
  <c r="E102" i="1"/>
  <c r="F102" i="1" s="1"/>
  <c r="F101" i="1"/>
  <c r="E101" i="1"/>
  <c r="E99" i="1"/>
  <c r="F99" i="1" s="1"/>
  <c r="E98" i="1"/>
  <c r="F98" i="1" s="1"/>
  <c r="F97" i="1"/>
  <c r="E97" i="1"/>
  <c r="F96" i="1"/>
  <c r="E96" i="1"/>
  <c r="E95" i="1"/>
  <c r="E94" i="1"/>
  <c r="D94" i="1"/>
  <c r="F94" i="1" s="1"/>
  <c r="F93" i="1"/>
  <c r="E93" i="1"/>
  <c r="D93" i="1"/>
  <c r="D95" i="1" s="1"/>
  <c r="F89" i="1"/>
  <c r="F88" i="1"/>
  <c r="F87" i="1"/>
  <c r="E86" i="1"/>
  <c r="D86" i="1"/>
  <c r="F86" i="1" s="1"/>
  <c r="E85" i="1"/>
  <c r="F85" i="1" s="1"/>
  <c r="F90" i="1" s="1"/>
  <c r="E81" i="1"/>
  <c r="F81" i="1" s="1"/>
  <c r="E80" i="1"/>
  <c r="F80" i="1" s="1"/>
  <c r="E79" i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2" i="1"/>
  <c r="F72" i="1" s="1"/>
  <c r="E71" i="1"/>
  <c r="F71" i="1" s="1"/>
  <c r="E70" i="1"/>
  <c r="F70" i="1" s="1"/>
  <c r="E69" i="1"/>
  <c r="F69" i="1" s="1"/>
  <c r="E68" i="1"/>
  <c r="F68" i="1" s="1"/>
  <c r="E67" i="1"/>
  <c r="F67" i="1" s="1"/>
  <c r="E66" i="1"/>
  <c r="F66" i="1" s="1"/>
  <c r="E65" i="1"/>
  <c r="F65" i="1" s="1"/>
  <c r="E64" i="1"/>
  <c r="F64" i="1" s="1"/>
  <c r="E59" i="1"/>
  <c r="F59" i="1" s="1"/>
  <c r="E58" i="1"/>
  <c r="F58" i="1" s="1"/>
  <c r="E57" i="1"/>
  <c r="F57" i="1" s="1"/>
  <c r="E56" i="1"/>
  <c r="F56" i="1" s="1"/>
  <c r="F55" i="1"/>
  <c r="E55" i="1"/>
  <c r="E54" i="1"/>
  <c r="F54" i="1" s="1"/>
  <c r="E53" i="1"/>
  <c r="F53" i="1" s="1"/>
  <c r="E52" i="1"/>
  <c r="F52" i="1" s="1"/>
  <c r="F51" i="1"/>
  <c r="E51" i="1"/>
  <c r="E50" i="1"/>
  <c r="F50" i="1" s="1"/>
  <c r="E49" i="1"/>
  <c r="F49" i="1" s="1"/>
  <c r="F48" i="1"/>
  <c r="E48" i="1"/>
  <c r="F47" i="1"/>
  <c r="E47" i="1"/>
  <c r="E46" i="1"/>
  <c r="F46" i="1" s="1"/>
  <c r="E45" i="1"/>
  <c r="F45" i="1" s="1"/>
  <c r="E42" i="1"/>
  <c r="F42" i="1" s="1"/>
  <c r="E41" i="1"/>
  <c r="F41" i="1" s="1"/>
  <c r="E40" i="1"/>
  <c r="F40" i="1" s="1"/>
  <c r="E37" i="1"/>
  <c r="D37" i="1"/>
  <c r="F37" i="1" s="1"/>
  <c r="E36" i="1"/>
  <c r="F36" i="1" s="1"/>
  <c r="E35" i="1"/>
  <c r="D35" i="1"/>
  <c r="E34" i="1"/>
  <c r="F34" i="1" s="1"/>
  <c r="E33" i="1"/>
  <c r="D33" i="1"/>
  <c r="F33" i="1" s="1"/>
  <c r="E32" i="1"/>
  <c r="D32" i="1"/>
  <c r="F32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8" i="1"/>
  <c r="F8" i="1" s="1"/>
  <c r="E7" i="1"/>
  <c r="F7" i="1" s="1"/>
  <c r="E6" i="1"/>
  <c r="F6" i="1" s="1"/>
  <c r="F9" i="1" s="1"/>
  <c r="F20" i="1" l="1"/>
  <c r="F113" i="1"/>
  <c r="F35" i="1"/>
  <c r="F123" i="1"/>
  <c r="F60" i="1"/>
  <c r="F119" i="1"/>
  <c r="F38" i="1"/>
  <c r="F95" i="1"/>
  <c r="F117" i="1"/>
  <c r="F82" i="1"/>
  <c r="F30" i="1"/>
  <c r="F43" i="1"/>
  <c r="F116" i="1"/>
  <c r="F122" i="1"/>
  <c r="F124" i="1" l="1"/>
  <c r="F125" i="1"/>
  <c r="F128" i="1" l="1"/>
  <c r="F131" i="1" s="1"/>
  <c r="F127" i="1"/>
  <c r="F129" i="1" s="1"/>
  <c r="F130" i="1" s="1"/>
  <c r="F132" i="1" s="1"/>
  <c r="F135" i="1" l="1"/>
  <c r="F140" i="1" s="1"/>
</calcChain>
</file>

<file path=xl/sharedStrings.xml><?xml version="1.0" encoding="utf-8"?>
<sst xmlns="http://schemas.openxmlformats.org/spreadsheetml/2006/main" count="326" uniqueCount="240">
  <si>
    <t xml:space="preserve"> PRESUPUESTO GENERAL DE OBRA</t>
  </si>
  <si>
    <t>ÍTEM</t>
  </si>
  <si>
    <t>DESCRIPCIÓN</t>
  </si>
  <si>
    <t>UND</t>
  </si>
  <si>
    <t>CANTIDAD</t>
  </si>
  <si>
    <t>VR. UNITARIO (COP)</t>
  </si>
  <si>
    <t>VR. TOTAL (COP)</t>
  </si>
  <si>
    <t>0. PRELIMINARES</t>
  </si>
  <si>
    <t>0.1</t>
  </si>
  <si>
    <t>Localización y replanteo general de la obra</t>
  </si>
  <si>
    <t>GL</t>
  </si>
  <si>
    <t>0.2</t>
  </si>
  <si>
    <t>Campamento e instalaciones provisionales</t>
  </si>
  <si>
    <t>0.3</t>
  </si>
  <si>
    <t>Cerramiento provisional de obra</t>
  </si>
  <si>
    <t>ML</t>
  </si>
  <si>
    <t>Subtotal Preliminares</t>
  </si>
  <si>
    <t>1. DESMONTE Y DEMOLICIÓN DEL PUENTE AMARILLO (EXISTENTE)</t>
  </si>
  <si>
    <t>1.1</t>
  </si>
  <si>
    <t>Desmontaje y traslado de estructuras metálicas</t>
  </si>
  <si>
    <t>KG</t>
  </si>
  <si>
    <t>1.2</t>
  </si>
  <si>
    <t>Fresado de pavimento asfáltico (e=10 cm)</t>
  </si>
  <si>
    <t>M²</t>
  </si>
  <si>
    <t>1.3</t>
  </si>
  <si>
    <t>Desmonte y limpieza en bosque</t>
  </si>
  <si>
    <t>1.4</t>
  </si>
  <si>
    <t>Remoción de especies vegetales (aprovechamiento forestal)</t>
  </si>
  <si>
    <t>1.5</t>
  </si>
  <si>
    <t>Demolición de estructuras (estribos, muertos de anclaje)</t>
  </si>
  <si>
    <t>M³</t>
  </si>
  <si>
    <t>1.6</t>
  </si>
  <si>
    <t>Acero de preesfuerzo (cables, pendolones del puente colgante)</t>
  </si>
  <si>
    <t>1.7</t>
  </si>
  <si>
    <t>Remoción de defensas metálicas</t>
  </si>
  <si>
    <t>M</t>
  </si>
  <si>
    <t>1.8</t>
  </si>
  <si>
    <t>Transporte y disposición final de RCD a escombrera autorizada (&gt;5 km)</t>
  </si>
  <si>
    <t>Subtotal Desmonte</t>
  </si>
  <si>
    <t>2. TABLERO Y SUPERESTRUCTURA METÁLICA (cantidades de planos 437-PV-E001/E002)</t>
  </si>
  <si>
    <t>2.1</t>
  </si>
  <si>
    <t>Concreto f'c=28 MPa — tablero, New Jersey y losa de aproximación</t>
  </si>
  <si>
    <t>m³</t>
  </si>
  <si>
    <t>2.2</t>
  </si>
  <si>
    <t>Acero de refuerzo Fy=420 MPa (tablero, NJ, losa aprox.)</t>
  </si>
  <si>
    <t>kg</t>
  </si>
  <si>
    <t>2.3</t>
  </si>
  <si>
    <t>Acero estructural ASTM A709 Gr.50W (arco, tirante, péndolas, vigas)</t>
  </si>
  <si>
    <t>2.4</t>
  </si>
  <si>
    <t>Barras de postensado VSL</t>
  </si>
  <si>
    <t>2.5</t>
  </si>
  <si>
    <t>Apoyos de neopreno zunchado</t>
  </si>
  <si>
    <t>dm3</t>
  </si>
  <si>
    <t>2.6</t>
  </si>
  <si>
    <t>juntas de dilatación</t>
  </si>
  <si>
    <t>m</t>
  </si>
  <si>
    <t>2.7</t>
  </si>
  <si>
    <t>barandas</t>
  </si>
  <si>
    <t>2.8</t>
  </si>
  <si>
    <t>Misceláneos (elementos varios de conexión - acero estructural, 15% del peso ítem 2.3)</t>
  </si>
  <si>
    <t>Subtotal Superestructura</t>
  </si>
  <si>
    <t>3. CIMENTACIÓN PROFUNDA — PILOTES Y DADOS (complemento de diseño; socavación cota 39.0 msnm)</t>
  </si>
  <si>
    <t>3.1</t>
  </si>
  <si>
    <t>Excavación para cimentación (estribos y dados)</t>
  </si>
  <si>
    <t>3.2</t>
  </si>
  <si>
    <t>Pilotes pre-excavados Ø1.20 m, L=18 m — perforación/sostenimiento (10 pilotes, 5 por estribo)</t>
  </si>
  <si>
    <t>ml</t>
  </si>
  <si>
    <t>3.3</t>
  </si>
  <si>
    <t>Concreto f'c=28 MPa para fuste de pilotes (1.131 m³/ml × 234 ml)</t>
  </si>
  <si>
    <t>3.4</t>
  </si>
  <si>
    <t>Acero de refuerzo Fy=420 MPa pilotes (90 kg/m³)</t>
  </si>
  <si>
    <t>3.5</t>
  </si>
  <si>
    <t>Concreto f'c=28 MPa — dados/cabezales de cimentación</t>
  </si>
  <si>
    <t>3.6</t>
  </si>
  <si>
    <t>Acero de refuerzo Fy=420 MPa dados (90 kg/m³)</t>
  </si>
  <si>
    <t>Subtotal Cimentación</t>
  </si>
  <si>
    <t>4. ESTRIBOS, MUROS DE CONTENCIÓN Y ALETAS (complemento de diseño)</t>
  </si>
  <si>
    <t>4.1</t>
  </si>
  <si>
    <t>Concreto f'c=28 MPa — cuerpo de estribos, muros y aletas (2 estribos × 94 m³)</t>
  </si>
  <si>
    <t>4.2</t>
  </si>
  <si>
    <t>Acero de refuerzo Fy=420 MPa estribos/muros/aletas (100 kg/m³)</t>
  </si>
  <si>
    <t>4.3</t>
  </si>
  <si>
    <t>Material filtrante y subdrenaje detrás de estribos</t>
  </si>
  <si>
    <t>Subtotal Estribos y Muros</t>
  </si>
  <si>
    <t>5. TERRAPLÉN DE ACCESO — MUROS MSE + CARPETA DE RODADURA + MEJORAMIENTO CON PANTALLAS</t>
  </si>
  <si>
    <t>5.1</t>
  </si>
  <si>
    <t>Localización y replanteo de estructuras</t>
  </si>
  <si>
    <t>m²</t>
  </si>
  <si>
    <t>5.2</t>
  </si>
  <si>
    <t>Descapote manual y retiro (e=0.20 m)</t>
  </si>
  <si>
    <t>5.3</t>
  </si>
  <si>
    <t>Excavación para empotramiento de muro MSE</t>
  </si>
  <si>
    <t>5.4</t>
  </si>
  <si>
    <t>Terraplén en material seleccionado compactado ≥95% Proctor</t>
  </si>
  <si>
    <t>5.5</t>
  </si>
  <si>
    <t>Mejoramiento terraplén existente: pantalla de pilotes Ø0.50 m, L=8 m (concreto 21 MPa + acero + perforación)</t>
  </si>
  <si>
    <t>5.6</t>
  </si>
  <si>
    <t>Viga cabezal de coronación de pantalla (0.50×0.60 m, concreto 28 MPa + acero)</t>
  </si>
  <si>
    <t>5.7</t>
  </si>
  <si>
    <t>Geomalla uniaxial (resist. ≥60 kN/m) FORTGRID o equiv.</t>
  </si>
  <si>
    <t>5.8</t>
  </si>
  <si>
    <t>Geotextil no tejido para separación NT-2000</t>
  </si>
  <si>
    <t>5.9</t>
  </si>
  <si>
    <t>Manto/fachada de muro MSE (TERRATRAC TRM o equiv.)</t>
  </si>
  <si>
    <t>5.10</t>
  </si>
  <si>
    <t>Base granular Esp. 330 INVÍAS para carpeta de rodadura (e=0.15 m)</t>
  </si>
  <si>
    <t>5.11</t>
  </si>
  <si>
    <t>Losa de concreto rígido f'c=28 MPa para carpeta de rodadura (e=0.20 m)</t>
  </si>
  <si>
    <t>5.12</t>
  </si>
  <si>
    <t>Acero de refuerzo / malla de la losa de rodadura (Fy=420 MPa)</t>
  </si>
  <si>
    <t>5.13</t>
  </si>
  <si>
    <t>Geodrén planar para drenaje posterior del muro</t>
  </si>
  <si>
    <t>5.14</t>
  </si>
  <si>
    <t>Losa de aproximación concreto 28 MPa (transición puente-terraplén)</t>
  </si>
  <si>
    <t>5.15</t>
  </si>
  <si>
    <t>Acero de refuerzo losa de aproximación (Fy=420 MPa)</t>
  </si>
  <si>
    <t>Subtotal Terraplen</t>
  </si>
  <si>
    <t>6. REDES ELÉCTRICAS (Iluminación y Sistema de Apantallamiento)</t>
  </si>
  <si>
    <t>6.1 ILUMINACIÓN</t>
  </si>
  <si>
    <t>6.1.1</t>
  </si>
  <si>
    <t>Suministro e instalación de poste metálico galvanizado H=11 m para alumbrado vial</t>
  </si>
  <si>
    <t>6.1.2</t>
  </si>
  <si>
    <t>Suministro e instalación de luminaria LED tipo vial 200W (SYLVANIA P29458 o equivalente, 31.570 lm)</t>
  </si>
  <si>
    <t>6.1.3</t>
  </si>
  <si>
    <t>Suministro e instalación de brazo / ménsula galvanizada para luminaria vial</t>
  </si>
  <si>
    <t>6.1.4</t>
  </si>
  <si>
    <t>Suministro e instalación de fotocelda de control fotoeléctrico</t>
  </si>
  <si>
    <t>6.1.5</t>
  </si>
  <si>
    <t>Cimentación en concreto para poste de alumbrado (incl. pernos de anclaje)</t>
  </si>
  <si>
    <t>6.1.6</t>
  </si>
  <si>
    <t>Suministro e instalación de cable de acometida para circuito de alumbrado</t>
  </si>
  <si>
    <t>6.1.7</t>
  </si>
  <si>
    <t>Suministro e instalación de tubería conduit PVC para canalización eléctrica</t>
  </si>
  <si>
    <t>6.1.8</t>
  </si>
  <si>
    <t>Suministro e instalación de tablero de control de alumbrado</t>
  </si>
  <si>
    <t>6.1.9</t>
  </si>
  <si>
    <t>Puesta a tierra del sistema de iluminación</t>
  </si>
  <si>
    <t>6.2 APANTALLAMIENTO</t>
  </si>
  <si>
    <t>6.2.1</t>
  </si>
  <si>
    <t>Suministro e instalación de SNAP para alambrón de 8mm</t>
  </si>
  <si>
    <t>und</t>
  </si>
  <si>
    <t>6.2.2</t>
  </si>
  <si>
    <t>Suministro e instalación de alambrón 8mm</t>
  </si>
  <si>
    <t>6.2.3</t>
  </si>
  <si>
    <t>Suministro e instalación de tubo termoencogible 8mmx10cm</t>
  </si>
  <si>
    <t>6.2.4</t>
  </si>
  <si>
    <t>Suministro e instalación de registro 40x40x0,75 cm</t>
  </si>
  <si>
    <t>6.2.5</t>
  </si>
  <si>
    <t>Suministro e instalación de caja tipo intemperie y grapa bimetálica</t>
  </si>
  <si>
    <t>6.2.6</t>
  </si>
  <si>
    <t>Suministro e instalación de varilla de tierra 3/8"x2,4 mts</t>
  </si>
  <si>
    <t>6.2.7</t>
  </si>
  <si>
    <t>Suministro e instalación de cable 2/0</t>
  </si>
  <si>
    <t>6.2.8</t>
  </si>
  <si>
    <t>Suministro e instalación de puntas captadoras con su base</t>
  </si>
  <si>
    <t>Subtotal Redes Eléctricas</t>
  </si>
  <si>
    <t>7. PROTECCION LATERAL RIO FUNDACION</t>
  </si>
  <si>
    <t>7.1 SISTEMA DE SACOS PERMANENTES PARA CONTROL DE EROSION</t>
  </si>
  <si>
    <t>7.1.1</t>
  </si>
  <si>
    <t>7.1.2</t>
  </si>
  <si>
    <t>Excavación</t>
  </si>
  <si>
    <t>7.1.3</t>
  </si>
  <si>
    <t>HYDROBAG geosacos en geotextil de alta resistencia,</t>
  </si>
  <si>
    <t>7.1.4</t>
  </si>
  <si>
    <t>TERRATRAC TRM manto protección contra la erosión.</t>
  </si>
  <si>
    <t>7.1.5</t>
  </si>
  <si>
    <t>FIBERTEX Geotextil no tejido para separación NT-2500</t>
  </si>
  <si>
    <t>Subtotal Protección lateral Río Fundación</t>
  </si>
  <si>
    <t>8. URBANISMO Y ANDENES</t>
  </si>
  <si>
    <t>8.1 URBANISMO GENERAL</t>
  </si>
  <si>
    <t>8.1.1</t>
  </si>
  <si>
    <t>Placa en concreto para anden, e=10 cm</t>
  </si>
  <si>
    <t>M2</t>
  </si>
  <si>
    <t>8.1.1.1</t>
  </si>
  <si>
    <t xml:space="preserve">Acero de refuerzo Fy=420 MPa </t>
  </si>
  <si>
    <t>8.1.1.2</t>
  </si>
  <si>
    <t>Base granular  (e=0.15 m)</t>
  </si>
  <si>
    <t>8.1.2</t>
  </si>
  <si>
    <t>Adecuacion de zonas verdes</t>
  </si>
  <si>
    <t>8.1.3</t>
  </si>
  <si>
    <t>Cobertura vegetal para taludes</t>
  </si>
  <si>
    <t>8.1.4</t>
  </si>
  <si>
    <t>Escalera en concreto (ESC-01)</t>
  </si>
  <si>
    <t>8.1.5</t>
  </si>
  <si>
    <t>Muro de contencion para escalera H=2.0 m, e=0.15 m (MC-01)</t>
  </si>
  <si>
    <t>8.2 ANDENES, SARDINELES Y BARANDAS</t>
  </si>
  <si>
    <t>8.2.1</t>
  </si>
  <si>
    <t>Sardinel prefabricado en concreto (S-20-60)</t>
  </si>
  <si>
    <t>8.2.2</t>
  </si>
  <si>
    <t>Bordillo prefabricado en concreto (BC-12-20-40)</t>
  </si>
  <si>
    <t>8.2.3</t>
  </si>
  <si>
    <t>New Jersey - barrera de concreto (NJ-01)</t>
  </si>
  <si>
    <t>8.2.4</t>
  </si>
  <si>
    <t>Baranda de seguridad tipo INVIAS (BS-01)</t>
  </si>
  <si>
    <t>8.2.5</t>
  </si>
  <si>
    <t>Baranda peatonal (MB-110)</t>
  </si>
  <si>
    <t>8.3 SENALIZACION VIAL</t>
  </si>
  <si>
    <t>8.3.1</t>
  </si>
  <si>
    <t>Lineas de pintura - senalizacion horizontal (demarcacion)</t>
  </si>
  <si>
    <t>8.3.2</t>
  </si>
  <si>
    <t>Senalizacion horizontal (simbolos y pictogramas pintados)</t>
  </si>
  <si>
    <t>8.3.3</t>
  </si>
  <si>
    <t>Senal vertical reglamentaria</t>
  </si>
  <si>
    <t>UN</t>
  </si>
  <si>
    <t>8.3.4</t>
  </si>
  <si>
    <t>Senal vertical informativa</t>
  </si>
  <si>
    <t>8.4 BOX PARA PASO PEATONAL Y VEHICULAR</t>
  </si>
  <si>
    <t>8.4.1</t>
  </si>
  <si>
    <t>Demolición de estructuras existente (muros y placas)</t>
  </si>
  <si>
    <t>8.4.2</t>
  </si>
  <si>
    <t>8.4.3</t>
  </si>
  <si>
    <t>Excavación para cimentación</t>
  </si>
  <si>
    <t>8.4.4</t>
  </si>
  <si>
    <t>8.4.5</t>
  </si>
  <si>
    <t xml:space="preserve">Concreto f'c=28 MPa — losas, muros y aletas </t>
  </si>
  <si>
    <t>8.4.6</t>
  </si>
  <si>
    <t>Acero de refuerzo Fy=420 MPa (tablero, muros, aletas.)</t>
  </si>
  <si>
    <t>8.4.7</t>
  </si>
  <si>
    <t>Geodrén planar para drenaje posterior del muro via de acceso a box</t>
  </si>
  <si>
    <t>8.4.8</t>
  </si>
  <si>
    <t>8.4.9</t>
  </si>
  <si>
    <t>8.4.10</t>
  </si>
  <si>
    <t>8.4.11</t>
  </si>
  <si>
    <t>8.4.12</t>
  </si>
  <si>
    <t>Subtotal Urbanismo y Andenes</t>
  </si>
  <si>
    <t>Costo Directo Total</t>
  </si>
  <si>
    <t>(+) Administracion (A)</t>
  </si>
  <si>
    <t>(+) Imprevistos (I)</t>
  </si>
  <si>
    <t>(+) Utilidad (U)</t>
  </si>
  <si>
    <t xml:space="preserve">TOTAL A.I.U. </t>
  </si>
  <si>
    <t>SUBTOTAL COSTO DIRECTO + AIU</t>
  </si>
  <si>
    <t>(+) IVA sobre la Utilidad (19% de U)</t>
  </si>
  <si>
    <t>VALOR TOTAL DEL CONTRATO DE OBRA (Costo Directo + AIU + IVA sobre Utilidad)</t>
  </si>
  <si>
    <t>Plan de manejo ambiental (PMA)</t>
  </si>
  <si>
    <t>Plan de manejo de transito (PMT)</t>
  </si>
  <si>
    <t>Costos Gestion Social</t>
  </si>
  <si>
    <t>GESTIÓN PREDIAL</t>
  </si>
  <si>
    <t>LICENCIAS Y PERMISOS</t>
  </si>
  <si>
    <t>VALOR TOTAL DEL CONTRATO DE OBRA</t>
  </si>
  <si>
    <t>CONSTRUCCIÓN DEL NUEVO PUENTE VEHICULAR SOBRE EL RÍO FUNDACIÓN EN LA VÍA QUE CONDUCE DEL MUNICIPIO DE ARACATACA AL MUNICIPIO DE FUNDACIÓN EN EL DEPARTAMENTO DEL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</si>
</sst>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 &quot;#,##0"/>
    <numFmt numFmtId="165" formatCode="#,##0;\(#,##0\);\-"/>
    <numFmt numFmtId="166" formatCode="\$#,##0;&quot;($&quot;#,##0\)"/>
    <numFmt numFmtId="167" formatCode="#,##0.0"/>
    <numFmt numFmtId="168" formatCode="\$#,##0;&quot;($&quot;#,##0\);\-"/>
  </numFmts>
  <fonts count="16" x14ac:knownFonts="1">
    <font>
      <sz val="11"/>
      <color theme="1"/>
      <name val="Calibri"/>
      <family val="2"/>
      <scheme val="minor"/>
    </font>
    <font>
      <b/>
      <sz val="13"/>
      <color rgb="FFFFFFFF"/>
      <name val="Arial"/>
      <family val="2"/>
    </font>
    <font>
      <sz val="11"/>
      <name val="Calibri"/>
      <family val="2"/>
    </font>
    <font>
      <sz val="9"/>
      <color rgb="FFFFFFFF"/>
      <name val="Arial"/>
      <family val="2"/>
    </font>
    <font>
      <sz val="11"/>
      <color theme="1"/>
      <name val="Arial"/>
      <family val="2"/>
    </font>
    <font>
      <b/>
      <sz val="9"/>
      <color rgb="FFFFFFFF"/>
      <name val="Arial"/>
      <family val="2"/>
    </font>
    <font>
      <b/>
      <sz val="10"/>
      <color rgb="FF404040"/>
      <name val="Arial"/>
      <family val="2"/>
    </font>
    <font>
      <b/>
      <sz val="9"/>
      <color rgb="FF333333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b/>
      <i/>
      <sz val="10"/>
      <color rgb="FFFFFFFF"/>
      <name val="Arial"/>
      <family val="2"/>
    </font>
    <font>
      <sz val="9"/>
      <color theme="1"/>
      <name val="Arial"/>
      <family val="2"/>
    </font>
    <font>
      <b/>
      <sz val="12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363636"/>
        <bgColor rgb="FF363636"/>
      </patternFill>
    </fill>
    <fill>
      <patternFill patternType="solid">
        <fgColor rgb="FF404040"/>
        <bgColor rgb="FF404040"/>
      </patternFill>
    </fill>
    <fill>
      <patternFill patternType="solid">
        <fgColor rgb="FFF2F2F2"/>
        <bgColor rgb="FFF2F2F2"/>
      </patternFill>
    </fill>
    <fill>
      <patternFill patternType="solid">
        <fgColor rgb="FFE8E8E8"/>
        <bgColor rgb="FFE8E8E8"/>
      </patternFill>
    </fill>
    <fill>
      <patternFill patternType="solid">
        <fgColor rgb="FFD8D8D8"/>
        <bgColor rgb="FFD8D8D8"/>
      </patternFill>
    </fill>
    <fill>
      <patternFill patternType="solid">
        <fgColor rgb="FF595959"/>
        <bgColor rgb="FF595959"/>
      </patternFill>
    </fill>
    <fill>
      <patternFill patternType="solid">
        <fgColor rgb="FF4F4F4F"/>
        <bgColor rgb="FF4F4F4F"/>
      </patternFill>
    </fill>
  </fills>
  <borders count="20">
    <border>
      <left/>
      <right/>
      <top/>
      <bottom/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/>
      <right style="thin">
        <color rgb="FFBFBFBF"/>
      </right>
      <top/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BBBBBB"/>
      </right>
      <top style="thin">
        <color rgb="FFBBBBBB"/>
      </top>
      <bottom style="thin">
        <color rgb="FFBBBBBB"/>
      </bottom>
      <diagonal/>
    </border>
    <border>
      <left style="thin">
        <color rgb="FFBBBBBB"/>
      </left>
      <right style="medium">
        <color indexed="64"/>
      </right>
      <top style="thin">
        <color rgb="FFBBBBBB"/>
      </top>
      <bottom style="thin">
        <color rgb="FFBBBBBB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thin">
        <color rgb="FFBFBFBF"/>
      </top>
      <bottom style="medium">
        <color indexed="64"/>
      </bottom>
      <diagonal/>
    </border>
    <border>
      <left/>
      <right/>
      <top style="thin">
        <color rgb="FFBFBFBF"/>
      </top>
      <bottom style="medium">
        <color indexed="64"/>
      </bottom>
      <diagonal/>
    </border>
    <border>
      <left/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/>
    <xf numFmtId="165" fontId="4" fillId="0" borderId="1" xfId="0" applyNumberFormat="1" applyFont="1" applyBorder="1"/>
    <xf numFmtId="0" fontId="10" fillId="4" borderId="2" xfId="0" applyFont="1" applyFill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/>
    </xf>
    <xf numFmtId="0" fontId="10" fillId="6" borderId="3" xfId="0" applyFont="1" applyFill="1" applyBorder="1" applyAlignment="1">
      <alignment horizontal="right" vertical="center"/>
    </xf>
    <xf numFmtId="0" fontId="4" fillId="0" borderId="10" xfId="0" applyFont="1" applyBorder="1"/>
    <xf numFmtId="0" fontId="4" fillId="0" borderId="0" xfId="0" applyFont="1"/>
    <xf numFmtId="4" fontId="4" fillId="0" borderId="0" xfId="0" applyNumberFormat="1" applyFont="1"/>
    <xf numFmtId="0" fontId="4" fillId="0" borderId="11" xfId="0" applyFont="1" applyBorder="1"/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7" fillId="0" borderId="12" xfId="0" applyFont="1" applyBorder="1"/>
    <xf numFmtId="164" fontId="4" fillId="0" borderId="13" xfId="0" applyNumberFormat="1" applyFont="1" applyBorder="1"/>
    <xf numFmtId="0" fontId="4" fillId="5" borderId="10" xfId="0" applyFont="1" applyFill="1" applyBorder="1"/>
    <xf numFmtId="0" fontId="7" fillId="5" borderId="0" xfId="0" applyFont="1" applyFill="1"/>
    <xf numFmtId="164" fontId="7" fillId="5" borderId="11" xfId="0" applyNumberFormat="1" applyFont="1" applyFill="1" applyBorder="1"/>
    <xf numFmtId="165" fontId="4" fillId="0" borderId="13" xfId="0" applyNumberFormat="1" applyFont="1" applyBorder="1"/>
    <xf numFmtId="0" fontId="9" fillId="5" borderId="0" xfId="0" applyFont="1" applyFill="1"/>
    <xf numFmtId="4" fontId="9" fillId="5" borderId="0" xfId="0" applyNumberFormat="1" applyFont="1" applyFill="1"/>
    <xf numFmtId="0" fontId="9" fillId="0" borderId="0" xfId="0" applyFont="1"/>
    <xf numFmtId="4" fontId="9" fillId="0" borderId="0" xfId="0" applyNumberFormat="1" applyFont="1" applyAlignment="1">
      <alignment horizontal="center"/>
    </xf>
    <xf numFmtId="166" fontId="10" fillId="4" borderId="14" xfId="0" applyNumberFormat="1" applyFont="1" applyFill="1" applyBorder="1"/>
    <xf numFmtId="0" fontId="9" fillId="0" borderId="10" xfId="0" applyFont="1" applyBorder="1"/>
    <xf numFmtId="0" fontId="4" fillId="6" borderId="10" xfId="0" applyFont="1" applyFill="1" applyBorder="1"/>
    <xf numFmtId="164" fontId="10" fillId="6" borderId="14" xfId="0" applyNumberFormat="1" applyFont="1" applyFill="1" applyBorder="1"/>
    <xf numFmtId="164" fontId="12" fillId="6" borderId="14" xfId="0" applyNumberFormat="1" applyFont="1" applyFill="1" applyBorder="1"/>
    <xf numFmtId="164" fontId="13" fillId="7" borderId="14" xfId="0" applyNumberFormat="1" applyFont="1" applyFill="1" applyBorder="1"/>
    <xf numFmtId="0" fontId="15" fillId="0" borderId="10" xfId="0" applyFont="1" applyBorder="1" applyAlignment="1">
      <alignment horizontal="right" vertical="center"/>
    </xf>
    <xf numFmtId="168" fontId="15" fillId="0" borderId="11" xfId="0" applyNumberFormat="1" applyFont="1" applyBorder="1"/>
    <xf numFmtId="164" fontId="13" fillId="7" borderId="19" xfId="0" applyNumberFormat="1" applyFont="1" applyFill="1" applyBorder="1"/>
    <xf numFmtId="0" fontId="14" fillId="8" borderId="15" xfId="0" applyFont="1" applyFill="1" applyBorder="1" applyAlignment="1">
      <alignment horizontal="left" vertical="center"/>
    </xf>
    <xf numFmtId="0" fontId="2" fillId="0" borderId="5" xfId="0" applyFont="1" applyBorder="1"/>
    <xf numFmtId="0" fontId="2" fillId="0" borderId="6" xfId="0" applyFont="1" applyBorder="1"/>
    <xf numFmtId="0" fontId="15" fillId="8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  <xf numFmtId="0" fontId="11" fillId="3" borderId="10" xfId="0" applyFont="1" applyFill="1" applyBorder="1"/>
    <xf numFmtId="0" fontId="2" fillId="0" borderId="0" xfId="0" applyFont="1"/>
    <xf numFmtId="0" fontId="2" fillId="0" borderId="11" xfId="0" applyFont="1" applyBorder="1"/>
    <xf numFmtId="0" fontId="7" fillId="5" borderId="0" xfId="0" applyFont="1" applyFill="1"/>
    <xf numFmtId="0" fontId="13" fillId="7" borderId="10" xfId="0" applyFont="1" applyFill="1" applyBorder="1" applyAlignment="1">
      <alignment horizontal="left" vertical="center" wrapText="1"/>
    </xf>
    <xf numFmtId="0" fontId="2" fillId="0" borderId="4" xfId="0" applyFont="1" applyBorder="1"/>
    <xf numFmtId="0" fontId="6" fillId="4" borderId="10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3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ingna/OneDrive/Documentos/Documentos%20puente/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MGA"/>
      <sheetName val="1. Presupuesto"/>
      <sheetName val="0, Consultoría Fase III"/>
      <sheetName val="Matriz Multicriterio AMC"/>
      <sheetName val="2. Administracion"/>
      <sheetName val="3. Mano de obra"/>
      <sheetName val="Auditoria INVIAS Oficial"/>
      <sheetName val="4. Insumos INVIAS (Base Ofic.)"/>
      <sheetName val="5. Programacion de Obra"/>
      <sheetName val="6. Base de datos"/>
      <sheetName val="9.1-PMA"/>
      <sheetName val="9.2-PMT"/>
      <sheetName val="11.1-PREDIOS"/>
      <sheetName val="10.1-Interventoria"/>
      <sheetName val="7. Indice APU"/>
      <sheetName val="0.1-P01"/>
      <sheetName val="0.2-P02"/>
      <sheetName val="0.3-P03"/>
      <sheetName val="1.1-D01"/>
      <sheetName val="1.2-D02"/>
      <sheetName val="1.3-D03"/>
      <sheetName val="1.4-D04"/>
      <sheetName val="1.5-D05"/>
      <sheetName val="1.6-D06"/>
      <sheetName val="1.7-D07"/>
      <sheetName val="1.8-D08"/>
      <sheetName val="2.1-E01"/>
      <sheetName val="2.2-E02"/>
      <sheetName val="2.3-E03"/>
      <sheetName val="2.4-E04"/>
      <sheetName val="2.5-E05"/>
      <sheetName val="2.6-E05B"/>
      <sheetName val="2.7-E05C"/>
      <sheetName val="2.8-E20"/>
      <sheetName val="REF-CCTO-3000PSI"/>
      <sheetName val="REF-CCTO-4000PSI"/>
      <sheetName val="REF-CCTO-MR42"/>
      <sheetName val="REF-CCTO-MR35"/>
      <sheetName val="3.1-E06"/>
      <sheetName val="3.2-E07"/>
      <sheetName val="4.3-E08"/>
      <sheetName val="5.1-E09"/>
      <sheetName val="5.2-E10"/>
      <sheetName val="5.4-E11"/>
      <sheetName val="5.5-E12"/>
      <sheetName val="5.6-E13"/>
      <sheetName val="5.7-E14"/>
      <sheetName val="5.8-E15"/>
      <sheetName val="5.9-E16"/>
      <sheetName val="5.10-E17"/>
      <sheetName val="5.11-E18"/>
      <sheetName val="5.13-E19"/>
      <sheetName val="6.1.1-L01"/>
      <sheetName val="6.1.2-L02"/>
      <sheetName val="6.1.3-L03"/>
      <sheetName val="6.1.4-L04"/>
      <sheetName val="6.1.5-L05"/>
      <sheetName val="6.1.6-L06"/>
      <sheetName val="6.1.7-L07"/>
      <sheetName val="6.1.8-L08"/>
      <sheetName val="6.1.9-L09"/>
      <sheetName val="6.2.1-R01"/>
      <sheetName val="6.2.2-R02"/>
      <sheetName val="6.2.3-R03"/>
      <sheetName val="6.2.4-R04"/>
      <sheetName val="6.2.5-R05"/>
      <sheetName val="6.2.6-R06"/>
      <sheetName val="6.2.7-R07"/>
      <sheetName val="6.2.8-R08"/>
      <sheetName val="8.1.1-U01"/>
      <sheetName val="8.1.2-U02"/>
      <sheetName val="8.1.3-U03"/>
      <sheetName val="8.1.4-U04"/>
      <sheetName val="8.1.5-U05"/>
      <sheetName val="8.2.1-U06"/>
      <sheetName val="8.2.2-U07"/>
      <sheetName val="8.2.3-U08"/>
      <sheetName val="8.2.4-U09"/>
      <sheetName val="8.2.5-U10"/>
      <sheetName val="8.3.1-U11"/>
      <sheetName val="8.3.2-U12"/>
      <sheetName val="8.3.3-U13"/>
      <sheetName val="8.3.4-U14"/>
      <sheetName val="REF-D09-nouso"/>
      <sheetName val="REF-D10-nouso"/>
      <sheetName val="REF-D11-nous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8">
          <cell r="G98">
            <v>6916875420.4984016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7">
          <cell r="C47">
            <v>570200000</v>
          </cell>
        </row>
      </sheetData>
      <sheetData sheetId="11">
        <row r="23">
          <cell r="F23">
            <v>150475610</v>
          </cell>
        </row>
      </sheetData>
      <sheetData sheetId="12">
        <row r="41">
          <cell r="H41">
            <v>4414177600</v>
          </cell>
        </row>
      </sheetData>
      <sheetData sheetId="13"/>
      <sheetData sheetId="14" refreshError="1"/>
      <sheetData sheetId="15">
        <row r="26">
          <cell r="F26">
            <v>17311816.666666664</v>
          </cell>
        </row>
      </sheetData>
      <sheetData sheetId="16">
        <row r="27">
          <cell r="F27">
            <v>115969528.64761904</v>
          </cell>
        </row>
      </sheetData>
      <sheetData sheetId="17">
        <row r="26">
          <cell r="F26">
            <v>42003.348571428571</v>
          </cell>
        </row>
      </sheetData>
      <sheetData sheetId="18">
        <row r="28">
          <cell r="F28">
            <v>2266.5811285714285</v>
          </cell>
        </row>
      </sheetData>
      <sheetData sheetId="19">
        <row r="24">
          <cell r="F24">
            <v>13043.840000000011</v>
          </cell>
        </row>
      </sheetData>
      <sheetData sheetId="20">
        <row r="23">
          <cell r="F23">
            <v>1986.8095238095239</v>
          </cell>
        </row>
      </sheetData>
      <sheetData sheetId="21">
        <row r="26">
          <cell r="F26">
            <v>285199.75000000006</v>
          </cell>
        </row>
      </sheetData>
      <sheetData sheetId="22">
        <row r="24">
          <cell r="F24">
            <v>259429.38095238095</v>
          </cell>
        </row>
      </sheetData>
      <sheetData sheetId="23">
        <row r="33">
          <cell r="F33">
            <v>41199.909</v>
          </cell>
        </row>
      </sheetData>
      <sheetData sheetId="24">
        <row r="31">
          <cell r="F31">
            <v>36514.409</v>
          </cell>
        </row>
      </sheetData>
      <sheetData sheetId="25">
        <row r="20">
          <cell r="F20">
            <v>22274.457142857143</v>
          </cell>
        </row>
      </sheetData>
      <sheetData sheetId="26">
        <row r="28">
          <cell r="F28">
            <v>1542752.2642857144</v>
          </cell>
        </row>
      </sheetData>
      <sheetData sheetId="27">
        <row r="27">
          <cell r="F27">
            <v>12845.9393</v>
          </cell>
        </row>
      </sheetData>
      <sheetData sheetId="28">
        <row r="29">
          <cell r="F29">
            <v>35852.112269999998</v>
          </cell>
        </row>
      </sheetData>
      <sheetData sheetId="29">
        <row r="26">
          <cell r="F26">
            <v>14257.159785714286</v>
          </cell>
        </row>
      </sheetData>
      <sheetData sheetId="30">
        <row r="27">
          <cell r="F27">
            <v>483001.82142857142</v>
          </cell>
        </row>
      </sheetData>
      <sheetData sheetId="31">
        <row r="24">
          <cell r="F24">
            <v>972303.64285714284</v>
          </cell>
        </row>
      </sheetData>
      <sheetData sheetId="32">
        <row r="25">
          <cell r="F25">
            <v>288101.09285714285</v>
          </cell>
        </row>
      </sheetData>
      <sheetData sheetId="33">
        <row r="26">
          <cell r="F26">
            <v>35852.112269999998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>
        <row r="26">
          <cell r="F26">
            <v>78115.921428571426</v>
          </cell>
        </row>
      </sheetData>
      <sheetData sheetId="39">
        <row r="26">
          <cell r="F26">
            <v>402504.19047619047</v>
          </cell>
        </row>
      </sheetData>
      <sheetData sheetId="40">
        <row r="26">
          <cell r="F26">
            <v>95752.95</v>
          </cell>
        </row>
      </sheetData>
      <sheetData sheetId="41">
        <row r="23">
          <cell r="F23">
            <v>8096.9761904761908</v>
          </cell>
        </row>
      </sheetData>
      <sheetData sheetId="42">
        <row r="23">
          <cell r="F23">
            <v>12877.287142857143</v>
          </cell>
        </row>
      </sheetData>
      <sheetData sheetId="43">
        <row r="28">
          <cell r="F28">
            <v>78161.67</v>
          </cell>
        </row>
      </sheetData>
      <sheetData sheetId="44">
        <row r="28">
          <cell r="F28">
            <v>531484.44476190477</v>
          </cell>
        </row>
      </sheetData>
      <sheetData sheetId="45">
        <row r="27">
          <cell r="F27">
            <v>690182.20333333337</v>
          </cell>
        </row>
      </sheetData>
      <sheetData sheetId="46">
        <row r="23">
          <cell r="F23">
            <v>15107.45880952381</v>
          </cell>
        </row>
      </sheetData>
      <sheetData sheetId="47">
        <row r="23">
          <cell r="F23">
            <v>14235.6792</v>
          </cell>
        </row>
      </sheetData>
      <sheetData sheetId="48">
        <row r="23">
          <cell r="F23">
            <v>12088.140952380953</v>
          </cell>
        </row>
      </sheetData>
      <sheetData sheetId="49">
        <row r="26">
          <cell r="F26">
            <v>106279.56549047619</v>
          </cell>
        </row>
      </sheetData>
      <sheetData sheetId="50">
        <row r="27">
          <cell r="F27">
            <v>1276722.1198095239</v>
          </cell>
        </row>
      </sheetData>
      <sheetData sheetId="51">
        <row r="23">
          <cell r="F23">
            <v>47164.792857142857</v>
          </cell>
        </row>
      </sheetData>
      <sheetData sheetId="52">
        <row r="26">
          <cell r="F26">
            <v>2800000.0451081428</v>
          </cell>
        </row>
      </sheetData>
      <sheetData sheetId="53">
        <row r="24">
          <cell r="F24">
            <v>888700.07878757152</v>
          </cell>
        </row>
      </sheetData>
      <sheetData sheetId="54">
        <row r="24">
          <cell r="F24">
            <v>349999.87145428575</v>
          </cell>
        </row>
      </sheetData>
      <sheetData sheetId="55">
        <row r="24">
          <cell r="F24">
            <v>44999.938294</v>
          </cell>
        </row>
      </sheetData>
      <sheetData sheetId="56">
        <row r="24">
          <cell r="F24">
            <v>649999.89463957143</v>
          </cell>
        </row>
      </sheetData>
      <sheetData sheetId="57">
        <row r="24">
          <cell r="F24">
            <v>8500.0698474285709</v>
          </cell>
        </row>
      </sheetData>
      <sheetData sheetId="58">
        <row r="24">
          <cell r="F24">
            <v>11999.919717285715</v>
          </cell>
        </row>
      </sheetData>
      <sheetData sheetId="59">
        <row r="24">
          <cell r="F24">
            <v>1800000.0857857142</v>
          </cell>
        </row>
      </sheetData>
      <sheetData sheetId="60">
        <row r="24">
          <cell r="F24">
            <v>650000.16670571419</v>
          </cell>
        </row>
      </sheetData>
      <sheetData sheetId="61">
        <row r="26">
          <cell r="F26">
            <v>50942.438127571426</v>
          </cell>
        </row>
      </sheetData>
      <sheetData sheetId="62">
        <row r="24">
          <cell r="F24">
            <v>16445.08048914286</v>
          </cell>
        </row>
      </sheetData>
      <sheetData sheetId="63">
        <row r="26">
          <cell r="F26">
            <v>51598.879323428569</v>
          </cell>
        </row>
      </sheetData>
      <sheetData sheetId="64">
        <row r="26">
          <cell r="F26">
            <v>544000.04801685712</v>
          </cell>
        </row>
      </sheetData>
      <sheetData sheetId="65">
        <row r="26">
          <cell r="F26">
            <v>340384.94438085711</v>
          </cell>
        </row>
      </sheetData>
      <sheetData sheetId="66">
        <row r="26">
          <cell r="F26">
            <v>735301.08239528572</v>
          </cell>
        </row>
      </sheetData>
      <sheetData sheetId="67">
        <row r="26">
          <cell r="F26">
            <v>290473.72259842855</v>
          </cell>
        </row>
      </sheetData>
      <sheetData sheetId="68">
        <row r="26">
          <cell r="F26">
            <v>217081.14293085714</v>
          </cell>
        </row>
      </sheetData>
      <sheetData sheetId="69">
        <row r="20">
          <cell r="F20">
            <v>107770</v>
          </cell>
        </row>
      </sheetData>
      <sheetData sheetId="70">
        <row r="19">
          <cell r="F19">
            <v>30627</v>
          </cell>
        </row>
      </sheetData>
      <sheetData sheetId="71">
        <row r="19">
          <cell r="F19">
            <v>45091</v>
          </cell>
        </row>
      </sheetData>
      <sheetData sheetId="72">
        <row r="20">
          <cell r="F20">
            <v>407205.65610000002</v>
          </cell>
        </row>
      </sheetData>
      <sheetData sheetId="73">
        <row r="20">
          <cell r="F20">
            <v>378259.09350000002</v>
          </cell>
        </row>
      </sheetData>
      <sheetData sheetId="74">
        <row r="22">
          <cell r="F22">
            <v>38928</v>
          </cell>
        </row>
      </sheetData>
      <sheetData sheetId="75">
        <row r="22">
          <cell r="F22">
            <v>38928</v>
          </cell>
        </row>
      </sheetData>
      <sheetData sheetId="76">
        <row r="22">
          <cell r="F22">
            <v>356205</v>
          </cell>
        </row>
      </sheetData>
      <sheetData sheetId="77">
        <row r="19">
          <cell r="F19">
            <v>306269</v>
          </cell>
        </row>
      </sheetData>
      <sheetData sheetId="78">
        <row r="22">
          <cell r="F22">
            <v>180000</v>
          </cell>
        </row>
      </sheetData>
      <sheetData sheetId="79">
        <row r="19">
          <cell r="F19">
            <v>2161</v>
          </cell>
        </row>
      </sheetData>
      <sheetData sheetId="80">
        <row r="19">
          <cell r="F19">
            <v>43483</v>
          </cell>
        </row>
      </sheetData>
      <sheetData sheetId="81">
        <row r="19">
          <cell r="F19">
            <v>848861</v>
          </cell>
        </row>
      </sheetData>
      <sheetData sheetId="82">
        <row r="19">
          <cell r="F19">
            <v>1192659</v>
          </cell>
        </row>
      </sheetData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A9238-CB61-4B28-ACBC-693CF20A002C}">
  <dimension ref="A1:F140"/>
  <sheetViews>
    <sheetView tabSelected="1" topLeftCell="A183" workbookViewId="0">
      <selection activeCell="J11" sqref="J11"/>
    </sheetView>
  </sheetViews>
  <sheetFormatPr baseColWidth="10" defaultRowHeight="15" x14ac:dyDescent="0.2"/>
  <cols>
    <col min="2" max="2" width="29.5" bestFit="1" customWidth="1"/>
    <col min="3" max="3" width="5.33203125" bestFit="1" customWidth="1"/>
    <col min="4" max="4" width="11" bestFit="1" customWidth="1"/>
    <col min="5" max="5" width="13.83203125" bestFit="1" customWidth="1"/>
    <col min="6" max="6" width="18.5" bestFit="1" customWidth="1"/>
  </cols>
  <sheetData>
    <row r="1" spans="1:6" ht="17" x14ac:dyDescent="0.2">
      <c r="A1" s="49" t="s">
        <v>0</v>
      </c>
      <c r="B1" s="50"/>
      <c r="C1" s="50"/>
      <c r="D1" s="50"/>
      <c r="E1" s="50"/>
      <c r="F1" s="51"/>
    </row>
    <row r="2" spans="1:6" ht="26.5" customHeight="1" x14ac:dyDescent="0.2">
      <c r="A2" s="52" t="s">
        <v>239</v>
      </c>
      <c r="B2" s="43"/>
      <c r="C2" s="43"/>
      <c r="D2" s="43"/>
      <c r="E2" s="43"/>
      <c r="F2" s="44"/>
    </row>
    <row r="3" spans="1:6" x14ac:dyDescent="0.2">
      <c r="A3" s="11"/>
      <c r="B3" s="12"/>
      <c r="C3" s="12"/>
      <c r="D3" s="13"/>
      <c r="E3" s="12"/>
      <c r="F3" s="14"/>
    </row>
    <row r="4" spans="1:6" ht="26" x14ac:dyDescent="0.2">
      <c r="A4" s="15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16" t="s">
        <v>6</v>
      </c>
    </row>
    <row r="5" spans="1:6" x14ac:dyDescent="0.2">
      <c r="A5" s="48" t="s">
        <v>7</v>
      </c>
      <c r="B5" s="43"/>
      <c r="C5" s="43"/>
      <c r="D5" s="43"/>
      <c r="E5" s="43"/>
      <c r="F5" s="44"/>
    </row>
    <row r="6" spans="1:6" ht="26" x14ac:dyDescent="0.2">
      <c r="A6" s="17" t="s">
        <v>8</v>
      </c>
      <c r="B6" s="3" t="s">
        <v>9</v>
      </c>
      <c r="C6" s="4" t="s">
        <v>10</v>
      </c>
      <c r="D6" s="5">
        <v>1</v>
      </c>
      <c r="E6" s="6">
        <f>ROUND('[1]0.1-P01'!F26,0)</f>
        <v>17311817</v>
      </c>
      <c r="F6" s="18">
        <f t="shared" ref="F6:F8" si="0">ROUND(D6*E6,0)</f>
        <v>17311817</v>
      </c>
    </row>
    <row r="7" spans="1:6" ht="26" x14ac:dyDescent="0.2">
      <c r="A7" s="17" t="s">
        <v>11</v>
      </c>
      <c r="B7" s="3" t="s">
        <v>12</v>
      </c>
      <c r="C7" s="4" t="s">
        <v>10</v>
      </c>
      <c r="D7" s="5">
        <v>1</v>
      </c>
      <c r="E7" s="6">
        <f>ROUND('[1]0.2-P02'!F27,0)</f>
        <v>115969529</v>
      </c>
      <c r="F7" s="18">
        <f t="shared" si="0"/>
        <v>115969529</v>
      </c>
    </row>
    <row r="8" spans="1:6" x14ac:dyDescent="0.2">
      <c r="A8" s="17" t="s">
        <v>13</v>
      </c>
      <c r="B8" s="3" t="s">
        <v>14</v>
      </c>
      <c r="C8" s="4" t="s">
        <v>15</v>
      </c>
      <c r="D8" s="5">
        <v>711</v>
      </c>
      <c r="E8" s="6">
        <f>ROUND('[1]0.3-P03'!F26,0)</f>
        <v>42003</v>
      </c>
      <c r="F8" s="18">
        <f t="shared" si="0"/>
        <v>29864133</v>
      </c>
    </row>
    <row r="9" spans="1:6" x14ac:dyDescent="0.2">
      <c r="A9" s="19"/>
      <c r="B9" s="45" t="s">
        <v>16</v>
      </c>
      <c r="C9" s="43"/>
      <c r="D9" s="43"/>
      <c r="E9" s="43"/>
      <c r="F9" s="21">
        <f>ROUND(SUM(F6:F8),0)</f>
        <v>163145479</v>
      </c>
    </row>
    <row r="10" spans="1:6" x14ac:dyDescent="0.2">
      <c r="A10" s="17"/>
      <c r="B10" s="3"/>
      <c r="C10" s="4"/>
      <c r="D10" s="5"/>
      <c r="E10" s="7"/>
      <c r="F10" s="22"/>
    </row>
    <row r="11" spans="1:6" x14ac:dyDescent="0.2">
      <c r="A11" s="48" t="s">
        <v>17</v>
      </c>
      <c r="B11" s="43"/>
      <c r="C11" s="43"/>
      <c r="D11" s="43"/>
      <c r="E11" s="43"/>
      <c r="F11" s="44"/>
    </row>
    <row r="12" spans="1:6" ht="26" x14ac:dyDescent="0.2">
      <c r="A12" s="17" t="s">
        <v>18</v>
      </c>
      <c r="B12" s="3" t="s">
        <v>19</v>
      </c>
      <c r="C12" s="4" t="s">
        <v>20</v>
      </c>
      <c r="D12" s="5">
        <v>190000</v>
      </c>
      <c r="E12" s="6">
        <f>ROUND('[1]1.1-D01'!F28,0)</f>
        <v>2267</v>
      </c>
      <c r="F12" s="18">
        <f t="shared" ref="F12:F19" si="1">ROUND(D12*E12,0)</f>
        <v>430730000</v>
      </c>
    </row>
    <row r="13" spans="1:6" ht="26" x14ac:dyDescent="0.2">
      <c r="A13" s="17" t="s">
        <v>21</v>
      </c>
      <c r="B13" s="3" t="s">
        <v>22</v>
      </c>
      <c r="C13" s="4" t="s">
        <v>23</v>
      </c>
      <c r="D13" s="5">
        <v>480</v>
      </c>
      <c r="E13" s="6">
        <f>ROUND('[1]1.2-D02'!F24,0)</f>
        <v>13044</v>
      </c>
      <c r="F13" s="18">
        <f t="shared" si="1"/>
        <v>6261120</v>
      </c>
    </row>
    <row r="14" spans="1:6" x14ac:dyDescent="0.2">
      <c r="A14" s="17" t="s">
        <v>24</v>
      </c>
      <c r="B14" s="3" t="s">
        <v>25</v>
      </c>
      <c r="C14" s="4" t="s">
        <v>23</v>
      </c>
      <c r="D14" s="5">
        <v>1000</v>
      </c>
      <c r="E14" s="6">
        <f>ROUND('[1]1.3-D03'!F23,0)</f>
        <v>1987</v>
      </c>
      <c r="F14" s="18">
        <f t="shared" si="1"/>
        <v>1987000</v>
      </c>
    </row>
    <row r="15" spans="1:6" ht="26" x14ac:dyDescent="0.2">
      <c r="A15" s="17" t="s">
        <v>26</v>
      </c>
      <c r="B15" s="3" t="s">
        <v>27</v>
      </c>
      <c r="C15" s="4" t="s">
        <v>3</v>
      </c>
      <c r="D15" s="5">
        <v>38</v>
      </c>
      <c r="E15" s="6">
        <f>ROUND('[1]1.4-D04'!F26,0)</f>
        <v>285200</v>
      </c>
      <c r="F15" s="18">
        <f t="shared" si="1"/>
        <v>10837600</v>
      </c>
    </row>
    <row r="16" spans="1:6" ht="26" x14ac:dyDescent="0.2">
      <c r="A16" s="17" t="s">
        <v>28</v>
      </c>
      <c r="B16" s="3" t="s">
        <v>29</v>
      </c>
      <c r="C16" s="4" t="s">
        <v>30</v>
      </c>
      <c r="D16" s="5">
        <v>540</v>
      </c>
      <c r="E16" s="6">
        <f>ROUND('[1]1.5-D05'!F24,0)</f>
        <v>259429</v>
      </c>
      <c r="F16" s="18">
        <f t="shared" si="1"/>
        <v>140091660</v>
      </c>
    </row>
    <row r="17" spans="1:6" ht="26" x14ac:dyDescent="0.2">
      <c r="A17" s="17" t="s">
        <v>31</v>
      </c>
      <c r="B17" s="3" t="s">
        <v>32</v>
      </c>
      <c r="C17" s="4" t="s">
        <v>20</v>
      </c>
      <c r="D17" s="5">
        <v>11015</v>
      </c>
      <c r="E17" s="6">
        <f>ROUND('[1]1.6-D06'!F33,0)</f>
        <v>41200</v>
      </c>
      <c r="F17" s="18">
        <f t="shared" si="1"/>
        <v>453818000</v>
      </c>
    </row>
    <row r="18" spans="1:6" x14ac:dyDescent="0.2">
      <c r="A18" s="17" t="s">
        <v>33</v>
      </c>
      <c r="B18" s="3" t="s">
        <v>34</v>
      </c>
      <c r="C18" s="4" t="s">
        <v>35</v>
      </c>
      <c r="D18" s="5">
        <v>162</v>
      </c>
      <c r="E18" s="6">
        <f>ROUND('[1]1.7-D07'!F31,0)</f>
        <v>36514</v>
      </c>
      <c r="F18" s="18">
        <f t="shared" si="1"/>
        <v>5915268</v>
      </c>
    </row>
    <row r="19" spans="1:6" ht="26" x14ac:dyDescent="0.2">
      <c r="A19" s="17" t="s">
        <v>36</v>
      </c>
      <c r="B19" s="3" t="s">
        <v>37</v>
      </c>
      <c r="C19" s="4" t="s">
        <v>30</v>
      </c>
      <c r="D19" s="5">
        <v>702</v>
      </c>
      <c r="E19" s="6">
        <f>ROUND('[1]1.8-D08'!F20,0)</f>
        <v>22274</v>
      </c>
      <c r="F19" s="18">
        <f t="shared" si="1"/>
        <v>15636348</v>
      </c>
    </row>
    <row r="20" spans="1:6" x14ac:dyDescent="0.2">
      <c r="A20" s="19"/>
      <c r="B20" s="45" t="s">
        <v>38</v>
      </c>
      <c r="C20" s="43"/>
      <c r="D20" s="43"/>
      <c r="E20" s="43"/>
      <c r="F20" s="21">
        <f>ROUND(SUM(F12:F19),0)</f>
        <v>1065276996</v>
      </c>
    </row>
    <row r="21" spans="1:6" x14ac:dyDescent="0.2">
      <c r="A21" s="48" t="s">
        <v>39</v>
      </c>
      <c r="B21" s="43"/>
      <c r="C21" s="43"/>
      <c r="D21" s="43"/>
      <c r="E21" s="43"/>
      <c r="F21" s="44"/>
    </row>
    <row r="22" spans="1:6" ht="26" x14ac:dyDescent="0.2">
      <c r="A22" s="17" t="s">
        <v>40</v>
      </c>
      <c r="B22" s="3" t="s">
        <v>41</v>
      </c>
      <c r="C22" s="4" t="s">
        <v>42</v>
      </c>
      <c r="D22" s="5">
        <v>313.7</v>
      </c>
      <c r="E22" s="6">
        <f>ROUND('[1]2.1-E01'!F28,0)</f>
        <v>1542752</v>
      </c>
      <c r="F22" s="18">
        <f t="shared" ref="F22:F29" si="2">ROUND(D22*E22,0)</f>
        <v>483961302</v>
      </c>
    </row>
    <row r="23" spans="1:6" ht="26" x14ac:dyDescent="0.2">
      <c r="A23" s="17" t="s">
        <v>43</v>
      </c>
      <c r="B23" s="3" t="s">
        <v>44</v>
      </c>
      <c r="C23" s="4" t="s">
        <v>45</v>
      </c>
      <c r="D23" s="5">
        <v>47056</v>
      </c>
      <c r="E23" s="6">
        <f>ROUND('[1]2.2-E02'!F27,0)</f>
        <v>12846</v>
      </c>
      <c r="F23" s="18">
        <f t="shared" si="2"/>
        <v>604481376</v>
      </c>
    </row>
    <row r="24" spans="1:6" ht="26" x14ac:dyDescent="0.2">
      <c r="A24" s="17" t="s">
        <v>46</v>
      </c>
      <c r="B24" s="3" t="s">
        <v>47</v>
      </c>
      <c r="C24" s="4" t="s">
        <v>45</v>
      </c>
      <c r="D24" s="5">
        <v>432960</v>
      </c>
      <c r="E24" s="6">
        <f>ROUND('[1]2.3-E03'!F29,0)</f>
        <v>35852</v>
      </c>
      <c r="F24" s="18">
        <f t="shared" si="2"/>
        <v>15522481920</v>
      </c>
    </row>
    <row r="25" spans="1:6" x14ac:dyDescent="0.2">
      <c r="A25" s="17" t="s">
        <v>48</v>
      </c>
      <c r="B25" s="3" t="s">
        <v>49</v>
      </c>
      <c r="C25" s="4" t="s">
        <v>45</v>
      </c>
      <c r="D25" s="5">
        <v>14283</v>
      </c>
      <c r="E25" s="6">
        <f>ROUND('[1]2.4-E04'!F26,0)</f>
        <v>14257</v>
      </c>
      <c r="F25" s="18">
        <f t="shared" si="2"/>
        <v>203632731</v>
      </c>
    </row>
    <row r="26" spans="1:6" x14ac:dyDescent="0.2">
      <c r="A26" s="17" t="s">
        <v>50</v>
      </c>
      <c r="B26" s="3" t="s">
        <v>51</v>
      </c>
      <c r="C26" s="4" t="s">
        <v>52</v>
      </c>
      <c r="D26" s="5">
        <v>500</v>
      </c>
      <c r="E26" s="6">
        <f>ROUND('[1]2.5-E05'!F27,0)</f>
        <v>483002</v>
      </c>
      <c r="F26" s="18">
        <f t="shared" si="2"/>
        <v>241501000</v>
      </c>
    </row>
    <row r="27" spans="1:6" x14ac:dyDescent="0.2">
      <c r="A27" s="17" t="s">
        <v>53</v>
      </c>
      <c r="B27" s="3" t="s">
        <v>54</v>
      </c>
      <c r="C27" s="4" t="s">
        <v>55</v>
      </c>
      <c r="D27" s="5">
        <v>250</v>
      </c>
      <c r="E27" s="6">
        <f>ROUND(+'[1]2.6-E05B'!F24,0)</f>
        <v>972304</v>
      </c>
      <c r="F27" s="18">
        <f t="shared" si="2"/>
        <v>243076000</v>
      </c>
    </row>
    <row r="28" spans="1:6" x14ac:dyDescent="0.2">
      <c r="A28" s="17" t="s">
        <v>56</v>
      </c>
      <c r="B28" s="3" t="s">
        <v>57</v>
      </c>
      <c r="C28" s="4" t="s">
        <v>55</v>
      </c>
      <c r="D28" s="5">
        <v>160</v>
      </c>
      <c r="E28" s="6">
        <f>ROUND(+'[1]2.7-E05C'!F25,0)</f>
        <v>288101</v>
      </c>
      <c r="F28" s="18">
        <f t="shared" si="2"/>
        <v>46096160</v>
      </c>
    </row>
    <row r="29" spans="1:6" ht="39" x14ac:dyDescent="0.2">
      <c r="A29" s="17" t="s">
        <v>58</v>
      </c>
      <c r="B29" s="3" t="s">
        <v>59</v>
      </c>
      <c r="C29" s="4" t="s">
        <v>45</v>
      </c>
      <c r="D29" s="5">
        <v>64944</v>
      </c>
      <c r="E29" s="6">
        <f>ROUND('[1]2.8-E20'!F26,0)</f>
        <v>35852</v>
      </c>
      <c r="F29" s="18">
        <f t="shared" si="2"/>
        <v>2328372288</v>
      </c>
    </row>
    <row r="30" spans="1:6" x14ac:dyDescent="0.2">
      <c r="A30" s="19"/>
      <c r="B30" s="45" t="s">
        <v>60</v>
      </c>
      <c r="C30" s="43"/>
      <c r="D30" s="43"/>
      <c r="E30" s="43"/>
      <c r="F30" s="21">
        <f>ROUND(SUM(F22:F29),0)</f>
        <v>19673602777</v>
      </c>
    </row>
    <row r="31" spans="1:6" x14ac:dyDescent="0.2">
      <c r="A31" s="48" t="s">
        <v>61</v>
      </c>
      <c r="B31" s="43"/>
      <c r="C31" s="43"/>
      <c r="D31" s="43"/>
      <c r="E31" s="43"/>
      <c r="F31" s="44"/>
    </row>
    <row r="32" spans="1:6" ht="26" x14ac:dyDescent="0.2">
      <c r="A32" s="17" t="s">
        <v>62</v>
      </c>
      <c r="B32" s="3" t="s">
        <v>63</v>
      </c>
      <c r="C32" s="4" t="s">
        <v>42</v>
      </c>
      <c r="D32" s="5">
        <f>325*1.3</f>
        <v>422.5</v>
      </c>
      <c r="E32" s="6">
        <f>ROUND('[1]3.1-E06'!F26,0)</f>
        <v>78116</v>
      </c>
      <c r="F32" s="18">
        <f t="shared" ref="F32:F37" si="3">ROUND(D32*E32,0)</f>
        <v>33004010</v>
      </c>
    </row>
    <row r="33" spans="1:6" ht="39" x14ac:dyDescent="0.2">
      <c r="A33" s="17" t="s">
        <v>64</v>
      </c>
      <c r="B33" s="3" t="s">
        <v>65</v>
      </c>
      <c r="C33" s="4" t="s">
        <v>66</v>
      </c>
      <c r="D33" s="5">
        <f>234*1.3</f>
        <v>304.2</v>
      </c>
      <c r="E33" s="6">
        <f>ROUND('[1]3.2-E07'!F26,0)</f>
        <v>402504</v>
      </c>
      <c r="F33" s="18">
        <f t="shared" si="3"/>
        <v>122441717</v>
      </c>
    </row>
    <row r="34" spans="1:6" ht="26" x14ac:dyDescent="0.2">
      <c r="A34" s="17" t="s">
        <v>67</v>
      </c>
      <c r="B34" s="3" t="s">
        <v>68</v>
      </c>
      <c r="C34" s="4" t="s">
        <v>42</v>
      </c>
      <c r="D34" s="5">
        <v>264.68</v>
      </c>
      <c r="E34" s="6">
        <f>ROUND('[1]2.1-E01'!F28,0)</f>
        <v>1542752</v>
      </c>
      <c r="F34" s="18">
        <f t="shared" si="3"/>
        <v>408335599</v>
      </c>
    </row>
    <row r="35" spans="1:6" ht="26" x14ac:dyDescent="0.2">
      <c r="A35" s="17" t="s">
        <v>69</v>
      </c>
      <c r="B35" s="3" t="s">
        <v>70</v>
      </c>
      <c r="C35" s="4" t="s">
        <v>45</v>
      </c>
      <c r="D35" s="5">
        <f>23821.2*1.3</f>
        <v>30967.56</v>
      </c>
      <c r="E35" s="6">
        <f>ROUND('[1]2.2-E02'!F27,0)</f>
        <v>12846</v>
      </c>
      <c r="F35" s="18">
        <f t="shared" si="3"/>
        <v>397809276</v>
      </c>
    </row>
    <row r="36" spans="1:6" ht="26" x14ac:dyDescent="0.2">
      <c r="A36" s="17" t="s">
        <v>71</v>
      </c>
      <c r="B36" s="3" t="s">
        <v>72</v>
      </c>
      <c r="C36" s="4" t="s">
        <v>42</v>
      </c>
      <c r="D36" s="5">
        <v>249.6</v>
      </c>
      <c r="E36" s="6">
        <f>ROUND('[1]2.1-E01'!F28,0)</f>
        <v>1542752</v>
      </c>
      <c r="F36" s="18">
        <f t="shared" si="3"/>
        <v>385070899</v>
      </c>
    </row>
    <row r="37" spans="1:6" ht="26" x14ac:dyDescent="0.2">
      <c r="A37" s="17" t="s">
        <v>73</v>
      </c>
      <c r="B37" s="3" t="s">
        <v>74</v>
      </c>
      <c r="C37" s="4" t="s">
        <v>45</v>
      </c>
      <c r="D37" s="5">
        <f>22464*1.3</f>
        <v>29203.200000000001</v>
      </c>
      <c r="E37" s="6">
        <f>ROUND('[1]2.2-E02'!F27,0)</f>
        <v>12846</v>
      </c>
      <c r="F37" s="18">
        <f t="shared" si="3"/>
        <v>375144307</v>
      </c>
    </row>
    <row r="38" spans="1:6" x14ac:dyDescent="0.2">
      <c r="A38" s="19"/>
      <c r="B38" s="45" t="s">
        <v>75</v>
      </c>
      <c r="C38" s="43"/>
      <c r="D38" s="43"/>
      <c r="E38" s="43"/>
      <c r="F38" s="21">
        <f>ROUND(SUM(F32:F37),0)</f>
        <v>1721805808</v>
      </c>
    </row>
    <row r="39" spans="1:6" x14ac:dyDescent="0.2">
      <c r="A39" s="48" t="s">
        <v>76</v>
      </c>
      <c r="B39" s="43"/>
      <c r="C39" s="43"/>
      <c r="D39" s="43"/>
      <c r="E39" s="43"/>
      <c r="F39" s="44"/>
    </row>
    <row r="40" spans="1:6" ht="39" x14ac:dyDescent="0.2">
      <c r="A40" s="17" t="s">
        <v>77</v>
      </c>
      <c r="B40" s="3" t="s">
        <v>78</v>
      </c>
      <c r="C40" s="4" t="s">
        <v>42</v>
      </c>
      <c r="D40" s="5">
        <v>188</v>
      </c>
      <c r="E40" s="6">
        <f>ROUND('[1]2.1-E01'!F28,0)</f>
        <v>1542752</v>
      </c>
      <c r="F40" s="18">
        <f t="shared" ref="F40:F42" si="4">ROUND(D40*E40,0)</f>
        <v>290037376</v>
      </c>
    </row>
    <row r="41" spans="1:6" ht="26" x14ac:dyDescent="0.2">
      <c r="A41" s="17" t="s">
        <v>79</v>
      </c>
      <c r="B41" s="3" t="s">
        <v>80</v>
      </c>
      <c r="C41" s="4" t="s">
        <v>45</v>
      </c>
      <c r="D41" s="5">
        <v>18800</v>
      </c>
      <c r="E41" s="6">
        <f>ROUND('[1]2.2-E02'!F27,0)</f>
        <v>12846</v>
      </c>
      <c r="F41" s="18">
        <f t="shared" si="4"/>
        <v>241504800</v>
      </c>
    </row>
    <row r="42" spans="1:6" ht="26" x14ac:dyDescent="0.2">
      <c r="A42" s="17" t="s">
        <v>81</v>
      </c>
      <c r="B42" s="3" t="s">
        <v>82</v>
      </c>
      <c r="C42" s="4" t="s">
        <v>42</v>
      </c>
      <c r="D42" s="5">
        <v>80</v>
      </c>
      <c r="E42" s="6">
        <f>ROUND('[1]4.3-E08'!F26,0)</f>
        <v>95753</v>
      </c>
      <c r="F42" s="18">
        <f t="shared" si="4"/>
        <v>7660240</v>
      </c>
    </row>
    <row r="43" spans="1:6" x14ac:dyDescent="0.2">
      <c r="A43" s="19"/>
      <c r="B43" s="45" t="s">
        <v>83</v>
      </c>
      <c r="C43" s="43"/>
      <c r="D43" s="43"/>
      <c r="E43" s="43"/>
      <c r="F43" s="21">
        <f>ROUND(SUM(F40:F42),0)</f>
        <v>539202416</v>
      </c>
    </row>
    <row r="44" spans="1:6" x14ac:dyDescent="0.2">
      <c r="A44" s="48" t="s">
        <v>84</v>
      </c>
      <c r="B44" s="43"/>
      <c r="C44" s="43"/>
      <c r="D44" s="43"/>
      <c r="E44" s="43"/>
      <c r="F44" s="44"/>
    </row>
    <row r="45" spans="1:6" x14ac:dyDescent="0.2">
      <c r="A45" s="17" t="s">
        <v>85</v>
      </c>
      <c r="B45" s="3" t="s">
        <v>86</v>
      </c>
      <c r="C45" s="4" t="s">
        <v>87</v>
      </c>
      <c r="D45" s="5">
        <v>946</v>
      </c>
      <c r="E45" s="6">
        <f>ROUND('[1]5.1-E09'!F23,0)</f>
        <v>8097</v>
      </c>
      <c r="F45" s="18">
        <f t="shared" ref="F45:F59" si="5">ROUND(D45*E45,0)</f>
        <v>7659762</v>
      </c>
    </row>
    <row r="46" spans="1:6" x14ac:dyDescent="0.2">
      <c r="A46" s="17" t="s">
        <v>88</v>
      </c>
      <c r="B46" s="3" t="s">
        <v>89</v>
      </c>
      <c r="C46" s="4" t="s">
        <v>87</v>
      </c>
      <c r="D46" s="5">
        <v>946</v>
      </c>
      <c r="E46" s="6">
        <f>ROUND('[1]5.2-E10'!F23,0)</f>
        <v>12877</v>
      </c>
      <c r="F46" s="18">
        <f t="shared" si="5"/>
        <v>12181642</v>
      </c>
    </row>
    <row r="47" spans="1:6" ht="26" x14ac:dyDescent="0.2">
      <c r="A47" s="17" t="s">
        <v>90</v>
      </c>
      <c r="B47" s="3" t="s">
        <v>91</v>
      </c>
      <c r="C47" s="4" t="s">
        <v>42</v>
      </c>
      <c r="D47" s="5">
        <v>60</v>
      </c>
      <c r="E47" s="6">
        <f>ROUND('[1]3.1-E06'!F26,0)</f>
        <v>78116</v>
      </c>
      <c r="F47" s="18">
        <f t="shared" si="5"/>
        <v>4686960</v>
      </c>
    </row>
    <row r="48" spans="1:6" ht="26" x14ac:dyDescent="0.2">
      <c r="A48" s="17" t="s">
        <v>92</v>
      </c>
      <c r="B48" s="3" t="s">
        <v>93</v>
      </c>
      <c r="C48" s="4" t="s">
        <v>42</v>
      </c>
      <c r="D48" s="5">
        <v>1230</v>
      </c>
      <c r="E48" s="6">
        <f>ROUND('[1]5.4-E11'!F28,0)</f>
        <v>78162</v>
      </c>
      <c r="F48" s="18">
        <f t="shared" si="5"/>
        <v>96139260</v>
      </c>
    </row>
    <row r="49" spans="1:6" ht="39" x14ac:dyDescent="0.2">
      <c r="A49" s="17" t="s">
        <v>94</v>
      </c>
      <c r="B49" s="3" t="s">
        <v>95</v>
      </c>
      <c r="C49" s="4" t="s">
        <v>66</v>
      </c>
      <c r="D49" s="5">
        <v>320</v>
      </c>
      <c r="E49" s="6">
        <f>ROUND('[1]5.5-E12'!F28,0)</f>
        <v>531484</v>
      </c>
      <c r="F49" s="18">
        <f t="shared" si="5"/>
        <v>170074880</v>
      </c>
    </row>
    <row r="50" spans="1:6" ht="26" x14ac:dyDescent="0.2">
      <c r="A50" s="17" t="s">
        <v>96</v>
      </c>
      <c r="B50" s="3" t="s">
        <v>97</v>
      </c>
      <c r="C50" s="4" t="s">
        <v>66</v>
      </c>
      <c r="D50" s="5">
        <v>60</v>
      </c>
      <c r="E50" s="6">
        <f>ROUND('[1]5.6-E13'!F27,0)</f>
        <v>690182</v>
      </c>
      <c r="F50" s="18">
        <f t="shared" si="5"/>
        <v>41410920</v>
      </c>
    </row>
    <row r="51" spans="1:6" ht="26" x14ac:dyDescent="0.2">
      <c r="A51" s="17" t="s">
        <v>98</v>
      </c>
      <c r="B51" s="3" t="s">
        <v>99</v>
      </c>
      <c r="C51" s="4" t="s">
        <v>87</v>
      </c>
      <c r="D51" s="5">
        <v>1400</v>
      </c>
      <c r="E51" s="6">
        <f>ROUND('[1]5.7-E14'!F23,0)</f>
        <v>15107</v>
      </c>
      <c r="F51" s="18">
        <f t="shared" si="5"/>
        <v>21149800</v>
      </c>
    </row>
    <row r="52" spans="1:6" ht="26" x14ac:dyDescent="0.2">
      <c r="A52" s="17" t="s">
        <v>100</v>
      </c>
      <c r="B52" s="3" t="s">
        <v>101</v>
      </c>
      <c r="C52" s="4" t="s">
        <v>87</v>
      </c>
      <c r="D52" s="5">
        <v>480</v>
      </c>
      <c r="E52" s="6">
        <f>ROUND('[1]5.8-E15'!F23,0)</f>
        <v>14236</v>
      </c>
      <c r="F52" s="18">
        <f t="shared" si="5"/>
        <v>6833280</v>
      </c>
    </row>
    <row r="53" spans="1:6" ht="26" x14ac:dyDescent="0.2">
      <c r="A53" s="17" t="s">
        <v>102</v>
      </c>
      <c r="B53" s="3" t="s">
        <v>103</v>
      </c>
      <c r="C53" s="4" t="s">
        <v>87</v>
      </c>
      <c r="D53" s="5">
        <v>260</v>
      </c>
      <c r="E53" s="6">
        <f>ROUND('[1]5.9-E16'!F23,0)</f>
        <v>12088</v>
      </c>
      <c r="F53" s="18">
        <f t="shared" si="5"/>
        <v>3142880</v>
      </c>
    </row>
    <row r="54" spans="1:6" ht="26" x14ac:dyDescent="0.2">
      <c r="A54" s="17" t="s">
        <v>104</v>
      </c>
      <c r="B54" s="3" t="s">
        <v>105</v>
      </c>
      <c r="C54" s="4" t="s">
        <v>42</v>
      </c>
      <c r="D54" s="5">
        <v>135</v>
      </c>
      <c r="E54" s="6">
        <f>ROUND('[1]5.10-E17'!F26,0)</f>
        <v>106280</v>
      </c>
      <c r="F54" s="18">
        <f t="shared" si="5"/>
        <v>14347800</v>
      </c>
    </row>
    <row r="55" spans="1:6" ht="26" x14ac:dyDescent="0.2">
      <c r="A55" s="17" t="s">
        <v>106</v>
      </c>
      <c r="B55" s="3" t="s">
        <v>107</v>
      </c>
      <c r="C55" s="4" t="s">
        <v>42</v>
      </c>
      <c r="D55" s="5">
        <v>180</v>
      </c>
      <c r="E55" s="6">
        <f>ROUND('[1]5.11-E18'!F27,0)</f>
        <v>1276722</v>
      </c>
      <c r="F55" s="18">
        <f t="shared" si="5"/>
        <v>229809960</v>
      </c>
    </row>
    <row r="56" spans="1:6" ht="26" x14ac:dyDescent="0.2">
      <c r="A56" s="17" t="s">
        <v>108</v>
      </c>
      <c r="B56" s="3" t="s">
        <v>109</v>
      </c>
      <c r="C56" s="4" t="s">
        <v>45</v>
      </c>
      <c r="D56" s="5">
        <v>9000</v>
      </c>
      <c r="E56" s="6">
        <f>ROUND('[1]2.2-E02'!F27,0)</f>
        <v>12846</v>
      </c>
      <c r="F56" s="18">
        <f t="shared" si="5"/>
        <v>115614000</v>
      </c>
    </row>
    <row r="57" spans="1:6" ht="26" x14ac:dyDescent="0.2">
      <c r="A57" s="17" t="s">
        <v>110</v>
      </c>
      <c r="B57" s="3" t="s">
        <v>111</v>
      </c>
      <c r="C57" s="4" t="s">
        <v>66</v>
      </c>
      <c r="D57" s="5">
        <v>180</v>
      </c>
      <c r="E57" s="6">
        <f>ROUND('[1]5.13-E19'!F23,0)</f>
        <v>47165</v>
      </c>
      <c r="F57" s="18">
        <f t="shared" si="5"/>
        <v>8489700</v>
      </c>
    </row>
    <row r="58" spans="1:6" ht="26" x14ac:dyDescent="0.2">
      <c r="A58" s="17" t="s">
        <v>112</v>
      </c>
      <c r="B58" s="3" t="s">
        <v>113</v>
      </c>
      <c r="C58" s="4" t="s">
        <v>42</v>
      </c>
      <c r="D58" s="5">
        <v>24</v>
      </c>
      <c r="E58" s="6">
        <f>ROUND('[1]2.1-E01'!F28,0)</f>
        <v>1542752</v>
      </c>
      <c r="F58" s="18">
        <f t="shared" si="5"/>
        <v>37026048</v>
      </c>
    </row>
    <row r="59" spans="1:6" ht="26" x14ac:dyDescent="0.2">
      <c r="A59" s="17" t="s">
        <v>114</v>
      </c>
      <c r="B59" s="3" t="s">
        <v>115</v>
      </c>
      <c r="C59" s="4" t="s">
        <v>45</v>
      </c>
      <c r="D59" s="5">
        <v>1920</v>
      </c>
      <c r="E59" s="6">
        <f>ROUND('[1]2.2-E02'!F27,0)</f>
        <v>12846</v>
      </c>
      <c r="F59" s="18">
        <f t="shared" si="5"/>
        <v>24664320</v>
      </c>
    </row>
    <row r="60" spans="1:6" x14ac:dyDescent="0.2">
      <c r="A60" s="19"/>
      <c r="B60" s="20" t="s">
        <v>116</v>
      </c>
      <c r="C60" s="23"/>
      <c r="D60" s="24"/>
      <c r="E60" s="23"/>
      <c r="F60" s="21">
        <f>ROUND(SUM(F45:F59),0)</f>
        <v>793231212</v>
      </c>
    </row>
    <row r="61" spans="1:6" x14ac:dyDescent="0.2">
      <c r="A61" s="11"/>
      <c r="B61" s="8"/>
      <c r="C61" s="25"/>
      <c r="D61" s="26"/>
      <c r="E61" s="25"/>
      <c r="F61" s="27"/>
    </row>
    <row r="62" spans="1:6" x14ac:dyDescent="0.2">
      <c r="A62" s="48" t="s">
        <v>117</v>
      </c>
      <c r="B62" s="43"/>
      <c r="C62" s="43"/>
      <c r="D62" s="43"/>
      <c r="E62" s="43"/>
      <c r="F62" s="44"/>
    </row>
    <row r="63" spans="1:6" x14ac:dyDescent="0.2">
      <c r="A63" s="42" t="s">
        <v>118</v>
      </c>
      <c r="B63" s="43"/>
      <c r="C63" s="43"/>
      <c r="D63" s="43"/>
      <c r="E63" s="43"/>
      <c r="F63" s="44"/>
    </row>
    <row r="64" spans="1:6" ht="39" x14ac:dyDescent="0.2">
      <c r="A64" s="17" t="s">
        <v>119</v>
      </c>
      <c r="B64" s="3" t="s">
        <v>120</v>
      </c>
      <c r="C64" s="4" t="s">
        <v>3</v>
      </c>
      <c r="D64" s="5">
        <v>4</v>
      </c>
      <c r="E64" s="6">
        <f>ROUND('[1]6.1.1-L01'!F26,0)</f>
        <v>2800000</v>
      </c>
      <c r="F64" s="18">
        <f t="shared" ref="F64:F72" si="6">ROUND(D64*E64,0)</f>
        <v>11200000</v>
      </c>
    </row>
    <row r="65" spans="1:6" ht="39" x14ac:dyDescent="0.2">
      <c r="A65" s="17" t="s">
        <v>121</v>
      </c>
      <c r="B65" s="3" t="s">
        <v>122</v>
      </c>
      <c r="C65" s="4" t="s">
        <v>3</v>
      </c>
      <c r="D65" s="5">
        <v>4</v>
      </c>
      <c r="E65" s="6">
        <f>ROUND('[1]6.1.2-L02'!F24,0)</f>
        <v>888700</v>
      </c>
      <c r="F65" s="18">
        <f t="shared" si="6"/>
        <v>3554800</v>
      </c>
    </row>
    <row r="66" spans="1:6" ht="26" x14ac:dyDescent="0.2">
      <c r="A66" s="17" t="s">
        <v>123</v>
      </c>
      <c r="B66" s="3" t="s">
        <v>124</v>
      </c>
      <c r="C66" s="4" t="s">
        <v>3</v>
      </c>
      <c r="D66" s="5">
        <v>4</v>
      </c>
      <c r="E66" s="6">
        <f>ROUND('[1]6.1.3-L03'!F24,0)</f>
        <v>350000</v>
      </c>
      <c r="F66" s="18">
        <f t="shared" si="6"/>
        <v>1400000</v>
      </c>
    </row>
    <row r="67" spans="1:6" ht="26" x14ac:dyDescent="0.2">
      <c r="A67" s="17" t="s">
        <v>125</v>
      </c>
      <c r="B67" s="3" t="s">
        <v>126</v>
      </c>
      <c r="C67" s="4" t="s">
        <v>3</v>
      </c>
      <c r="D67" s="5">
        <v>4</v>
      </c>
      <c r="E67" s="6">
        <f>ROUND('[1]6.1.4-L04'!F24,0)</f>
        <v>45000</v>
      </c>
      <c r="F67" s="18">
        <f t="shared" si="6"/>
        <v>180000</v>
      </c>
    </row>
    <row r="68" spans="1:6" ht="26" x14ac:dyDescent="0.2">
      <c r="A68" s="17" t="s">
        <v>127</v>
      </c>
      <c r="B68" s="3" t="s">
        <v>128</v>
      </c>
      <c r="C68" s="4" t="s">
        <v>3</v>
      </c>
      <c r="D68" s="5">
        <v>4</v>
      </c>
      <c r="E68" s="6">
        <f>ROUND('[1]6.1.5-L05'!F24,0)</f>
        <v>650000</v>
      </c>
      <c r="F68" s="18">
        <f t="shared" si="6"/>
        <v>2600000</v>
      </c>
    </row>
    <row r="69" spans="1:6" ht="26" x14ac:dyDescent="0.2">
      <c r="A69" s="17" t="s">
        <v>129</v>
      </c>
      <c r="B69" s="3" t="s">
        <v>130</v>
      </c>
      <c r="C69" s="4" t="s">
        <v>15</v>
      </c>
      <c r="D69" s="5">
        <v>200</v>
      </c>
      <c r="E69" s="6">
        <f>ROUND('[1]6.1.6-L06'!F24,0)</f>
        <v>8500</v>
      </c>
      <c r="F69" s="18">
        <f t="shared" si="6"/>
        <v>1700000</v>
      </c>
    </row>
    <row r="70" spans="1:6" ht="26" x14ac:dyDescent="0.2">
      <c r="A70" s="17" t="s">
        <v>131</v>
      </c>
      <c r="B70" s="3" t="s">
        <v>132</v>
      </c>
      <c r="C70" s="4" t="s">
        <v>15</v>
      </c>
      <c r="D70" s="5">
        <v>150</v>
      </c>
      <c r="E70" s="6">
        <f>ROUND('[1]6.1.7-L07'!F24,0)</f>
        <v>12000</v>
      </c>
      <c r="F70" s="18">
        <f t="shared" si="6"/>
        <v>1800000</v>
      </c>
    </row>
    <row r="71" spans="1:6" ht="26" x14ac:dyDescent="0.2">
      <c r="A71" s="17" t="s">
        <v>133</v>
      </c>
      <c r="B71" s="3" t="s">
        <v>134</v>
      </c>
      <c r="C71" s="4" t="s">
        <v>3</v>
      </c>
      <c r="D71" s="5">
        <v>1</v>
      </c>
      <c r="E71" s="6">
        <f>ROUND('[1]6.1.8-L08'!F24,0)</f>
        <v>1800000</v>
      </c>
      <c r="F71" s="18">
        <f t="shared" si="6"/>
        <v>1800000</v>
      </c>
    </row>
    <row r="72" spans="1:6" ht="26" x14ac:dyDescent="0.2">
      <c r="A72" s="17" t="s">
        <v>135</v>
      </c>
      <c r="B72" s="3" t="s">
        <v>136</v>
      </c>
      <c r="C72" s="4" t="s">
        <v>10</v>
      </c>
      <c r="D72" s="5">
        <v>1</v>
      </c>
      <c r="E72" s="6">
        <f>ROUND('[1]6.1.9-L09'!F24,0)</f>
        <v>650000</v>
      </c>
      <c r="F72" s="18">
        <f t="shared" si="6"/>
        <v>650000</v>
      </c>
    </row>
    <row r="73" spans="1:6" x14ac:dyDescent="0.2">
      <c r="A73" s="42" t="s">
        <v>137</v>
      </c>
      <c r="B73" s="43"/>
      <c r="C73" s="43"/>
      <c r="D73" s="43"/>
      <c r="E73" s="43"/>
      <c r="F73" s="44"/>
    </row>
    <row r="74" spans="1:6" ht="26" x14ac:dyDescent="0.2">
      <c r="A74" s="17" t="s">
        <v>138</v>
      </c>
      <c r="B74" s="3" t="s">
        <v>139</v>
      </c>
      <c r="C74" s="4" t="s">
        <v>140</v>
      </c>
      <c r="D74" s="5">
        <v>513</v>
      </c>
      <c r="E74" s="6">
        <f>ROUND('[1]6.2.1-R01'!F26,0)</f>
        <v>50942</v>
      </c>
      <c r="F74" s="18">
        <f t="shared" ref="F74:F81" si="7">ROUND(D74*E74,0)</f>
        <v>26133246</v>
      </c>
    </row>
    <row r="75" spans="1:6" ht="26" x14ac:dyDescent="0.2">
      <c r="A75" s="17" t="s">
        <v>141</v>
      </c>
      <c r="B75" s="3" t="s">
        <v>142</v>
      </c>
      <c r="C75" s="4" t="s">
        <v>66</v>
      </c>
      <c r="D75" s="5">
        <v>513.37</v>
      </c>
      <c r="E75" s="6">
        <f>ROUND('[1]6.2.2-R02'!F24,0)</f>
        <v>16445</v>
      </c>
      <c r="F75" s="18">
        <f t="shared" si="7"/>
        <v>8442370</v>
      </c>
    </row>
    <row r="76" spans="1:6" ht="26" x14ac:dyDescent="0.2">
      <c r="A76" s="17" t="s">
        <v>143</v>
      </c>
      <c r="B76" s="3" t="s">
        <v>144</v>
      </c>
      <c r="C76" s="4" t="s">
        <v>140</v>
      </c>
      <c r="D76" s="5">
        <v>60</v>
      </c>
      <c r="E76" s="6">
        <f>ROUND('[1]6.2.3-R03'!F26,0)</f>
        <v>51599</v>
      </c>
      <c r="F76" s="18">
        <f t="shared" si="7"/>
        <v>3095940</v>
      </c>
    </row>
    <row r="77" spans="1:6" ht="26" x14ac:dyDescent="0.2">
      <c r="A77" s="17" t="s">
        <v>145</v>
      </c>
      <c r="B77" s="3" t="s">
        <v>146</v>
      </c>
      <c r="C77" s="4" t="s">
        <v>140</v>
      </c>
      <c r="D77" s="5">
        <v>2</v>
      </c>
      <c r="E77" s="6">
        <f>ROUND('[1]6.2.4-R04'!F26,0)</f>
        <v>544000</v>
      </c>
      <c r="F77" s="18">
        <f t="shared" si="7"/>
        <v>1088000</v>
      </c>
    </row>
    <row r="78" spans="1:6" ht="26" x14ac:dyDescent="0.2">
      <c r="A78" s="17" t="s">
        <v>147</v>
      </c>
      <c r="B78" s="3" t="s">
        <v>148</v>
      </c>
      <c r="C78" s="4" t="s">
        <v>140</v>
      </c>
      <c r="D78" s="5">
        <v>2</v>
      </c>
      <c r="E78" s="6">
        <f>ROUND('[1]6.2.5-R05'!F26,0)</f>
        <v>340385</v>
      </c>
      <c r="F78" s="18">
        <f t="shared" si="7"/>
        <v>680770</v>
      </c>
    </row>
    <row r="79" spans="1:6" ht="26" x14ac:dyDescent="0.2">
      <c r="A79" s="17" t="s">
        <v>149</v>
      </c>
      <c r="B79" s="3" t="s">
        <v>150</v>
      </c>
      <c r="C79" s="4" t="s">
        <v>140</v>
      </c>
      <c r="D79" s="5">
        <v>2</v>
      </c>
      <c r="E79" s="6">
        <f>ROUND('[1]6.2.6-R06'!F26,0)</f>
        <v>735301</v>
      </c>
      <c r="F79" s="18">
        <f t="shared" si="7"/>
        <v>1470602</v>
      </c>
    </row>
    <row r="80" spans="1:6" x14ac:dyDescent="0.2">
      <c r="A80" s="17" t="s">
        <v>151</v>
      </c>
      <c r="B80" s="3" t="s">
        <v>152</v>
      </c>
      <c r="C80" s="4" t="s">
        <v>66</v>
      </c>
      <c r="D80" s="5">
        <v>10</v>
      </c>
      <c r="E80" s="6">
        <f>ROUND('[1]6.2.7-R07'!F26,0)</f>
        <v>290474</v>
      </c>
      <c r="F80" s="18">
        <f t="shared" si="7"/>
        <v>2904740</v>
      </c>
    </row>
    <row r="81" spans="1:6" ht="26" x14ac:dyDescent="0.2">
      <c r="A81" s="17" t="s">
        <v>153</v>
      </c>
      <c r="B81" s="3" t="s">
        <v>154</v>
      </c>
      <c r="C81" s="4" t="s">
        <v>140</v>
      </c>
      <c r="D81" s="5">
        <v>2</v>
      </c>
      <c r="E81" s="6">
        <f>ROUND('[1]6.2.8-R08'!F26,0)</f>
        <v>217081</v>
      </c>
      <c r="F81" s="18">
        <f t="shared" si="7"/>
        <v>434162</v>
      </c>
    </row>
    <row r="82" spans="1:6" x14ac:dyDescent="0.2">
      <c r="A82" s="19"/>
      <c r="B82" s="45" t="s">
        <v>155</v>
      </c>
      <c r="C82" s="43"/>
      <c r="D82" s="43"/>
      <c r="E82" s="43"/>
      <c r="F82" s="21">
        <f>ROUND(SUM(F64:F81),0)</f>
        <v>69134630</v>
      </c>
    </row>
    <row r="83" spans="1:6" x14ac:dyDescent="0.2">
      <c r="A83" s="48" t="s">
        <v>156</v>
      </c>
      <c r="B83" s="43"/>
      <c r="C83" s="43"/>
      <c r="D83" s="43"/>
      <c r="E83" s="43"/>
      <c r="F83" s="44"/>
    </row>
    <row r="84" spans="1:6" x14ac:dyDescent="0.2">
      <c r="A84" s="42" t="s">
        <v>157</v>
      </c>
      <c r="B84" s="43"/>
      <c r="C84" s="43"/>
      <c r="D84" s="43"/>
      <c r="E84" s="43"/>
      <c r="F84" s="44"/>
    </row>
    <row r="85" spans="1:6" x14ac:dyDescent="0.2">
      <c r="A85" s="17" t="s">
        <v>158</v>
      </c>
      <c r="B85" s="3" t="s">
        <v>86</v>
      </c>
      <c r="C85" s="4" t="s">
        <v>87</v>
      </c>
      <c r="D85" s="5">
        <v>4000</v>
      </c>
      <c r="E85" s="6">
        <f>ROUND('[1]5.1-E09'!F23,0)</f>
        <v>8097</v>
      </c>
      <c r="F85" s="18">
        <f t="shared" ref="F85:F89" si="8">ROUND(D85*E85,0)</f>
        <v>32388000</v>
      </c>
    </row>
    <row r="86" spans="1:6" x14ac:dyDescent="0.2">
      <c r="A86" s="17" t="s">
        <v>159</v>
      </c>
      <c r="B86" s="3" t="s">
        <v>160</v>
      </c>
      <c r="C86" s="4" t="s">
        <v>42</v>
      </c>
      <c r="D86" s="5">
        <f>D85*0.9</f>
        <v>3600</v>
      </c>
      <c r="E86" s="6">
        <f>ROUND('[1]3.1-E06'!F26,0)</f>
        <v>78116</v>
      </c>
      <c r="F86" s="18">
        <f t="shared" si="8"/>
        <v>281217600</v>
      </c>
    </row>
    <row r="87" spans="1:6" ht="26" x14ac:dyDescent="0.2">
      <c r="A87" s="17" t="s">
        <v>161</v>
      </c>
      <c r="B87" s="3" t="s">
        <v>162</v>
      </c>
      <c r="C87" s="4" t="s">
        <v>140</v>
      </c>
      <c r="D87" s="5">
        <v>67500</v>
      </c>
      <c r="E87" s="6">
        <v>30000</v>
      </c>
      <c r="F87" s="18">
        <f t="shared" si="8"/>
        <v>2025000000</v>
      </c>
    </row>
    <row r="88" spans="1:6" ht="26" x14ac:dyDescent="0.2">
      <c r="A88" s="17" t="s">
        <v>163</v>
      </c>
      <c r="B88" s="3" t="s">
        <v>164</v>
      </c>
      <c r="C88" s="4" t="s">
        <v>87</v>
      </c>
      <c r="D88" s="5">
        <v>14800</v>
      </c>
      <c r="E88" s="6">
        <v>16100</v>
      </c>
      <c r="F88" s="18">
        <f t="shared" si="8"/>
        <v>238280000</v>
      </c>
    </row>
    <row r="89" spans="1:6" ht="26" x14ac:dyDescent="0.2">
      <c r="A89" s="17" t="s">
        <v>165</v>
      </c>
      <c r="B89" s="3" t="s">
        <v>166</v>
      </c>
      <c r="C89" s="4" t="s">
        <v>87</v>
      </c>
      <c r="D89" s="5">
        <v>13965.33</v>
      </c>
      <c r="E89" s="6">
        <v>18877</v>
      </c>
      <c r="F89" s="18">
        <f t="shared" si="8"/>
        <v>263623534</v>
      </c>
    </row>
    <row r="90" spans="1:6" x14ac:dyDescent="0.2">
      <c r="A90" s="19"/>
      <c r="B90" s="45" t="s">
        <v>167</v>
      </c>
      <c r="C90" s="43"/>
      <c r="D90" s="43"/>
      <c r="E90" s="43"/>
      <c r="F90" s="21">
        <f>ROUND(SUM(F85:F89),0)</f>
        <v>2840509134</v>
      </c>
    </row>
    <row r="91" spans="1:6" x14ac:dyDescent="0.2">
      <c r="A91" s="48" t="s">
        <v>168</v>
      </c>
      <c r="B91" s="43"/>
      <c r="C91" s="43"/>
      <c r="D91" s="43"/>
      <c r="E91" s="43"/>
      <c r="F91" s="44"/>
    </row>
    <row r="92" spans="1:6" x14ac:dyDescent="0.2">
      <c r="A92" s="42" t="s">
        <v>169</v>
      </c>
      <c r="B92" s="43"/>
      <c r="C92" s="43"/>
      <c r="D92" s="43"/>
      <c r="E92" s="43"/>
      <c r="F92" s="44"/>
    </row>
    <row r="93" spans="1:6" x14ac:dyDescent="0.2">
      <c r="A93" s="17" t="s">
        <v>170</v>
      </c>
      <c r="B93" s="3" t="s">
        <v>171</v>
      </c>
      <c r="C93" s="4" t="s">
        <v>172</v>
      </c>
      <c r="D93" s="5">
        <f>335.83+26.3</f>
        <v>362.13</v>
      </c>
      <c r="E93" s="6">
        <f>ROUND('[1]8.1.1-U01'!F20,0)</f>
        <v>107770</v>
      </c>
      <c r="F93" s="18">
        <f t="shared" ref="F93:F99" si="9">ROUND(D93*E93,0)</f>
        <v>39026750</v>
      </c>
    </row>
    <row r="94" spans="1:6" x14ac:dyDescent="0.2">
      <c r="A94" s="28" t="s">
        <v>173</v>
      </c>
      <c r="B94" s="3" t="s">
        <v>174</v>
      </c>
      <c r="C94" s="4" t="s">
        <v>45</v>
      </c>
      <c r="D94" s="9">
        <f>(D93*0.15)*0.02*7850</f>
        <v>8528.1615000000002</v>
      </c>
      <c r="E94" s="6">
        <f>ROUND('[1]2.2-E02'!F27,0)</f>
        <v>12846</v>
      </c>
      <c r="F94" s="18">
        <f t="shared" si="9"/>
        <v>109552763</v>
      </c>
    </row>
    <row r="95" spans="1:6" x14ac:dyDescent="0.2">
      <c r="A95" s="28" t="s">
        <v>175</v>
      </c>
      <c r="B95" s="3" t="s">
        <v>176</v>
      </c>
      <c r="C95" s="4" t="s">
        <v>42</v>
      </c>
      <c r="D95" s="5">
        <f>D93*0.15</f>
        <v>54.319499999999998</v>
      </c>
      <c r="E95" s="6">
        <f>ROUND('[1]5.10-E17'!F26,0)</f>
        <v>106280</v>
      </c>
      <c r="F95" s="18">
        <f t="shared" si="9"/>
        <v>5773076</v>
      </c>
    </row>
    <row r="96" spans="1:6" x14ac:dyDescent="0.2">
      <c r="A96" s="17" t="s">
        <v>177</v>
      </c>
      <c r="B96" s="3" t="s">
        <v>178</v>
      </c>
      <c r="C96" s="4" t="s">
        <v>172</v>
      </c>
      <c r="D96" s="5">
        <v>1033.0999999999999</v>
      </c>
      <c r="E96" s="6">
        <f>ROUND('[1]8.1.2-U02'!F19,0)</f>
        <v>30627</v>
      </c>
      <c r="F96" s="18">
        <f t="shared" si="9"/>
        <v>31640754</v>
      </c>
    </row>
    <row r="97" spans="1:6" x14ac:dyDescent="0.2">
      <c r="A97" s="17" t="s">
        <v>179</v>
      </c>
      <c r="B97" s="3" t="s">
        <v>180</v>
      </c>
      <c r="C97" s="4" t="s">
        <v>172</v>
      </c>
      <c r="D97" s="5">
        <v>308</v>
      </c>
      <c r="E97" s="6">
        <f>ROUND('[1]8.1.3-U03'!F19,0)</f>
        <v>45091</v>
      </c>
      <c r="F97" s="18">
        <f t="shared" si="9"/>
        <v>13888028</v>
      </c>
    </row>
    <row r="98" spans="1:6" x14ac:dyDescent="0.2">
      <c r="A98" s="17" t="s">
        <v>181</v>
      </c>
      <c r="B98" s="3" t="s">
        <v>182</v>
      </c>
      <c r="C98" s="4" t="s">
        <v>172</v>
      </c>
      <c r="D98" s="5">
        <v>196.75</v>
      </c>
      <c r="E98" s="6">
        <f>ROUND('[1]8.1.4-U04'!F20,0)</f>
        <v>407206</v>
      </c>
      <c r="F98" s="18">
        <f t="shared" si="9"/>
        <v>80117781</v>
      </c>
    </row>
    <row r="99" spans="1:6" ht="26" x14ac:dyDescent="0.2">
      <c r="A99" s="17" t="s">
        <v>183</v>
      </c>
      <c r="B99" s="3" t="s">
        <v>184</v>
      </c>
      <c r="C99" s="4" t="s">
        <v>15</v>
      </c>
      <c r="D99" s="5">
        <v>71.650000000000006</v>
      </c>
      <c r="E99" s="6">
        <f>ROUND('[1]8.1.5-U05'!F20,0)</f>
        <v>378259</v>
      </c>
      <c r="F99" s="18">
        <f t="shared" si="9"/>
        <v>27102257</v>
      </c>
    </row>
    <row r="100" spans="1:6" x14ac:dyDescent="0.2">
      <c r="A100" s="42" t="s">
        <v>185</v>
      </c>
      <c r="B100" s="43"/>
      <c r="C100" s="43"/>
      <c r="D100" s="43"/>
      <c r="E100" s="43"/>
      <c r="F100" s="44"/>
    </row>
    <row r="101" spans="1:6" ht="26" x14ac:dyDescent="0.2">
      <c r="A101" s="17" t="s">
        <v>186</v>
      </c>
      <c r="B101" s="3" t="s">
        <v>187</v>
      </c>
      <c r="C101" s="4" t="s">
        <v>15</v>
      </c>
      <c r="D101" s="5">
        <v>586</v>
      </c>
      <c r="E101" s="6">
        <f>ROUND('[1]8.2.1-U06'!F22,0)</f>
        <v>38928</v>
      </c>
      <c r="F101" s="18">
        <f t="shared" ref="F101:F105" si="10">ROUND(D101*E101,0)</f>
        <v>22811808</v>
      </c>
    </row>
    <row r="102" spans="1:6" ht="26" x14ac:dyDescent="0.2">
      <c r="A102" s="17" t="s">
        <v>188</v>
      </c>
      <c r="B102" s="3" t="s">
        <v>189</v>
      </c>
      <c r="C102" s="4" t="s">
        <v>15</v>
      </c>
      <c r="D102" s="5">
        <v>492.8</v>
      </c>
      <c r="E102" s="6">
        <f>ROUND('[1]8.2.2-U07'!F22,0)</f>
        <v>38928</v>
      </c>
      <c r="F102" s="18">
        <f t="shared" si="10"/>
        <v>19183718</v>
      </c>
    </row>
    <row r="103" spans="1:6" ht="26" x14ac:dyDescent="0.2">
      <c r="A103" s="17" t="s">
        <v>190</v>
      </c>
      <c r="B103" s="3" t="s">
        <v>191</v>
      </c>
      <c r="C103" s="4" t="s">
        <v>15</v>
      </c>
      <c r="D103" s="5">
        <v>210</v>
      </c>
      <c r="E103" s="6">
        <f>ROUND('[1]8.2.3-U08'!F22,0)</f>
        <v>356205</v>
      </c>
      <c r="F103" s="18">
        <f t="shared" si="10"/>
        <v>74803050</v>
      </c>
    </row>
    <row r="104" spans="1:6" ht="26" x14ac:dyDescent="0.2">
      <c r="A104" s="17" t="s">
        <v>192</v>
      </c>
      <c r="B104" s="3" t="s">
        <v>193</v>
      </c>
      <c r="C104" s="4" t="s">
        <v>15</v>
      </c>
      <c r="D104" s="5">
        <v>275.7</v>
      </c>
      <c r="E104" s="6">
        <f>ROUND('[1]8.2.4-U09'!F19,0)</f>
        <v>306269</v>
      </c>
      <c r="F104" s="18">
        <f t="shared" si="10"/>
        <v>84438363</v>
      </c>
    </row>
    <row r="105" spans="1:6" x14ac:dyDescent="0.2">
      <c r="A105" s="17" t="s">
        <v>194</v>
      </c>
      <c r="B105" s="3" t="s">
        <v>195</v>
      </c>
      <c r="C105" s="4" t="s">
        <v>15</v>
      </c>
      <c r="D105" s="5">
        <v>71.650000000000006</v>
      </c>
      <c r="E105" s="6">
        <f>ROUND('[1]8.2.5-U10'!F22,0)</f>
        <v>180000</v>
      </c>
      <c r="F105" s="18">
        <f t="shared" si="10"/>
        <v>12897000</v>
      </c>
    </row>
    <row r="106" spans="1:6" x14ac:dyDescent="0.2">
      <c r="A106" s="42" t="s">
        <v>196</v>
      </c>
      <c r="B106" s="43"/>
      <c r="C106" s="43"/>
      <c r="D106" s="43"/>
      <c r="E106" s="43"/>
      <c r="F106" s="44"/>
    </row>
    <row r="107" spans="1:6" ht="26" x14ac:dyDescent="0.2">
      <c r="A107" s="17" t="s">
        <v>197</v>
      </c>
      <c r="B107" s="3" t="s">
        <v>198</v>
      </c>
      <c r="C107" s="4" t="s">
        <v>15</v>
      </c>
      <c r="D107" s="5">
        <v>1289</v>
      </c>
      <c r="E107" s="6">
        <f>ROUND('[1]8.3.1-U11'!F19,0)</f>
        <v>2161</v>
      </c>
      <c r="F107" s="18">
        <f t="shared" ref="F107:F110" si="11">ROUND(D107*E107,0)</f>
        <v>2785529</v>
      </c>
    </row>
    <row r="108" spans="1:6" ht="26" x14ac:dyDescent="0.2">
      <c r="A108" s="17" t="s">
        <v>199</v>
      </c>
      <c r="B108" s="3" t="s">
        <v>200</v>
      </c>
      <c r="C108" s="4" t="s">
        <v>172</v>
      </c>
      <c r="D108" s="5">
        <v>65.599999999999994</v>
      </c>
      <c r="E108" s="6">
        <f>ROUND('[1]8.3.2-U12'!F19,0)</f>
        <v>43483</v>
      </c>
      <c r="F108" s="18">
        <f t="shared" si="11"/>
        <v>2852485</v>
      </c>
    </row>
    <row r="109" spans="1:6" x14ac:dyDescent="0.2">
      <c r="A109" s="17" t="s">
        <v>201</v>
      </c>
      <c r="B109" s="3" t="s">
        <v>202</v>
      </c>
      <c r="C109" s="4" t="s">
        <v>203</v>
      </c>
      <c r="D109" s="5">
        <v>8</v>
      </c>
      <c r="E109" s="6">
        <f>ROUND('[1]8.3.3-U13'!F19,0)</f>
        <v>848861</v>
      </c>
      <c r="F109" s="18">
        <f t="shared" si="11"/>
        <v>6790888</v>
      </c>
    </row>
    <row r="110" spans="1:6" x14ac:dyDescent="0.2">
      <c r="A110" s="17" t="s">
        <v>204</v>
      </c>
      <c r="B110" s="3" t="s">
        <v>205</v>
      </c>
      <c r="C110" s="4" t="s">
        <v>203</v>
      </c>
      <c r="D110" s="5">
        <v>8</v>
      </c>
      <c r="E110" s="6">
        <f>ROUND('[1]8.3.4-U14'!F19,0)</f>
        <v>1192659</v>
      </c>
      <c r="F110" s="18">
        <f t="shared" si="11"/>
        <v>9541272</v>
      </c>
    </row>
    <row r="111" spans="1:6" x14ac:dyDescent="0.2">
      <c r="A111" s="42" t="s">
        <v>206</v>
      </c>
      <c r="B111" s="43"/>
      <c r="C111" s="43"/>
      <c r="D111" s="43"/>
      <c r="E111" s="43"/>
      <c r="F111" s="44"/>
    </row>
    <row r="112" spans="1:6" ht="26" x14ac:dyDescent="0.2">
      <c r="A112" s="17" t="s">
        <v>207</v>
      </c>
      <c r="B112" s="3" t="s">
        <v>208</v>
      </c>
      <c r="C112" s="4" t="s">
        <v>30</v>
      </c>
      <c r="D112" s="5">
        <v>30.1</v>
      </c>
      <c r="E112" s="6">
        <f>ROUND('[1]1.5-D05'!F24,0)</f>
        <v>259429</v>
      </c>
      <c r="F112" s="18">
        <f t="shared" ref="F112:F123" si="12">ROUND(D112*E112,0)</f>
        <v>7808813</v>
      </c>
    </row>
    <row r="113" spans="1:6" ht="26" x14ac:dyDescent="0.2">
      <c r="A113" s="17" t="s">
        <v>209</v>
      </c>
      <c r="B113" s="3" t="s">
        <v>37</v>
      </c>
      <c r="C113" s="4" t="s">
        <v>30</v>
      </c>
      <c r="D113" s="5">
        <f>D112</f>
        <v>30.1</v>
      </c>
      <c r="E113" s="6">
        <f>ROUND('[1]1.8-D08'!F20,0)</f>
        <v>22274</v>
      </c>
      <c r="F113" s="18">
        <f t="shared" si="12"/>
        <v>670447</v>
      </c>
    </row>
    <row r="114" spans="1:6" x14ac:dyDescent="0.2">
      <c r="A114" s="17" t="s">
        <v>210</v>
      </c>
      <c r="B114" s="3" t="s">
        <v>211</v>
      </c>
      <c r="C114" s="4" t="s">
        <v>42</v>
      </c>
      <c r="D114" s="5">
        <v>221.85</v>
      </c>
      <c r="E114" s="6">
        <f>ROUND('[1]3.1-E06'!F26,0)</f>
        <v>78116</v>
      </c>
      <c r="F114" s="18">
        <f t="shared" si="12"/>
        <v>17330035</v>
      </c>
    </row>
    <row r="115" spans="1:6" x14ac:dyDescent="0.2">
      <c r="A115" s="17" t="s">
        <v>212</v>
      </c>
      <c r="B115" s="3" t="s">
        <v>176</v>
      </c>
      <c r="C115" s="4" t="s">
        <v>42</v>
      </c>
      <c r="D115" s="5">
        <f>78.95*0.15</f>
        <v>11.842499999999999</v>
      </c>
      <c r="E115" s="6">
        <f>ROUND('[1]5.10-E17'!F26,0)</f>
        <v>106280</v>
      </c>
      <c r="F115" s="18">
        <f t="shared" si="12"/>
        <v>1258621</v>
      </c>
    </row>
    <row r="116" spans="1:6" ht="26" x14ac:dyDescent="0.2">
      <c r="A116" s="17" t="s">
        <v>213</v>
      </c>
      <c r="B116" s="3" t="s">
        <v>214</v>
      </c>
      <c r="C116" s="4" t="s">
        <v>42</v>
      </c>
      <c r="D116" s="5">
        <f>38.8+35.14</f>
        <v>73.94</v>
      </c>
      <c r="E116" s="6">
        <f>ROUND('[1]2.1-E01'!F28,0)</f>
        <v>1542752</v>
      </c>
      <c r="F116" s="18">
        <f t="shared" si="12"/>
        <v>114071083</v>
      </c>
    </row>
    <row r="117" spans="1:6" ht="26" x14ac:dyDescent="0.2">
      <c r="A117" s="17" t="s">
        <v>215</v>
      </c>
      <c r="B117" s="3" t="s">
        <v>216</v>
      </c>
      <c r="C117" s="4" t="s">
        <v>45</v>
      </c>
      <c r="D117" s="9">
        <f>(D116)*0.02*7850</f>
        <v>11608.58</v>
      </c>
      <c r="E117" s="6">
        <f>ROUND('[1]2.2-E02'!F27,0)</f>
        <v>12846</v>
      </c>
      <c r="F117" s="18">
        <f t="shared" si="12"/>
        <v>149123819</v>
      </c>
    </row>
    <row r="118" spans="1:6" ht="26" x14ac:dyDescent="0.2">
      <c r="A118" s="17" t="s">
        <v>217</v>
      </c>
      <c r="B118" s="3" t="s">
        <v>218</v>
      </c>
      <c r="C118" s="4" t="s">
        <v>66</v>
      </c>
      <c r="D118" s="5">
        <v>26.6</v>
      </c>
      <c r="E118" s="6">
        <f>ROUND('[1]5.13-E19'!F23,0)</f>
        <v>47165</v>
      </c>
      <c r="F118" s="18">
        <f t="shared" si="12"/>
        <v>1254589</v>
      </c>
    </row>
    <row r="119" spans="1:6" ht="26" x14ac:dyDescent="0.2">
      <c r="A119" s="17" t="s">
        <v>219</v>
      </c>
      <c r="B119" s="3" t="s">
        <v>93</v>
      </c>
      <c r="C119" s="4" t="s">
        <v>42</v>
      </c>
      <c r="D119" s="5">
        <f>66.4*0.3</f>
        <v>19.920000000000002</v>
      </c>
      <c r="E119" s="6">
        <f>ROUND('[1]5.4-E11'!F28,0)</f>
        <v>78162</v>
      </c>
      <c r="F119" s="18">
        <f t="shared" si="12"/>
        <v>1556987</v>
      </c>
    </row>
    <row r="120" spans="1:6" ht="26" x14ac:dyDescent="0.2">
      <c r="A120" s="17" t="s">
        <v>220</v>
      </c>
      <c r="B120" s="3" t="s">
        <v>101</v>
      </c>
      <c r="C120" s="4" t="s">
        <v>87</v>
      </c>
      <c r="D120" s="5">
        <f>66.4*1.2</f>
        <v>79.680000000000007</v>
      </c>
      <c r="E120" s="6">
        <f>ROUND('[1]5.8-E15'!F23,0)</f>
        <v>14236</v>
      </c>
      <c r="F120" s="18">
        <f t="shared" si="12"/>
        <v>1134324</v>
      </c>
    </row>
    <row r="121" spans="1:6" ht="26" x14ac:dyDescent="0.2">
      <c r="A121" s="17" t="s">
        <v>221</v>
      </c>
      <c r="B121" s="3" t="s">
        <v>105</v>
      </c>
      <c r="C121" s="4" t="s">
        <v>42</v>
      </c>
      <c r="D121" s="5">
        <f>66.4*0.25</f>
        <v>16.600000000000001</v>
      </c>
      <c r="E121" s="6">
        <f>ROUND('[1]5.10-E17'!F26,0)</f>
        <v>106280</v>
      </c>
      <c r="F121" s="18">
        <f t="shared" si="12"/>
        <v>1764248</v>
      </c>
    </row>
    <row r="122" spans="1:6" ht="26" x14ac:dyDescent="0.2">
      <c r="A122" s="17" t="s">
        <v>222</v>
      </c>
      <c r="B122" s="3" t="s">
        <v>107</v>
      </c>
      <c r="C122" s="4" t="s">
        <v>42</v>
      </c>
      <c r="D122" s="5">
        <f>66.4*0.15</f>
        <v>9.9600000000000009</v>
      </c>
      <c r="E122" s="6">
        <f>ROUND('[1]5.11-E18'!F27,0)</f>
        <v>1276722</v>
      </c>
      <c r="F122" s="18">
        <f t="shared" si="12"/>
        <v>12716151</v>
      </c>
    </row>
    <row r="123" spans="1:6" ht="26" x14ac:dyDescent="0.2">
      <c r="A123" s="17" t="s">
        <v>223</v>
      </c>
      <c r="B123" s="3" t="s">
        <v>109</v>
      </c>
      <c r="C123" s="4" t="s">
        <v>45</v>
      </c>
      <c r="D123" s="9">
        <f>(D122)*0.02*7850</f>
        <v>1563.72</v>
      </c>
      <c r="E123" s="6">
        <f>ROUND('[1]2.2-E02'!F27,0)</f>
        <v>12846</v>
      </c>
      <c r="F123" s="18">
        <f t="shared" si="12"/>
        <v>20087547</v>
      </c>
    </row>
    <row r="124" spans="1:6" x14ac:dyDescent="0.2">
      <c r="A124" s="19"/>
      <c r="B124" s="45" t="s">
        <v>224</v>
      </c>
      <c r="C124" s="43"/>
      <c r="D124" s="43"/>
      <c r="E124" s="43"/>
      <c r="F124" s="21">
        <f>ROUND(SUM(F92:F123),0)</f>
        <v>871982186</v>
      </c>
    </row>
    <row r="125" spans="1:6" x14ac:dyDescent="0.2">
      <c r="A125" s="29"/>
      <c r="B125" s="10" t="s">
        <v>225</v>
      </c>
      <c r="C125" s="25"/>
      <c r="D125" s="26"/>
      <c r="E125" s="25"/>
      <c r="F125" s="30">
        <f>+F9+F20+F30+F38+F43+F60+F82+F90+F124</f>
        <v>27737890638</v>
      </c>
    </row>
    <row r="126" spans="1:6" x14ac:dyDescent="0.2">
      <c r="A126" s="29"/>
      <c r="B126" s="10" t="s">
        <v>226</v>
      </c>
      <c r="C126" s="25"/>
      <c r="D126" s="26"/>
      <c r="E126" s="25"/>
      <c r="F126" s="31">
        <f>ROUND(+'[1]2. Administracion'!G98,0)</f>
        <v>6916875420</v>
      </c>
    </row>
    <row r="127" spans="1:6" x14ac:dyDescent="0.2">
      <c r="A127" s="29"/>
      <c r="B127" s="10" t="s">
        <v>227</v>
      </c>
      <c r="C127" s="25"/>
      <c r="D127" s="26"/>
      <c r="E127" s="25"/>
      <c r="F127" s="31">
        <f>ROUND(+F125*0.03,0)</f>
        <v>832136719</v>
      </c>
    </row>
    <row r="128" spans="1:6" x14ac:dyDescent="0.2">
      <c r="A128" s="29"/>
      <c r="B128" s="10" t="s">
        <v>228</v>
      </c>
      <c r="C128" s="25"/>
      <c r="D128" s="26"/>
      <c r="E128" s="25"/>
      <c r="F128" s="31">
        <f>ROUND(+F125*0.04,0)</f>
        <v>1109515626</v>
      </c>
    </row>
    <row r="129" spans="1:6" x14ac:dyDescent="0.2">
      <c r="A129" s="29"/>
      <c r="B129" s="10" t="s">
        <v>229</v>
      </c>
      <c r="C129" s="25"/>
      <c r="D129" s="26"/>
      <c r="E129" s="25"/>
      <c r="F129" s="30">
        <f>ROUND(SUM(F126:F128),0)</f>
        <v>8858527765</v>
      </c>
    </row>
    <row r="130" spans="1:6" x14ac:dyDescent="0.2">
      <c r="A130" s="29"/>
      <c r="B130" s="10" t="s">
        <v>230</v>
      </c>
      <c r="C130" s="25"/>
      <c r="D130" s="26"/>
      <c r="E130" s="25"/>
      <c r="F130" s="30">
        <f>ROUND(F125+F129,0)</f>
        <v>36596418403</v>
      </c>
    </row>
    <row r="131" spans="1:6" x14ac:dyDescent="0.2">
      <c r="A131" s="29"/>
      <c r="B131" s="10" t="s">
        <v>231</v>
      </c>
      <c r="C131" s="25"/>
      <c r="D131" s="26"/>
      <c r="E131" s="25"/>
      <c r="F131" s="31">
        <f>ROUND(+F128*0.19,0)</f>
        <v>210807969</v>
      </c>
    </row>
    <row r="132" spans="1:6" ht="16" x14ac:dyDescent="0.2">
      <c r="A132" s="46" t="s">
        <v>232</v>
      </c>
      <c r="B132" s="43"/>
      <c r="C132" s="43"/>
      <c r="D132" s="43"/>
      <c r="E132" s="47"/>
      <c r="F132" s="32">
        <f>ROUND(F130+F131,0)</f>
        <v>36807226372</v>
      </c>
    </row>
    <row r="133" spans="1:6" ht="16" x14ac:dyDescent="0.2">
      <c r="A133" s="36" t="s">
        <v>233</v>
      </c>
      <c r="B133" s="37"/>
      <c r="C133" s="37"/>
      <c r="D133" s="37"/>
      <c r="E133" s="38"/>
      <c r="F133" s="32">
        <f>+'[1]9.1-PMA'!C47</f>
        <v>570200000</v>
      </c>
    </row>
    <row r="134" spans="1:6" ht="16" x14ac:dyDescent="0.2">
      <c r="A134" s="36" t="s">
        <v>234</v>
      </c>
      <c r="B134" s="37"/>
      <c r="C134" s="37"/>
      <c r="D134" s="37"/>
      <c r="E134" s="38"/>
      <c r="F134" s="32">
        <f>+'[1]9.2-PMT'!F23</f>
        <v>150475610</v>
      </c>
    </row>
    <row r="135" spans="1:6" ht="16" x14ac:dyDescent="0.2">
      <c r="A135" s="36" t="s">
        <v>235</v>
      </c>
      <c r="B135" s="37"/>
      <c r="C135" s="37"/>
      <c r="D135" s="37"/>
      <c r="E135" s="38"/>
      <c r="F135" s="32">
        <f>ROUND(F132*0.01,0)</f>
        <v>368072264</v>
      </c>
    </row>
    <row r="136" spans="1:6" ht="16" x14ac:dyDescent="0.2">
      <c r="A136" s="36"/>
      <c r="B136" s="37"/>
      <c r="C136" s="37"/>
      <c r="D136" s="37"/>
      <c r="E136" s="38"/>
      <c r="F136" s="32"/>
    </row>
    <row r="137" spans="1:6" ht="16" x14ac:dyDescent="0.2">
      <c r="A137" s="36" t="s">
        <v>236</v>
      </c>
      <c r="B137" s="37"/>
      <c r="C137" s="37"/>
      <c r="D137" s="37"/>
      <c r="E137" s="38"/>
      <c r="F137" s="32">
        <f>ROUND('[1]11.1-PREDIOS'!H41,0)</f>
        <v>4414177600</v>
      </c>
    </row>
    <row r="138" spans="1:6" ht="16" x14ac:dyDescent="0.2">
      <c r="A138" s="36" t="s">
        <v>237</v>
      </c>
      <c r="B138" s="37"/>
      <c r="C138" s="37"/>
      <c r="D138" s="37"/>
      <c r="E138" s="38"/>
      <c r="F138" s="32">
        <v>328315467</v>
      </c>
    </row>
    <row r="139" spans="1:6" x14ac:dyDescent="0.2">
      <c r="A139" s="33"/>
      <c r="B139" s="25"/>
      <c r="C139" s="25"/>
      <c r="D139" s="26"/>
      <c r="E139" s="25"/>
      <c r="F139" s="34"/>
    </row>
    <row r="140" spans="1:6" ht="17" thickBot="1" x14ac:dyDescent="0.25">
      <c r="A140" s="39" t="s">
        <v>238</v>
      </c>
      <c r="B140" s="40"/>
      <c r="C140" s="40"/>
      <c r="D140" s="40"/>
      <c r="E140" s="41"/>
      <c r="F140" s="35">
        <f>ROUND(F132++F133+F134+F135+F136+F137+F138,0)</f>
        <v>42638467313</v>
      </c>
    </row>
  </sheetData>
  <mergeCells count="34">
    <mergeCell ref="B43:E43"/>
    <mergeCell ref="A1:F1"/>
    <mergeCell ref="A2:F2"/>
    <mergeCell ref="A5:F5"/>
    <mergeCell ref="B9:E9"/>
    <mergeCell ref="A11:F11"/>
    <mergeCell ref="B20:E20"/>
    <mergeCell ref="A21:F21"/>
    <mergeCell ref="B30:E30"/>
    <mergeCell ref="A31:F31"/>
    <mergeCell ref="B38:E38"/>
    <mergeCell ref="A39:F39"/>
    <mergeCell ref="A106:F106"/>
    <mergeCell ref="A44:F44"/>
    <mergeCell ref="A62:F62"/>
    <mergeCell ref="A63:F63"/>
    <mergeCell ref="A73:F73"/>
    <mergeCell ref="B82:E82"/>
    <mergeCell ref="A83:F83"/>
    <mergeCell ref="A84:F84"/>
    <mergeCell ref="B90:E90"/>
    <mergeCell ref="A91:F91"/>
    <mergeCell ref="A92:F92"/>
    <mergeCell ref="A100:F100"/>
    <mergeCell ref="A136:E136"/>
    <mergeCell ref="A137:E137"/>
    <mergeCell ref="A138:E138"/>
    <mergeCell ref="A140:E140"/>
    <mergeCell ref="A111:F111"/>
    <mergeCell ref="B124:E124"/>
    <mergeCell ref="A132:E132"/>
    <mergeCell ref="A133:E133"/>
    <mergeCell ref="A134:E134"/>
    <mergeCell ref="A135:E1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Nando Sanchez</dc:creator>
  <cp:lastModifiedBy>ADRIAN RAFAEL PEREZ PEREZ</cp:lastModifiedBy>
  <dcterms:created xsi:type="dcterms:W3CDTF">2026-09-04T21:52:26Z</dcterms:created>
  <dcterms:modified xsi:type="dcterms:W3CDTF">2026-09-07T04:23:23Z</dcterms:modified>
</cp:coreProperties>
</file>