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 Ing Miguel Capera\Ing Miguel Capera - Rioblanco 2026\Presupuesto\05-Mayo\Pavimentación registraduria\"/>
    </mc:Choice>
  </mc:AlternateContent>
  <xr:revisionPtr revIDLastSave="0" documentId="13_ncr:1_{F460D432-7323-4276-AA9B-6531E13A3167}" xr6:coauthVersionLast="47" xr6:coauthVersionMax="47" xr10:uidLastSave="{00000000-0000-0000-0000-000000000000}"/>
  <workbookProtection workbookAlgorithmName="SHA-512" workbookHashValue="kmpeh0w0mcij3RAhhUwHz23WrZcOX5xoQUhB9/81jDihtxZujHN/2qDzG2wNsXbB2ooXsmPrDkXh8IhUiUbUpQ==" workbookSaltValue="Uqv1zioXwxcCeFaOCvEkig==" workbookSpinCount="100000" lockStructure="1"/>
  <bookViews>
    <workbookView xWindow="-108" yWindow="-108" windowWidth="23256" windowHeight="12456" xr2:uid="{1C5A7C3E-D09D-4540-A2C6-20D815536742}"/>
  </bookViews>
  <sheets>
    <sheet name="AIU" sheetId="90" r:id="rId1"/>
    <sheet name="LIST" sheetId="75" state="hidden" r:id="rId2"/>
    <sheet name="REND" sheetId="73" state="hidden" r:id="rId3"/>
    <sheet name="EQUI" sheetId="74" r:id="rId4"/>
    <sheet name="TRANS" sheetId="76" r:id="rId5"/>
    <sheet name="INS" sheetId="46" r:id="rId6"/>
    <sheet name="MO" sheetId="51" r:id="rId7"/>
    <sheet name="M. CANT." sheetId="2" r:id="rId8"/>
    <sheet name="PTO" sheetId="1" r:id="rId9"/>
    <sheet name="MED-011" sheetId="166" state="hidden" r:id="rId10"/>
    <sheet name="MED-010" sheetId="165" state="hidden" r:id="rId11"/>
    <sheet name="MED-009" sheetId="163" state="hidden" r:id="rId12"/>
    <sheet name="MED-008" sheetId="162" state="hidden" r:id="rId13"/>
    <sheet name="MED-007" sheetId="161" state="hidden" r:id="rId14"/>
    <sheet name="MED-006" sheetId="160" state="hidden" r:id="rId15"/>
    <sheet name="MED-005" sheetId="159" state="hidden" r:id="rId16"/>
    <sheet name="MED-004" sheetId="158" state="hidden" r:id="rId17"/>
    <sheet name="MED-003" sheetId="144" state="hidden" r:id="rId18"/>
    <sheet name="MED-002" sheetId="143" state="hidden" r:id="rId19"/>
    <sheet name="MED-001" sheetId="138" state="hidden" r:id="rId20"/>
    <sheet name="HS-015" sheetId="176" r:id="rId21"/>
    <sheet name="PAV-004" sheetId="175" r:id="rId22"/>
    <sheet name="PAV-003" sheetId="174" r:id="rId23"/>
    <sheet name="PAV-002" sheetId="172" state="hidden" r:id="rId24"/>
    <sheet name="PAV-006" sheetId="173" r:id="rId25"/>
    <sheet name="PAV-001" sheetId="171" r:id="rId26"/>
    <sheet name="CIE-008" sheetId="139" state="hidden" r:id="rId27"/>
    <sheet name="CIE-007" sheetId="117" state="hidden" r:id="rId28"/>
    <sheet name="CIE-006" sheetId="116" state="hidden" r:id="rId29"/>
    <sheet name="CIE-005" sheetId="113" state="hidden" r:id="rId30"/>
    <sheet name="CIE-004" sheetId="110" state="hidden" r:id="rId31"/>
    <sheet name="CIE-003" sheetId="106" state="hidden" r:id="rId32"/>
    <sheet name="CIE-002" sheetId="105" state="hidden" r:id="rId33"/>
    <sheet name="CIE-001" sheetId="103" state="hidden" r:id="rId34"/>
    <sheet name="HS-014" sheetId="142" state="hidden" r:id="rId35"/>
    <sheet name="HS-013" sheetId="127" state="hidden" r:id="rId36"/>
    <sheet name="HS-012" sheetId="126" state="hidden" r:id="rId37"/>
    <sheet name="HS-011" sheetId="115" state="hidden" r:id="rId38"/>
    <sheet name="HS-010" sheetId="114" state="hidden" r:id="rId39"/>
    <sheet name="HS-009" sheetId="102" state="hidden" r:id="rId40"/>
    <sheet name="HS-008" sheetId="101" state="hidden" r:id="rId41"/>
    <sheet name="HS-007" sheetId="99" state="hidden" r:id="rId42"/>
    <sheet name="HS-006" sheetId="100" state="hidden" r:id="rId43"/>
    <sheet name="HS-005" sheetId="98" state="hidden" r:id="rId44"/>
    <sheet name="HS-004" sheetId="97" state="hidden" r:id="rId45"/>
    <sheet name="HS-003" sheetId="96" state="hidden" r:id="rId46"/>
    <sheet name="HS-002" sheetId="95" state="hidden" r:id="rId47"/>
    <sheet name="HS-001" sheetId="94" state="hidden" r:id="rId48"/>
    <sheet name="ELC-011" sheetId="168" state="hidden" r:id="rId49"/>
    <sheet name="ELC-010" sheetId="167" state="hidden" r:id="rId50"/>
    <sheet name="ELC-009" sheetId="137" state="hidden" r:id="rId51"/>
    <sheet name="ELC-008" sheetId="111" state="hidden" r:id="rId52"/>
    <sheet name="ELC-007" sheetId="118" state="hidden" r:id="rId53"/>
    <sheet name="ELC-006" sheetId="109" state="hidden" r:id="rId54"/>
    <sheet name="ELC-005" sheetId="108" state="hidden" r:id="rId55"/>
    <sheet name="ELC-004" sheetId="107" state="hidden" r:id="rId56"/>
    <sheet name="ELC-003" sheetId="91" state="hidden" r:id="rId57"/>
    <sheet name="CMR-012" sheetId="156" state="hidden" r:id="rId58"/>
    <sheet name="CMR-011" sheetId="155" state="hidden" r:id="rId59"/>
    <sheet name="CMR-010" sheetId="154" state="hidden" r:id="rId60"/>
    <sheet name="CMR-009" sheetId="153" state="hidden" r:id="rId61"/>
    <sheet name="CMR-008" sheetId="152" state="hidden" r:id="rId62"/>
    <sheet name="CMR-007" sheetId="141" state="hidden" r:id="rId63"/>
    <sheet name="CMR-006" sheetId="140" state="hidden" r:id="rId64"/>
    <sheet name="CMR-005" sheetId="130" state="hidden" r:id="rId65"/>
    <sheet name="CMR-004" sheetId="120" state="hidden" r:id="rId66"/>
    <sheet name="CMR-002" sheetId="88" state="hidden" r:id="rId67"/>
    <sheet name="CMR-001" sheetId="89" state="hidden" r:id="rId68"/>
    <sheet name="PTA-022" sheetId="164" state="hidden" r:id="rId69"/>
    <sheet name="PTA-021" sheetId="151" state="hidden" r:id="rId70"/>
    <sheet name="PTA-020" sheetId="150" state="hidden" r:id="rId71"/>
    <sheet name="PTA-019" sheetId="149" state="hidden" r:id="rId72"/>
    <sheet name="PTA-018" sheetId="148" state="hidden" r:id="rId73"/>
    <sheet name="PTA-017" sheetId="146" state="hidden" r:id="rId74"/>
    <sheet name="PTA-016" sheetId="145" state="hidden" r:id="rId75"/>
    <sheet name="PTA-015" sheetId="136" state="hidden" r:id="rId76"/>
    <sheet name="PTA-014" sheetId="135" state="hidden" r:id="rId77"/>
    <sheet name="PTA-013" sheetId="134" state="hidden" r:id="rId78"/>
    <sheet name="PTA-012" sheetId="133" state="hidden" r:id="rId79"/>
    <sheet name="PTA-011" sheetId="132" state="hidden" r:id="rId80"/>
    <sheet name="PTA-010" sheetId="122" state="hidden" r:id="rId81"/>
    <sheet name="PTA-009" sheetId="121" state="hidden" r:id="rId82"/>
    <sheet name="PTA-008" sheetId="119" state="hidden" r:id="rId83"/>
    <sheet name="PTA-007" sheetId="112" state="hidden" r:id="rId84"/>
    <sheet name="PTA-006" sheetId="87" state="hidden" r:id="rId85"/>
    <sheet name="PTA-005" sheetId="86" state="hidden" r:id="rId86"/>
    <sheet name="PTA-004" sheetId="92" state="hidden" r:id="rId87"/>
    <sheet name="PTA-003" sheetId="85" state="hidden" r:id="rId88"/>
    <sheet name="PTA-002" sheetId="84" state="hidden" r:id="rId89"/>
    <sheet name="PTA-001" sheetId="83" state="hidden" r:id="rId90"/>
    <sheet name="P-0012" sheetId="129" r:id="rId91"/>
    <sheet name="LF-001" sheetId="104" r:id="rId92"/>
    <sheet name="P-0011" sheetId="128" r:id="rId93"/>
    <sheet name="P-0017" sheetId="170" r:id="rId94"/>
    <sheet name="P-0016" sheetId="169" r:id="rId95"/>
    <sheet name="P-0015" sheetId="157" state="hidden" r:id="rId96"/>
    <sheet name="P-0014" sheetId="147" state="hidden" r:id="rId97"/>
    <sheet name="P-0013" sheetId="131" state="hidden" r:id="rId98"/>
    <sheet name="P-0010" sheetId="125" state="hidden" r:id="rId99"/>
    <sheet name="P-0009" sheetId="124" state="hidden" r:id="rId100"/>
    <sheet name="P-0008" sheetId="123" state="hidden" r:id="rId101"/>
    <sheet name="P-0007" sheetId="93" state="hidden" r:id="rId102"/>
    <sheet name="P-0006" sheetId="81" state="hidden" r:id="rId103"/>
    <sheet name="P-0005" sheetId="80" state="hidden" r:id="rId104"/>
    <sheet name="P-0004" sheetId="79" state="hidden" r:id="rId105"/>
    <sheet name="P-0003" sheetId="78" state="hidden" r:id="rId106"/>
    <sheet name="P-0002" sheetId="77" state="hidden" r:id="rId107"/>
    <sheet name="P-0001" sheetId="4" state="hidden" r:id="rId108"/>
    <sheet name="COT. IBA" sheetId="48" state="hidden" r:id="rId109"/>
    <sheet name="COT. RIO" sheetId="50" state="hidden" r:id="rId110"/>
  </sheets>
  <definedNames>
    <definedName name="\v" hidden="1">{"'ADV&amp;DP'!$A$4:$C$25"}</definedName>
    <definedName name="_??" hidden="1">{"'?????10.27??????'!$Q$16"}</definedName>
    <definedName name="_????" hidden="1">{"'?????10.27??????'!$Q$16"}</definedName>
    <definedName name="_?????" hidden="1">{"DCF-???",#N/A,TRUE,"???";"DCF-??",#N/A,TRUE,"??";"DCF-??",#N/A,TRUE,"??";"DCF-??",#N/A,TRUE,"??";"DCF-??",#N/A,TRUE,"??";"DCF-??",#N/A,TRUE,"??";"DCF-??",#N/A,TRUE,"??";"DCF-??",#N/A,TRUE,"??";"DCF-??",#N/A,TRUE,"??"}</definedName>
    <definedName name="_??????" hidden="1">{"'?????10.27??????'!$Q$16"}</definedName>
    <definedName name="_???????" hidden="1">{"'?????10.27??????'!$Q$16"}</definedName>
    <definedName name="_??06" hidden="1">{"'?????10.27??????'!$Q$16"}</definedName>
    <definedName name="_?16??" hidden="1">{"'????'!$A$1:$C$37"}</definedName>
    <definedName name="_____________________A2" localSheetId="0" hidden="1">{#N/A,#N/A,FALSE,"Costos Productos 6A";#N/A,#N/A,FALSE,"Costo Unitario Total H-94-12"}</definedName>
    <definedName name="_____________________A2" hidden="1">{#N/A,#N/A,FALSE,"Costos Productos 6A";#N/A,#N/A,FALSE,"Costo Unitario Total H-94-12"}</definedName>
    <definedName name="____________________A2" localSheetId="0" hidden="1">{#N/A,#N/A,FALSE,"Costos Productos 6A";#N/A,#N/A,FALSE,"Costo Unitario Total H-94-12"}</definedName>
    <definedName name="____________________A2" hidden="1">{#N/A,#N/A,FALSE,"Costos Productos 6A";#N/A,#N/A,FALSE,"Costo Unitario Total H-94-12"}</definedName>
    <definedName name="___________________A2" localSheetId="0" hidden="1">{#N/A,#N/A,FALSE,"Costos Productos 6A";#N/A,#N/A,FALSE,"Costo Unitario Total H-94-12"}</definedName>
    <definedName name="___________________A2" hidden="1">{#N/A,#N/A,FALSE,"Costos Productos 6A";#N/A,#N/A,FALSE,"Costo Unitario Total H-94-12"}</definedName>
    <definedName name="__________________A2" localSheetId="0" hidden="1">{#N/A,#N/A,FALSE,"Costos Productos 6A";#N/A,#N/A,FALSE,"Costo Unitario Total H-94-12"}</definedName>
    <definedName name="__________________A2" hidden="1">{#N/A,#N/A,FALSE,"Costos Productos 6A";#N/A,#N/A,FALSE,"Costo Unitario Total H-94-12"}</definedName>
    <definedName name="_________________A2" localSheetId="0" hidden="1">{#N/A,#N/A,FALSE,"Costos Productos 6A";#N/A,#N/A,FALSE,"Costo Unitario Total H-94-12"}</definedName>
    <definedName name="_________________A2" hidden="1">{#N/A,#N/A,FALSE,"Costos Productos 6A";#N/A,#N/A,FALSE,"Costo Unitario Total H-94-12"}</definedName>
    <definedName name="________________A2" localSheetId="0" hidden="1">{#N/A,#N/A,FALSE,"Costos Productos 6A";#N/A,#N/A,FALSE,"Costo Unitario Total H-94-12"}</definedName>
    <definedName name="________________A2" hidden="1">{#N/A,#N/A,FALSE,"Costos Productos 6A";#N/A,#N/A,FALSE,"Costo Unitario Total H-94-12"}</definedName>
    <definedName name="_______________A2" localSheetId="0" hidden="1">{#N/A,#N/A,FALSE,"Costos Productos 6A";#N/A,#N/A,FALSE,"Costo Unitario Total H-94-12"}</definedName>
    <definedName name="_______________A2" hidden="1">{#N/A,#N/A,FALSE,"Costos Productos 6A";#N/A,#N/A,FALSE,"Costo Unitario Total H-94-12"}</definedName>
    <definedName name="______________A2" localSheetId="0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A2" localSheetId="0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_A2" localSheetId="0" hidden="1">{#N/A,#N/A,FALSE,"Costos Productos 6A";#N/A,#N/A,FALSE,"Costo Unitario Total H-94-12"}</definedName>
    <definedName name="____________A2" hidden="1">{#N/A,#N/A,FALSE,"Costos Productos 6A";#N/A,#N/A,FALSE,"Costo Unitario Total H-94-12"}</definedName>
    <definedName name="___________A2" localSheetId="0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A2" localSheetId="0" hidden="1">{#N/A,#N/A,FALSE,"Costos Productos 6A";#N/A,#N/A,FALSE,"Costo Unitario Total H-94-12"}</definedName>
    <definedName name="__________A2" hidden="1">{#N/A,#N/A,FALSE,"Costos Productos 6A";#N/A,#N/A,FALSE,"Costo Unitario Total H-94-12"}</definedName>
    <definedName name="___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A2" localSheetId="0" hidden="1">{#N/A,#N/A,FALSE,"Costos Productos 6A";#N/A,#N/A,FALSE,"Costo Unitario Total H-94-12"}</definedName>
    <definedName name="_________A2" hidden="1">{#N/A,#N/A,FALSE,"Costos Productos 6A";#N/A,#N/A,FALSE,"Costo Unitario Total H-94-12"}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key2" localSheetId="0" hidden="1">#REF!</definedName>
    <definedName name="_________key2" hidden="1">#REF!</definedName>
    <definedName name="________A2" localSheetId="0" hidden="1">{#N/A,#N/A,FALSE,"Costos Productos 6A";#N/A,#N/A,FALSE,"Costo Unitario Total H-94-12"}</definedName>
    <definedName name="________A2" hidden="1">{#N/A,#N/A,FALSE,"Costos Productos 6A";#N/A,#N/A,FALSE,"Costo Unitario Total H-94-12"}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key2" localSheetId="0" hidden="1">#REF!</definedName>
    <definedName name="________key2" hidden="1">#REF!</definedName>
    <definedName name="________key3" localSheetId="0" hidden="1">#REF!</definedName>
    <definedName name="________key3" hidden="1">#REF!</definedName>
    <definedName name="__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2" localSheetId="0" hidden="1">{#N/A,#N/A,FALSE,"Costos Productos 6A";#N/A,#N/A,FALSE,"Costo Unitario Total H-94-12"}</definedName>
    <definedName name="_______A2" hidden="1">{#N/A,#N/A,FALSE,"Costos Productos 6A";#N/A,#N/A,FALSE,"Costo Unitario Total H-94-12"}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DF4" hidden="1">#REF!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" localSheetId="0" hidden="1">{#N/A,#N/A,FALSE,"Costos Productos 6A";#N/A,#N/A,FALSE,"Costo Unitario Total H-94-12"}</definedName>
    <definedName name="______A2" hidden="1">{#N/A,#N/A,FALSE,"Costos Productos 6A";#N/A,#N/A,FALSE,"Costo Unitario Total H-94-12"}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DF4" hidden="1">#REF!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ew1" localSheetId="0" hidden="1">{#N/A,#N/A,FALSE,"SMT1";#N/A,#N/A,FALSE,"SMT2";#N/A,#N/A,FALSE,"Summary";#N/A,#N/A,FALSE,"Graphs";#N/A,#N/A,FALSE,"4 Panel"}</definedName>
    <definedName name="______new1" hidden="1">{#N/A,#N/A,FALSE,"SMT1";#N/A,#N/A,FALSE,"SMT2";#N/A,#N/A,FALSE,"Summary";#N/A,#N/A,FALSE,"Graphs";#N/A,#N/A,FALSE,"4 Panel"}</definedName>
    <definedName name="______new10" localSheetId="0" hidden="1">{#N/A,#N/A,FALSE,"SMT1";#N/A,#N/A,FALSE,"SMT2";#N/A,#N/A,FALSE,"Summary";#N/A,#N/A,FALSE,"Graphs";#N/A,#N/A,FALSE,"4 Panel"}</definedName>
    <definedName name="______new10" hidden="1">{#N/A,#N/A,FALSE,"SMT1";#N/A,#N/A,FALSE,"SMT2";#N/A,#N/A,FALSE,"Summary";#N/A,#N/A,FALSE,"Graphs";#N/A,#N/A,FALSE,"4 Panel"}</definedName>
    <definedName name="______new2" localSheetId="0" hidden="1">{"EVA",#N/A,FALSE,"SMT2";#N/A,#N/A,FALSE,"Summary";#N/A,#N/A,FALSE,"Graphs";#N/A,#N/A,FALSE,"4 Panel"}</definedName>
    <definedName name="______new2" hidden="1">{"EVA",#N/A,FALSE,"SMT2";#N/A,#N/A,FALSE,"Summary";#N/A,#N/A,FALSE,"Graphs";#N/A,#N/A,FALSE,"4 Panel"}</definedName>
    <definedName name="______NEW3" localSheetId="0" hidden="1">{#N/A,#N/A,FALSE,"SMT1";#N/A,#N/A,FALSE,"SMT2";#N/A,#N/A,FALSE,"Summary";#N/A,#N/A,FALSE,"Graphs";#N/A,#N/A,FALSE,"4 Panel"}</definedName>
    <definedName name="______NEW3" hidden="1">{#N/A,#N/A,FALSE,"SMT1";#N/A,#N/A,FALSE,"SMT2";#N/A,#N/A,FALSE,"Summary";#N/A,#N/A,FALSE,"Graphs";#N/A,#N/A,FALSE,"4 Panel"}</definedName>
    <definedName name="______NEW4" localSheetId="0" hidden="1">{#N/A,#N/A,FALSE,"Full";#N/A,#N/A,FALSE,"Half";#N/A,#N/A,FALSE,"Op Expenses";#N/A,#N/A,FALSE,"Cap Charge";#N/A,#N/A,FALSE,"Cost C";#N/A,#N/A,FALSE,"PP&amp;E";#N/A,#N/A,FALSE,"R&amp;D"}</definedName>
    <definedName name="______NEW4" hidden="1">{#N/A,#N/A,FALSE,"Full";#N/A,#N/A,FALSE,"Half";#N/A,#N/A,FALSE,"Op Expenses";#N/A,#N/A,FALSE,"Cap Charge";#N/A,#N/A,FALSE,"Cost C";#N/A,#N/A,FALSE,"PP&amp;E";#N/A,#N/A,FALSE,"R&amp;D"}</definedName>
    <definedName name="______no1" localSheetId="0" hidden="1">{#N/A,#N/A,FALSE,"SMT1";#N/A,#N/A,FALSE,"SMT2";#N/A,#N/A,FALSE,"Summary";#N/A,#N/A,FALSE,"Graphs";#N/A,#N/A,FALSE,"4 Panel"}</definedName>
    <definedName name="______no1" hidden="1">{#N/A,#N/A,FALSE,"SMT1";#N/A,#N/A,FALSE,"SMT2";#N/A,#N/A,FALSE,"Summary";#N/A,#N/A,FALSE,"Graphs";#N/A,#N/A,FALSE,"4 Panel"}</definedName>
    <definedName name="______no10" localSheetId="0" hidden="1">{#N/A,#N/A,FALSE,"SMT1";#N/A,#N/A,FALSE,"SMT2";#N/A,#N/A,FALSE,"Summary";#N/A,#N/A,FALSE,"Graphs";#N/A,#N/A,FALSE,"4 Panel"}</definedName>
    <definedName name="______no10" hidden="1">{#N/A,#N/A,FALSE,"SMT1";#N/A,#N/A,FALSE,"SMT2";#N/A,#N/A,FALSE,"Summary";#N/A,#N/A,FALSE,"Graphs";#N/A,#N/A,FALSE,"4 Panel"}</definedName>
    <definedName name="______no11" localSheetId="0" hidden="1">{#N/A,#N/A,FALSE,"Full";#N/A,#N/A,FALSE,"Half";#N/A,#N/A,FALSE,"Op Expenses";#N/A,#N/A,FALSE,"Cap Charge";#N/A,#N/A,FALSE,"Cost C";#N/A,#N/A,FALSE,"PP&amp;E";#N/A,#N/A,FALSE,"R&amp;D"}</definedName>
    <definedName name="______no11" hidden="1">{#N/A,#N/A,FALSE,"Full";#N/A,#N/A,FALSE,"Half";#N/A,#N/A,FALSE,"Op Expenses";#N/A,#N/A,FALSE,"Cap Charge";#N/A,#N/A,FALSE,"Cost C";#N/A,#N/A,FALSE,"PP&amp;E";#N/A,#N/A,FALSE,"R&amp;D"}</definedName>
    <definedName name="______no12" localSheetId="0" hidden="1">{#N/A,#N/A,FALSE,"SMT1";#N/A,#N/A,FALSE,"SMT2";#N/A,#N/A,FALSE,"Summary";#N/A,#N/A,FALSE,"Graphs";#N/A,#N/A,FALSE,"4 Panel"}</definedName>
    <definedName name="______no12" hidden="1">{#N/A,#N/A,FALSE,"SMT1";#N/A,#N/A,FALSE,"SMT2";#N/A,#N/A,FALSE,"Summary";#N/A,#N/A,FALSE,"Graphs";#N/A,#N/A,FALSE,"4 Panel"}</definedName>
    <definedName name="______no13" localSheetId="0" hidden="1">{"EVA",#N/A,FALSE,"SMT2";#N/A,#N/A,FALSE,"Summary";#N/A,#N/A,FALSE,"Graphs";#N/A,#N/A,FALSE,"4 Panel"}</definedName>
    <definedName name="______no13" hidden="1">{"EVA",#N/A,FALSE,"SMT2";#N/A,#N/A,FALSE,"Summary";#N/A,#N/A,FALSE,"Graphs";#N/A,#N/A,FALSE,"4 Panel"}</definedName>
    <definedName name="______no14" localSheetId="0" hidden="1">{#N/A,#N/A,FALSE,"Full";#N/A,#N/A,FALSE,"Half";#N/A,#N/A,FALSE,"Op Expenses";#N/A,#N/A,FALSE,"Cap Charge";#N/A,#N/A,FALSE,"Cost C";#N/A,#N/A,FALSE,"PP&amp;E";#N/A,#N/A,FALSE,"R&amp;D"}</definedName>
    <definedName name="______no14" hidden="1">{#N/A,#N/A,FALSE,"Full";#N/A,#N/A,FALSE,"Half";#N/A,#N/A,FALSE,"Op Expenses";#N/A,#N/A,FALSE,"Cap Charge";#N/A,#N/A,FALSE,"Cost C";#N/A,#N/A,FALSE,"PP&amp;E";#N/A,#N/A,FALSE,"R&amp;D"}</definedName>
    <definedName name="______no2" localSheetId="0" hidden="1">{"EVA",#N/A,FALSE,"SMT2";#N/A,#N/A,FALSE,"Summary";#N/A,#N/A,FALSE,"Graphs";#N/A,#N/A,FALSE,"4 Panel"}</definedName>
    <definedName name="______no2" hidden="1">{"EVA",#N/A,FALSE,"SMT2";#N/A,#N/A,FALSE,"Summary";#N/A,#N/A,FALSE,"Graphs";#N/A,#N/A,FALSE,"4 Panel"}</definedName>
    <definedName name="______no3" localSheetId="0" hidden="1">{#N/A,#N/A,FALSE,"SMT1";#N/A,#N/A,FALSE,"SMT2";#N/A,#N/A,FALSE,"Summary";#N/A,#N/A,FALSE,"Graphs";#N/A,#N/A,FALSE,"4 Panel"}</definedName>
    <definedName name="______no3" hidden="1">{#N/A,#N/A,FALSE,"SMT1";#N/A,#N/A,FALSE,"SMT2";#N/A,#N/A,FALSE,"Summary";#N/A,#N/A,FALSE,"Graphs";#N/A,#N/A,FALSE,"4 Panel"}</definedName>
    <definedName name="______no4" localSheetId="0" hidden="1">{#N/A,#N/A,FALSE,"SMT1";#N/A,#N/A,FALSE,"SMT2";#N/A,#N/A,FALSE,"Summary";#N/A,#N/A,FALSE,"Graphs";#N/A,#N/A,FALSE,"4 Panel"}</definedName>
    <definedName name="______no4" hidden="1">{#N/A,#N/A,FALSE,"SMT1";#N/A,#N/A,FALSE,"SMT2";#N/A,#N/A,FALSE,"Summary";#N/A,#N/A,FALSE,"Graphs";#N/A,#N/A,FALSE,"4 Panel"}</definedName>
    <definedName name="______no5" localSheetId="0" hidden="1">{#N/A,#N/A,FALSE,"Full";#N/A,#N/A,FALSE,"Half";#N/A,#N/A,FALSE,"Op Expenses";#N/A,#N/A,FALSE,"Cap Charge";#N/A,#N/A,FALSE,"Cost C";#N/A,#N/A,FALSE,"PP&amp;E";#N/A,#N/A,FALSE,"R&amp;D"}</definedName>
    <definedName name="______no5" hidden="1">{#N/A,#N/A,FALSE,"Full";#N/A,#N/A,FALSE,"Half";#N/A,#N/A,FALSE,"Op Expenses";#N/A,#N/A,FALSE,"Cap Charge";#N/A,#N/A,FALSE,"Cost C";#N/A,#N/A,FALSE,"PP&amp;E";#N/A,#N/A,FALSE,"R&amp;D"}</definedName>
    <definedName name="______no6" localSheetId="0" hidden="1">{"EVA",#N/A,FALSE,"SMT2";#N/A,#N/A,FALSE,"Summary";#N/A,#N/A,FALSE,"Graphs";#N/A,#N/A,FALSE,"4 Panel"}</definedName>
    <definedName name="______no6" hidden="1">{"EVA",#N/A,FALSE,"SMT2";#N/A,#N/A,FALSE,"Summary";#N/A,#N/A,FALSE,"Graphs";#N/A,#N/A,FALSE,"4 Panel"}</definedName>
    <definedName name="______no7" localSheetId="0" hidden="1">{"EVA",#N/A,FALSE,"SMT2";#N/A,#N/A,FALSE,"Summary";#N/A,#N/A,FALSE,"Graphs";#N/A,#N/A,FALSE,"4 Panel"}</definedName>
    <definedName name="______no7" hidden="1">{"EVA",#N/A,FALSE,"SMT2";#N/A,#N/A,FALSE,"Summary";#N/A,#N/A,FALSE,"Graphs";#N/A,#N/A,FALSE,"4 Panel"}</definedName>
    <definedName name="______no8" localSheetId="0" hidden="1">{"EVA",#N/A,FALSE,"SMT2";#N/A,#N/A,FALSE,"Summary";#N/A,#N/A,FALSE,"Graphs";#N/A,#N/A,FALSE,"4 Panel"}</definedName>
    <definedName name="______no8" hidden="1">{"EVA",#N/A,FALSE,"SMT2";#N/A,#N/A,FALSE,"Summary";#N/A,#N/A,FALSE,"Graphs";#N/A,#N/A,FALSE,"4 Panel"}</definedName>
    <definedName name="______no9" localSheetId="0" hidden="1">{"EVA",#N/A,FALSE,"SMT2";#N/A,#N/A,FALSE,"Summary";#N/A,#N/A,FALSE,"Graphs";#N/A,#N/A,FALSE,"4 Panel"}</definedName>
    <definedName name="______no9" hidden="1">{"EVA",#N/A,FALSE,"SMT2";#N/A,#N/A,FALSE,"Summary";#N/A,#N/A,FALSE,"Graphs";#N/A,#N/A,FALSE,"4 Panel"}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2" localSheetId="0" hidden="1">{#N/A,#N/A,FALSE,"Costos Productos 6A";#N/A,#N/A,FALSE,"Costo Unitario Total H-94-12"}</definedName>
    <definedName name="_____A2" hidden="1">{#N/A,#N/A,FALSE,"Costos Productos 6A";#N/A,#N/A,FALSE,"Costo Unitario Total H-94-12"}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0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0" hidden="1">{#N/A,#N/A,TRUE,"1842CWN0"}</definedName>
    <definedName name="_____ABC1" hidden="1">{#N/A,#N/A,TRUE,"1842CWN0"}</definedName>
    <definedName name="_____abc2" localSheetId="0" hidden="1">{#N/A,#N/A,TRUE,"1842CWN0"}</definedName>
    <definedName name="_____abc2" hidden="1">{#N/A,#N/A,TRUE,"1842CWN0"}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DF4" hidden="1">#REF!</definedName>
    <definedName name="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ew1" localSheetId="0" hidden="1">{#N/A,#N/A,FALSE,"SMT1";#N/A,#N/A,FALSE,"SMT2";#N/A,#N/A,FALSE,"Summary";#N/A,#N/A,FALSE,"Graphs";#N/A,#N/A,FALSE,"4 Panel"}</definedName>
    <definedName name="_____new1" hidden="1">{#N/A,#N/A,FALSE,"SMT1";#N/A,#N/A,FALSE,"SMT2";#N/A,#N/A,FALSE,"Summary";#N/A,#N/A,FALSE,"Graphs";#N/A,#N/A,FALSE,"4 Panel"}</definedName>
    <definedName name="_____new10" localSheetId="0" hidden="1">{#N/A,#N/A,FALSE,"SMT1";#N/A,#N/A,FALSE,"SMT2";#N/A,#N/A,FALSE,"Summary";#N/A,#N/A,FALSE,"Graphs";#N/A,#N/A,FALSE,"4 Panel"}</definedName>
    <definedName name="_____new10" hidden="1">{#N/A,#N/A,FALSE,"SMT1";#N/A,#N/A,FALSE,"SMT2";#N/A,#N/A,FALSE,"Summary";#N/A,#N/A,FALSE,"Graphs";#N/A,#N/A,FALSE,"4 Panel"}</definedName>
    <definedName name="_____new2" localSheetId="0" hidden="1">{"EVA",#N/A,FALSE,"SMT2";#N/A,#N/A,FALSE,"Summary";#N/A,#N/A,FALSE,"Graphs";#N/A,#N/A,FALSE,"4 Panel"}</definedName>
    <definedName name="_____new2" hidden="1">{"EVA",#N/A,FALSE,"SMT2";#N/A,#N/A,FALSE,"Summary";#N/A,#N/A,FALSE,"Graphs";#N/A,#N/A,FALSE,"4 Panel"}</definedName>
    <definedName name="_____NEW3" localSheetId="0" hidden="1">{#N/A,#N/A,FALSE,"SMT1";#N/A,#N/A,FALSE,"SMT2";#N/A,#N/A,FALSE,"Summary";#N/A,#N/A,FALSE,"Graphs";#N/A,#N/A,FALSE,"4 Panel"}</definedName>
    <definedName name="_____NEW3" hidden="1">{#N/A,#N/A,FALSE,"SMT1";#N/A,#N/A,FALSE,"SMT2";#N/A,#N/A,FALSE,"Summary";#N/A,#N/A,FALSE,"Graphs";#N/A,#N/A,FALSE,"4 Panel"}</definedName>
    <definedName name="_____NEW4" localSheetId="0" hidden="1">{#N/A,#N/A,FALSE,"Full";#N/A,#N/A,FALSE,"Half";#N/A,#N/A,FALSE,"Op Expenses";#N/A,#N/A,FALSE,"Cap Charge";#N/A,#N/A,FALSE,"Cost C";#N/A,#N/A,FALSE,"PP&amp;E";#N/A,#N/A,FALSE,"R&amp;D"}</definedName>
    <definedName name="_____NEW4" hidden="1">{#N/A,#N/A,FALSE,"Full";#N/A,#N/A,FALSE,"Half";#N/A,#N/A,FALSE,"Op Expenses";#N/A,#N/A,FALSE,"Cap Charge";#N/A,#N/A,FALSE,"Cost C";#N/A,#N/A,FALSE,"PP&amp;E";#N/A,#N/A,FALSE,"R&amp;D"}</definedName>
    <definedName name="_____no1" localSheetId="0" hidden="1">{#N/A,#N/A,FALSE,"SMT1";#N/A,#N/A,FALSE,"SMT2";#N/A,#N/A,FALSE,"Summary";#N/A,#N/A,FALSE,"Graphs";#N/A,#N/A,FALSE,"4 Panel"}</definedName>
    <definedName name="_____no1" hidden="1">{#N/A,#N/A,FALSE,"SMT1";#N/A,#N/A,FALSE,"SMT2";#N/A,#N/A,FALSE,"Summary";#N/A,#N/A,FALSE,"Graphs";#N/A,#N/A,FALSE,"4 Panel"}</definedName>
    <definedName name="_____no10" localSheetId="0" hidden="1">{#N/A,#N/A,FALSE,"SMT1";#N/A,#N/A,FALSE,"SMT2";#N/A,#N/A,FALSE,"Summary";#N/A,#N/A,FALSE,"Graphs";#N/A,#N/A,FALSE,"4 Panel"}</definedName>
    <definedName name="_____no10" hidden="1">{#N/A,#N/A,FALSE,"SMT1";#N/A,#N/A,FALSE,"SMT2";#N/A,#N/A,FALSE,"Summary";#N/A,#N/A,FALSE,"Graphs";#N/A,#N/A,FALSE,"4 Panel"}</definedName>
    <definedName name="_____no11" localSheetId="0" hidden="1">{#N/A,#N/A,FALSE,"Full";#N/A,#N/A,FALSE,"Half";#N/A,#N/A,FALSE,"Op Expenses";#N/A,#N/A,FALSE,"Cap Charge";#N/A,#N/A,FALSE,"Cost C";#N/A,#N/A,FALSE,"PP&amp;E";#N/A,#N/A,FALSE,"R&amp;D"}</definedName>
    <definedName name="_____no11" hidden="1">{#N/A,#N/A,FALSE,"Full";#N/A,#N/A,FALSE,"Half";#N/A,#N/A,FALSE,"Op Expenses";#N/A,#N/A,FALSE,"Cap Charge";#N/A,#N/A,FALSE,"Cost C";#N/A,#N/A,FALSE,"PP&amp;E";#N/A,#N/A,FALSE,"R&amp;D"}</definedName>
    <definedName name="_____no12" localSheetId="0" hidden="1">{#N/A,#N/A,FALSE,"SMT1";#N/A,#N/A,FALSE,"SMT2";#N/A,#N/A,FALSE,"Summary";#N/A,#N/A,FALSE,"Graphs";#N/A,#N/A,FALSE,"4 Panel"}</definedName>
    <definedName name="_____no12" hidden="1">{#N/A,#N/A,FALSE,"SMT1";#N/A,#N/A,FALSE,"SMT2";#N/A,#N/A,FALSE,"Summary";#N/A,#N/A,FALSE,"Graphs";#N/A,#N/A,FALSE,"4 Panel"}</definedName>
    <definedName name="_____no13" localSheetId="0" hidden="1">{"EVA",#N/A,FALSE,"SMT2";#N/A,#N/A,FALSE,"Summary";#N/A,#N/A,FALSE,"Graphs";#N/A,#N/A,FALSE,"4 Panel"}</definedName>
    <definedName name="_____no13" hidden="1">{"EVA",#N/A,FALSE,"SMT2";#N/A,#N/A,FALSE,"Summary";#N/A,#N/A,FALSE,"Graphs";#N/A,#N/A,FALSE,"4 Panel"}</definedName>
    <definedName name="_____no14" localSheetId="0" hidden="1">{#N/A,#N/A,FALSE,"Full";#N/A,#N/A,FALSE,"Half";#N/A,#N/A,FALSE,"Op Expenses";#N/A,#N/A,FALSE,"Cap Charge";#N/A,#N/A,FALSE,"Cost C";#N/A,#N/A,FALSE,"PP&amp;E";#N/A,#N/A,FALSE,"R&amp;D"}</definedName>
    <definedName name="_____no14" hidden="1">{#N/A,#N/A,FALSE,"Full";#N/A,#N/A,FALSE,"Half";#N/A,#N/A,FALSE,"Op Expenses";#N/A,#N/A,FALSE,"Cap Charge";#N/A,#N/A,FALSE,"Cost C";#N/A,#N/A,FALSE,"PP&amp;E";#N/A,#N/A,FALSE,"R&amp;D"}</definedName>
    <definedName name="_____no2" localSheetId="0" hidden="1">{"EVA",#N/A,FALSE,"SMT2";#N/A,#N/A,FALSE,"Summary";#N/A,#N/A,FALSE,"Graphs";#N/A,#N/A,FALSE,"4 Panel"}</definedName>
    <definedName name="_____no2" hidden="1">{"EVA",#N/A,FALSE,"SMT2";#N/A,#N/A,FALSE,"Summary";#N/A,#N/A,FALSE,"Graphs";#N/A,#N/A,FALSE,"4 Panel"}</definedName>
    <definedName name="_____no3" localSheetId="0" hidden="1">{#N/A,#N/A,FALSE,"SMT1";#N/A,#N/A,FALSE,"SMT2";#N/A,#N/A,FALSE,"Summary";#N/A,#N/A,FALSE,"Graphs";#N/A,#N/A,FALSE,"4 Panel"}</definedName>
    <definedName name="_____no3" hidden="1">{#N/A,#N/A,FALSE,"SMT1";#N/A,#N/A,FALSE,"SMT2";#N/A,#N/A,FALSE,"Summary";#N/A,#N/A,FALSE,"Graphs";#N/A,#N/A,FALSE,"4 Panel"}</definedName>
    <definedName name="_____no4" localSheetId="0" hidden="1">{#N/A,#N/A,FALSE,"SMT1";#N/A,#N/A,FALSE,"SMT2";#N/A,#N/A,FALSE,"Summary";#N/A,#N/A,FALSE,"Graphs";#N/A,#N/A,FALSE,"4 Panel"}</definedName>
    <definedName name="_____no4" hidden="1">{#N/A,#N/A,FALSE,"SMT1";#N/A,#N/A,FALSE,"SMT2";#N/A,#N/A,FALSE,"Summary";#N/A,#N/A,FALSE,"Graphs";#N/A,#N/A,FALSE,"4 Panel"}</definedName>
    <definedName name="_____no5" localSheetId="0" hidden="1">{#N/A,#N/A,FALSE,"Full";#N/A,#N/A,FALSE,"Half";#N/A,#N/A,FALSE,"Op Expenses";#N/A,#N/A,FALSE,"Cap Charge";#N/A,#N/A,FALSE,"Cost C";#N/A,#N/A,FALSE,"PP&amp;E";#N/A,#N/A,FALSE,"R&amp;D"}</definedName>
    <definedName name="_____no5" hidden="1">{#N/A,#N/A,FALSE,"Full";#N/A,#N/A,FALSE,"Half";#N/A,#N/A,FALSE,"Op Expenses";#N/A,#N/A,FALSE,"Cap Charge";#N/A,#N/A,FALSE,"Cost C";#N/A,#N/A,FALSE,"PP&amp;E";#N/A,#N/A,FALSE,"R&amp;D"}</definedName>
    <definedName name="_____no6" localSheetId="0" hidden="1">{"EVA",#N/A,FALSE,"SMT2";#N/A,#N/A,FALSE,"Summary";#N/A,#N/A,FALSE,"Graphs";#N/A,#N/A,FALSE,"4 Panel"}</definedName>
    <definedName name="_____no6" hidden="1">{"EVA",#N/A,FALSE,"SMT2";#N/A,#N/A,FALSE,"Summary";#N/A,#N/A,FALSE,"Graphs";#N/A,#N/A,FALSE,"4 Panel"}</definedName>
    <definedName name="_____no7" localSheetId="0" hidden="1">{"EVA",#N/A,FALSE,"SMT2";#N/A,#N/A,FALSE,"Summary";#N/A,#N/A,FALSE,"Graphs";#N/A,#N/A,FALSE,"4 Panel"}</definedName>
    <definedName name="_____no7" hidden="1">{"EVA",#N/A,FALSE,"SMT2";#N/A,#N/A,FALSE,"Summary";#N/A,#N/A,FALSE,"Graphs";#N/A,#N/A,FALSE,"4 Panel"}</definedName>
    <definedName name="_____no8" localSheetId="0" hidden="1">{"EVA",#N/A,FALSE,"SMT2";#N/A,#N/A,FALSE,"Summary";#N/A,#N/A,FALSE,"Graphs";#N/A,#N/A,FALSE,"4 Panel"}</definedName>
    <definedName name="_____no8" hidden="1">{"EVA",#N/A,FALSE,"SMT2";#N/A,#N/A,FALSE,"Summary";#N/A,#N/A,FALSE,"Graphs";#N/A,#N/A,FALSE,"4 Panel"}</definedName>
    <definedName name="_____no9" localSheetId="0" hidden="1">{"EVA",#N/A,FALSE,"SMT2";#N/A,#N/A,FALSE,"Summary";#N/A,#N/A,FALSE,"Graphs";#N/A,#N/A,FALSE,"4 Panel"}</definedName>
    <definedName name="_____no9" hidden="1">{"EVA",#N/A,FALSE,"SMT2";#N/A,#N/A,FALSE,"Summary";#N/A,#N/A,FALSE,"Graphs";#N/A,#N/A,FALSE,"4 Panel"}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" localSheetId="0" hidden="1">{#N/A,#N/A,FALSE,"Costos Productos 6A";#N/A,#N/A,FALSE,"Costo Unitario Total H-94-12"}</definedName>
    <definedName name="____A2" hidden="1">{#N/A,#N/A,FALSE,"Costos Productos 6A";#N/A,#N/A,FALSE,"Costo Unitario Total H-94-12"}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DF4" hidden="1">#REF!</definedName>
    <definedName name="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ew1" localSheetId="0" hidden="1">{#N/A,#N/A,FALSE,"SMT1";#N/A,#N/A,FALSE,"SMT2";#N/A,#N/A,FALSE,"Summary";#N/A,#N/A,FALSE,"Graphs";#N/A,#N/A,FALSE,"4 Panel"}</definedName>
    <definedName name="____new1" hidden="1">{#N/A,#N/A,FALSE,"SMT1";#N/A,#N/A,FALSE,"SMT2";#N/A,#N/A,FALSE,"Summary";#N/A,#N/A,FALSE,"Graphs";#N/A,#N/A,FALSE,"4 Panel"}</definedName>
    <definedName name="____new10" localSheetId="0" hidden="1">{#N/A,#N/A,FALSE,"SMT1";#N/A,#N/A,FALSE,"SMT2";#N/A,#N/A,FALSE,"Summary";#N/A,#N/A,FALSE,"Graphs";#N/A,#N/A,FALSE,"4 Panel"}</definedName>
    <definedName name="____new10" hidden="1">{#N/A,#N/A,FALSE,"SMT1";#N/A,#N/A,FALSE,"SMT2";#N/A,#N/A,FALSE,"Summary";#N/A,#N/A,FALSE,"Graphs";#N/A,#N/A,FALSE,"4 Panel"}</definedName>
    <definedName name="____new2" localSheetId="0" hidden="1">{"EVA",#N/A,FALSE,"SMT2";#N/A,#N/A,FALSE,"Summary";#N/A,#N/A,FALSE,"Graphs";#N/A,#N/A,FALSE,"4 Panel"}</definedName>
    <definedName name="____new2" hidden="1">{"EVA",#N/A,FALSE,"SMT2";#N/A,#N/A,FALSE,"Summary";#N/A,#N/A,FALSE,"Graphs";#N/A,#N/A,FALSE,"4 Panel"}</definedName>
    <definedName name="____NEW3" localSheetId="0" hidden="1">{#N/A,#N/A,FALSE,"SMT1";#N/A,#N/A,FALSE,"SMT2";#N/A,#N/A,FALSE,"Summary";#N/A,#N/A,FALSE,"Graphs";#N/A,#N/A,FALSE,"4 Panel"}</definedName>
    <definedName name="____NEW3" hidden="1">{#N/A,#N/A,FALSE,"SMT1";#N/A,#N/A,FALSE,"SMT2";#N/A,#N/A,FALSE,"Summary";#N/A,#N/A,FALSE,"Graphs";#N/A,#N/A,FALSE,"4 Panel"}</definedName>
    <definedName name="____NEW4" localSheetId="0" hidden="1">{#N/A,#N/A,FALSE,"Full";#N/A,#N/A,FALSE,"Half";#N/A,#N/A,FALSE,"Op Expenses";#N/A,#N/A,FALSE,"Cap Charge";#N/A,#N/A,FALSE,"Cost C";#N/A,#N/A,FALSE,"PP&amp;E";#N/A,#N/A,FALSE,"R&amp;D"}</definedName>
    <definedName name="____NEW4" hidden="1">{#N/A,#N/A,FALSE,"Full";#N/A,#N/A,FALSE,"Half";#N/A,#N/A,FALSE,"Op Expenses";#N/A,#N/A,FALSE,"Cap Charge";#N/A,#N/A,FALSE,"Cost C";#N/A,#N/A,FALSE,"PP&amp;E";#N/A,#N/A,FALSE,"R&amp;D"}</definedName>
    <definedName name="____no1" localSheetId="0" hidden="1">{#N/A,#N/A,FALSE,"SMT1";#N/A,#N/A,FALSE,"SMT2";#N/A,#N/A,FALSE,"Summary";#N/A,#N/A,FALSE,"Graphs";#N/A,#N/A,FALSE,"4 Panel"}</definedName>
    <definedName name="____no1" hidden="1">{#N/A,#N/A,FALSE,"SMT1";#N/A,#N/A,FALSE,"SMT2";#N/A,#N/A,FALSE,"Summary";#N/A,#N/A,FALSE,"Graphs";#N/A,#N/A,FALSE,"4 Panel"}</definedName>
    <definedName name="____no10" localSheetId="0" hidden="1">{#N/A,#N/A,FALSE,"SMT1";#N/A,#N/A,FALSE,"SMT2";#N/A,#N/A,FALSE,"Summary";#N/A,#N/A,FALSE,"Graphs";#N/A,#N/A,FALSE,"4 Panel"}</definedName>
    <definedName name="____no10" hidden="1">{#N/A,#N/A,FALSE,"SMT1";#N/A,#N/A,FALSE,"SMT2";#N/A,#N/A,FALSE,"Summary";#N/A,#N/A,FALSE,"Graphs";#N/A,#N/A,FALSE,"4 Panel"}</definedName>
    <definedName name="____no11" localSheetId="0" hidden="1">{#N/A,#N/A,FALSE,"Full";#N/A,#N/A,FALSE,"Half";#N/A,#N/A,FALSE,"Op Expenses";#N/A,#N/A,FALSE,"Cap Charge";#N/A,#N/A,FALSE,"Cost C";#N/A,#N/A,FALSE,"PP&amp;E";#N/A,#N/A,FALSE,"R&amp;D"}</definedName>
    <definedName name="____no11" hidden="1">{#N/A,#N/A,FALSE,"Full";#N/A,#N/A,FALSE,"Half";#N/A,#N/A,FALSE,"Op Expenses";#N/A,#N/A,FALSE,"Cap Charge";#N/A,#N/A,FALSE,"Cost C";#N/A,#N/A,FALSE,"PP&amp;E";#N/A,#N/A,FALSE,"R&amp;D"}</definedName>
    <definedName name="____no12" localSheetId="0" hidden="1">{#N/A,#N/A,FALSE,"SMT1";#N/A,#N/A,FALSE,"SMT2";#N/A,#N/A,FALSE,"Summary";#N/A,#N/A,FALSE,"Graphs";#N/A,#N/A,FALSE,"4 Panel"}</definedName>
    <definedName name="____no12" hidden="1">{#N/A,#N/A,FALSE,"SMT1";#N/A,#N/A,FALSE,"SMT2";#N/A,#N/A,FALSE,"Summary";#N/A,#N/A,FALSE,"Graphs";#N/A,#N/A,FALSE,"4 Panel"}</definedName>
    <definedName name="____no13" localSheetId="0" hidden="1">{"EVA",#N/A,FALSE,"SMT2";#N/A,#N/A,FALSE,"Summary";#N/A,#N/A,FALSE,"Graphs";#N/A,#N/A,FALSE,"4 Panel"}</definedName>
    <definedName name="____no13" hidden="1">{"EVA",#N/A,FALSE,"SMT2";#N/A,#N/A,FALSE,"Summary";#N/A,#N/A,FALSE,"Graphs";#N/A,#N/A,FALSE,"4 Panel"}</definedName>
    <definedName name="____no14" localSheetId="0" hidden="1">{#N/A,#N/A,FALSE,"Full";#N/A,#N/A,FALSE,"Half";#N/A,#N/A,FALSE,"Op Expenses";#N/A,#N/A,FALSE,"Cap Charge";#N/A,#N/A,FALSE,"Cost C";#N/A,#N/A,FALSE,"PP&amp;E";#N/A,#N/A,FALSE,"R&amp;D"}</definedName>
    <definedName name="____no14" hidden="1">{#N/A,#N/A,FALSE,"Full";#N/A,#N/A,FALSE,"Half";#N/A,#N/A,FALSE,"Op Expenses";#N/A,#N/A,FALSE,"Cap Charge";#N/A,#N/A,FALSE,"Cost C";#N/A,#N/A,FALSE,"PP&amp;E";#N/A,#N/A,FALSE,"R&amp;D"}</definedName>
    <definedName name="____no2" localSheetId="0" hidden="1">{"EVA",#N/A,FALSE,"SMT2";#N/A,#N/A,FALSE,"Summary";#N/A,#N/A,FALSE,"Graphs";#N/A,#N/A,FALSE,"4 Panel"}</definedName>
    <definedName name="____no2" hidden="1">{"EVA",#N/A,FALSE,"SMT2";#N/A,#N/A,FALSE,"Summary";#N/A,#N/A,FALSE,"Graphs";#N/A,#N/A,FALSE,"4 Panel"}</definedName>
    <definedName name="____no3" localSheetId="0" hidden="1">{#N/A,#N/A,FALSE,"SMT1";#N/A,#N/A,FALSE,"SMT2";#N/A,#N/A,FALSE,"Summary";#N/A,#N/A,FALSE,"Graphs";#N/A,#N/A,FALSE,"4 Panel"}</definedName>
    <definedName name="____no3" hidden="1">{#N/A,#N/A,FALSE,"SMT1";#N/A,#N/A,FALSE,"SMT2";#N/A,#N/A,FALSE,"Summary";#N/A,#N/A,FALSE,"Graphs";#N/A,#N/A,FALSE,"4 Panel"}</definedName>
    <definedName name="____no4" localSheetId="0" hidden="1">{#N/A,#N/A,FALSE,"SMT1";#N/A,#N/A,FALSE,"SMT2";#N/A,#N/A,FALSE,"Summary";#N/A,#N/A,FALSE,"Graphs";#N/A,#N/A,FALSE,"4 Panel"}</definedName>
    <definedName name="____no4" hidden="1">{#N/A,#N/A,FALSE,"SMT1";#N/A,#N/A,FALSE,"SMT2";#N/A,#N/A,FALSE,"Summary";#N/A,#N/A,FALSE,"Graphs";#N/A,#N/A,FALSE,"4 Panel"}</definedName>
    <definedName name="____no5" localSheetId="0" hidden="1">{#N/A,#N/A,FALSE,"Full";#N/A,#N/A,FALSE,"Half";#N/A,#N/A,FALSE,"Op Expenses";#N/A,#N/A,FALSE,"Cap Charge";#N/A,#N/A,FALSE,"Cost C";#N/A,#N/A,FALSE,"PP&amp;E";#N/A,#N/A,FALSE,"R&amp;D"}</definedName>
    <definedName name="____no5" hidden="1">{#N/A,#N/A,FALSE,"Full";#N/A,#N/A,FALSE,"Half";#N/A,#N/A,FALSE,"Op Expenses";#N/A,#N/A,FALSE,"Cap Charge";#N/A,#N/A,FALSE,"Cost C";#N/A,#N/A,FALSE,"PP&amp;E";#N/A,#N/A,FALSE,"R&amp;D"}</definedName>
    <definedName name="____no6" localSheetId="0" hidden="1">{"EVA",#N/A,FALSE,"SMT2";#N/A,#N/A,FALSE,"Summary";#N/A,#N/A,FALSE,"Graphs";#N/A,#N/A,FALSE,"4 Panel"}</definedName>
    <definedName name="____no6" hidden="1">{"EVA",#N/A,FALSE,"SMT2";#N/A,#N/A,FALSE,"Summary";#N/A,#N/A,FALSE,"Graphs";#N/A,#N/A,FALSE,"4 Panel"}</definedName>
    <definedName name="____no7" localSheetId="0" hidden="1">{"EVA",#N/A,FALSE,"SMT2";#N/A,#N/A,FALSE,"Summary";#N/A,#N/A,FALSE,"Graphs";#N/A,#N/A,FALSE,"4 Panel"}</definedName>
    <definedName name="____no7" hidden="1">{"EVA",#N/A,FALSE,"SMT2";#N/A,#N/A,FALSE,"Summary";#N/A,#N/A,FALSE,"Graphs";#N/A,#N/A,FALSE,"4 Panel"}</definedName>
    <definedName name="____no8" localSheetId="0" hidden="1">{"EVA",#N/A,FALSE,"SMT2";#N/A,#N/A,FALSE,"Summary";#N/A,#N/A,FALSE,"Graphs";#N/A,#N/A,FALSE,"4 Panel"}</definedName>
    <definedName name="____no8" hidden="1">{"EVA",#N/A,FALSE,"SMT2";#N/A,#N/A,FALSE,"Summary";#N/A,#N/A,FALSE,"Graphs";#N/A,#N/A,FALSE,"4 Panel"}</definedName>
    <definedName name="____no9" localSheetId="0" hidden="1">{"EVA",#N/A,FALSE,"SMT2";#N/A,#N/A,FALSE,"Summary";#N/A,#N/A,FALSE,"Graphs";#N/A,#N/A,FALSE,"4 Panel"}</definedName>
    <definedName name="____no9" hidden="1">{"EVA",#N/A,FALSE,"SMT2";#N/A,#N/A,FALSE,"Summary";#N/A,#N/A,FALSE,"Graphs";#N/A,#N/A,FALSE,"4 Panel"}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2" localSheetId="0" hidden="1">{#N/A,#N/A,FALSE,"Costos Productos 6A";#N/A,#N/A,FALSE,"Costo Unitario Total H-94-12"}</definedName>
    <definedName name="___A2" hidden="1">{#N/A,#N/A,FALSE,"Costos Productos 6A";#N/A,#N/A,FALSE,"Costo Unitario Total H-94-12"}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0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0" hidden="1">{#N/A,#N/A,TRUE,"1842CWN0"}</definedName>
    <definedName name="___ABC1" hidden="1">{#N/A,#N/A,TRUE,"1842CWN0"}</definedName>
    <definedName name="___abc2" localSheetId="0" hidden="1">{#N/A,#N/A,TRUE,"1842CWN0"}</definedName>
    <definedName name="___abc2" hidden="1">{#N/A,#N/A,TRUE,"1842CWN0"}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DF4" hidden="1">#REF!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10__123Graph_XGráfico_4A" localSheetId="0" hidden="1">#REF!</definedName>
    <definedName name="__10__123Graph_XGráfico_4A" hidden="1">#REF!</definedName>
    <definedName name="__11_4_0__123Grap" localSheetId="0" hidden="1">#REF!</definedName>
    <definedName name="__11_4_0__123Grap" hidden="1">#REF!</definedName>
    <definedName name="__12_4_0__123Grap" localSheetId="0" hidden="1">#REF!</definedName>
    <definedName name="__12_4_0__123Grap" hidden="1">#REF!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FACTURAC" localSheetId="0" hidden="1">#REF!</definedName>
    <definedName name="__123Graph_AFACTURAC" hidden="1">#REF!</definedName>
    <definedName name="__123Graph_AFRQACIRR" localSheetId="0" hidden="1">#REF!</definedName>
    <definedName name="__123Graph_AFRQACIRR" hidden="1">#REF!</definedName>
    <definedName name="__123Graph_AFRQACNPV" localSheetId="0" hidden="1">#REF!</definedName>
    <definedName name="__123Graph_AFRQACNPV" hidden="1">#REF!</definedName>
    <definedName name="__123Graph_AFRQACRES" localSheetId="0" hidden="1">#REF!</definedName>
    <definedName name="__123Graph_AFRQACRES" hidden="1">#REF!</definedName>
    <definedName name="__123Graph_AGraph2" localSheetId="0" hidden="1">#REF!</definedName>
    <definedName name="__123Graph_AGraph2" hidden="1">#REF!</definedName>
    <definedName name="__123Graph_AHSTGIRR" localSheetId="0" hidden="1">#REF!</definedName>
    <definedName name="__123Graph_AHSTGIRR" hidden="1">#REF!</definedName>
    <definedName name="__123Graph_AHSTGNPV" localSheetId="0" hidden="1">#REF!</definedName>
    <definedName name="__123Graph_AHSTGNPV" hidden="1">#REF!</definedName>
    <definedName name="__123Graph_AHSTGRES" localSheetId="0" hidden="1">#REF!</definedName>
    <definedName name="__123Graph_AHSTGRES" hidden="1">#REF!</definedName>
    <definedName name="__123Graph_AMAIN" localSheetId="0" hidden="1">#REF!</definedName>
    <definedName name="__123Graph_AMAIN" hidden="1">#REF!</definedName>
    <definedName name="__123Graph_B" localSheetId="0" hidden="1">#REF!</definedName>
    <definedName name="__123Graph_B" hidden="1">#REF!</definedName>
    <definedName name="__123Graph_Bcaja" localSheetId="0" hidden="1">#REF!</definedName>
    <definedName name="__123Graph_Bcaja" hidden="1">#REF!</definedName>
    <definedName name="__123Graph_BCart_AnticAdic" localSheetId="0" hidden="1">#REF!</definedName>
    <definedName name="__123Graph_BCart_AnticAdic" hidden="1">#REF!</definedName>
    <definedName name="__123Graph_BMAIN" localSheetId="0" hidden="1">#REF!</definedName>
    <definedName name="__123Graph_BMAIN" hidden="1">#REF!</definedName>
    <definedName name="__123Graph_C" localSheetId="0" hidden="1">#REF!</definedName>
    <definedName name="__123Graph_C" hidden="1">#REF!</definedName>
    <definedName name="__123Graph_Ccaja" localSheetId="0" hidden="1">#REF!</definedName>
    <definedName name="__123Graph_Ccaja" hidden="1">#REF!</definedName>
    <definedName name="__123Graph_CCart_AnticAdic" localSheetId="0" hidden="1">#REF!</definedName>
    <definedName name="__123Graph_CCart_AnticAdic" hidden="1">#REF!</definedName>
    <definedName name="__123Graph_D" localSheetId="0" hidden="1">#REF!</definedName>
    <definedName name="__123Graph_D" hidden="1">#REF!</definedName>
    <definedName name="__123Graph_Dcaja" localSheetId="0" hidden="1">#REF!</definedName>
    <definedName name="__123Graph_Dcaja" hidden="1">#REF!</definedName>
    <definedName name="__123Graph_DCart_AnticAdic" localSheetId="0" hidden="1">#REF!</definedName>
    <definedName name="__123Graph_DCart_AnticAdic" hidden="1">#REF!</definedName>
    <definedName name="__123Graph_E" localSheetId="0" hidden="1">#REF!</definedName>
    <definedName name="__123Graph_E" hidden="1">#REF!</definedName>
    <definedName name="__123Graph_ECart_AnticAdic" localSheetId="0" hidden="1">#REF!</definedName>
    <definedName name="__123Graph_ECart_AnticAdic" hidden="1">#REF!</definedName>
    <definedName name="__123Graph_F" hidden="1">#REF!</definedName>
    <definedName name="__123Graph_LBL_ACart_AnticAdic" localSheetId="0" hidden="1">#REF!</definedName>
    <definedName name="__123Graph_LBL_ACart_AnticAdic" hidden="1">#REF!</definedName>
    <definedName name="__123Graph_LBL_Ccaja" localSheetId="0" hidden="1">#REF!</definedName>
    <definedName name="__123Graph_LBL_Ccaja" hidden="1">#REF!</definedName>
    <definedName name="__123Graph_LBL_DCart_AnticAdic" localSheetId="0" hidden="1">#REF!</definedName>
    <definedName name="__123Graph_LBL_DCart_AnticAdic" hidden="1">#REF!</definedName>
    <definedName name="__123Graph_X" localSheetId="0" hidden="1">#REF!</definedName>
    <definedName name="__123Graph_X" hidden="1">#REF!</definedName>
    <definedName name="__123Graph_Xcaja" localSheetId="0" hidden="1">#REF!</definedName>
    <definedName name="__123Graph_Xcaja" hidden="1">#REF!</definedName>
    <definedName name="__123Graph_XFRQACNPV" localSheetId="0" hidden="1">#REF!</definedName>
    <definedName name="__123Graph_XFRQACNPV" hidden="1">#REF!</definedName>
    <definedName name="__123Graph_XFRQACRES" localSheetId="0" hidden="1">#REF!</definedName>
    <definedName name="__123Graph_XFRQACRES" hidden="1">#REF!</definedName>
    <definedName name="__123Graph_XMAIN" localSheetId="0" hidden="1">#REF!</definedName>
    <definedName name="__123Graph_XMAIN" hidden="1">#REF!</definedName>
    <definedName name="__16_B_0__123Graph_XGráfico" localSheetId="0" hidden="1">#REF!</definedName>
    <definedName name="__16_B_0__123Graph_XGráfico" hidden="1">#REF!</definedName>
    <definedName name="__17_B_0__123Graph_XGráfico" localSheetId="0" hidden="1">#REF!</definedName>
    <definedName name="__17_B_0__123Graph_XGráfico" hidden="1">#REF!</definedName>
    <definedName name="__19_4_0__123Grap" localSheetId="0" hidden="1">#REF!</definedName>
    <definedName name="__19_4_0__123Grap" hidden="1">#REF!</definedName>
    <definedName name="__20_4____123Grap" localSheetId="0" hidden="1">#REF!</definedName>
    <definedName name="__20_4____123Grap" hidden="1">#REF!</definedName>
    <definedName name="__4___123Graph_AGráfico_4A" localSheetId="0" hidden="1">#REF!</definedName>
    <definedName name="__4___123Graph_AGráfico_4A" hidden="1">#REF!</definedName>
    <definedName name="__5___123Graph_AGráfico_4A" localSheetId="0" hidden="1">#REF!</definedName>
    <definedName name="__5___123Graph_AGráfico_4A" hidden="1">#REF!</definedName>
    <definedName name="__5___123Graph_BGráfico_4A" localSheetId="0" hidden="1">#REF!</definedName>
    <definedName name="__5___123Graph_BGráfico_4A" hidden="1">#REF!</definedName>
    <definedName name="__6___123Graph_BGráfico_4A" localSheetId="0" hidden="1">#REF!</definedName>
    <definedName name="__6___123Graph_BGráfico_4A" hidden="1">#REF!</definedName>
    <definedName name="__6___123Graph_XGráfico_4A" localSheetId="0" hidden="1">#REF!</definedName>
    <definedName name="__6___123Graph_XGráfico_4A" hidden="1">#REF!</definedName>
    <definedName name="__7___123Graph_XGráfico_4A" localSheetId="0" hidden="1">#REF!</definedName>
    <definedName name="__7___123Graph_XGráfico_4A" hidden="1">#REF!</definedName>
    <definedName name="__7__123Graph_AGráfico_4A" localSheetId="0" hidden="1">#REF!</definedName>
    <definedName name="__7__123Graph_AGráfico_4A" hidden="1">#REF!</definedName>
    <definedName name="__8__123Graph_AGráfico_4A" localSheetId="0" hidden="1">#REF!</definedName>
    <definedName name="__8__123Graph_AGráfico_4A" hidden="1">#REF!</definedName>
    <definedName name="__8__123Graph_BGráfico_4A" localSheetId="0" hidden="1">#REF!</definedName>
    <definedName name="__8__123Graph_BGráfico_4A" hidden="1">#REF!</definedName>
    <definedName name="__9__123Graph_BGráfico_4A" localSheetId="0" hidden="1">#REF!</definedName>
    <definedName name="__9__123Graph_BGráfico_4A" hidden="1">#REF!</definedName>
    <definedName name="__9__123Graph_XGráfico_4A" localSheetId="0" hidden="1">#REF!</definedName>
    <definedName name="__9__123Graph_XGráfico_4A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2" localSheetId="0" hidden="1">{#N/A,#N/A,FALSE,"Costos Productos 6A";#N/A,#N/A,FALSE,"Costo Unitario Total H-94-12"}</definedName>
    <definedName name="__A2" hidden="1">{#N/A,#N/A,FALSE,"Costos Productos 6A";#N/A,#N/A,FALSE,"Costo Unitario Total H-94-12"}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0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0" hidden="1">{#N/A,#N/A,TRUE,"1842CWN0"}</definedName>
    <definedName name="__ABC1" hidden="1">{#N/A,#N/A,TRUE,"1842CWN0"}</definedName>
    <definedName name="__abc2" localSheetId="0" hidden="1">{#N/A,#N/A,TRUE,"1842CWN0"}</definedName>
    <definedName name="__abc2" hidden="1">{#N/A,#N/A,TRUE,"1842CWN0"}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localSheetId="0" hidden="1">#REF!</definedName>
    <definedName name="__CMU005" hidden="1">#REF!</definedName>
    <definedName name="__DF4" hidden="1">#REF!</definedName>
    <definedName name="__FDS_HYPERLINK_TOGGLE_STATE__" hidden="1">"ON"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localSheetId="0" hidden="1">{#N/A,#N/A,TRUE,"1842CWN0"}</definedName>
    <definedName name="__hhg1" hidden="1">{#N/A,#N/A,TRUE,"1842CWN0"}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tlFixup" hidden="1">TRUE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ew1" localSheetId="0" hidden="1">{#N/A,#N/A,FALSE,"SMT1";#N/A,#N/A,FALSE,"SMT2";#N/A,#N/A,FALSE,"Summary";#N/A,#N/A,FALSE,"Graphs";#N/A,#N/A,FALSE,"4 Panel"}</definedName>
    <definedName name="__new1" hidden="1">{#N/A,#N/A,FALSE,"SMT1";#N/A,#N/A,FALSE,"SMT2";#N/A,#N/A,FALSE,"Summary";#N/A,#N/A,FALSE,"Graphs";#N/A,#N/A,FALSE,"4 Panel"}</definedName>
    <definedName name="__new10" localSheetId="0" hidden="1">{#N/A,#N/A,FALSE,"SMT1";#N/A,#N/A,FALSE,"SMT2";#N/A,#N/A,FALSE,"Summary";#N/A,#N/A,FALSE,"Graphs";#N/A,#N/A,FALSE,"4 Panel"}</definedName>
    <definedName name="__new10" hidden="1">{#N/A,#N/A,FALSE,"SMT1";#N/A,#N/A,FALSE,"SMT2";#N/A,#N/A,FALSE,"Summary";#N/A,#N/A,FALSE,"Graphs";#N/A,#N/A,FALSE,"4 Panel"}</definedName>
    <definedName name="__new2" localSheetId="0" hidden="1">{"EVA",#N/A,FALSE,"SMT2";#N/A,#N/A,FALSE,"Summary";#N/A,#N/A,FALSE,"Graphs";#N/A,#N/A,FALSE,"4 Panel"}</definedName>
    <definedName name="__new2" hidden="1">{"EVA",#N/A,FALSE,"SMT2";#N/A,#N/A,FALSE,"Summary";#N/A,#N/A,FALSE,"Graphs";#N/A,#N/A,FALSE,"4 Panel"}</definedName>
    <definedName name="__NEW3" localSheetId="0" hidden="1">{#N/A,#N/A,FALSE,"SMT1";#N/A,#N/A,FALSE,"SMT2";#N/A,#N/A,FALSE,"Summary";#N/A,#N/A,FALSE,"Graphs";#N/A,#N/A,FALSE,"4 Panel"}</definedName>
    <definedName name="__NEW3" hidden="1">{#N/A,#N/A,FALSE,"SMT1";#N/A,#N/A,FALSE,"SMT2";#N/A,#N/A,FALSE,"Summary";#N/A,#N/A,FALSE,"Graphs";#N/A,#N/A,FALSE,"4 Panel"}</definedName>
    <definedName name="__NEW4" localSheetId="0" hidden="1">{#N/A,#N/A,FALSE,"Full";#N/A,#N/A,FALSE,"Half";#N/A,#N/A,FALSE,"Op Expenses";#N/A,#N/A,FALSE,"Cap Charge";#N/A,#N/A,FALSE,"Cost C";#N/A,#N/A,FALSE,"PP&amp;E";#N/A,#N/A,FALSE,"R&amp;D"}</definedName>
    <definedName name="__NEW4" hidden="1">{#N/A,#N/A,FALSE,"Full";#N/A,#N/A,FALSE,"Half";#N/A,#N/A,FALSE,"Op Expenses";#N/A,#N/A,FALSE,"Cap Charge";#N/A,#N/A,FALSE,"Cost C";#N/A,#N/A,FALSE,"PP&amp;E";#N/A,#N/A,FALSE,"R&amp;D"}</definedName>
    <definedName name="__no1" localSheetId="0" hidden="1">{#N/A,#N/A,FALSE,"SMT1";#N/A,#N/A,FALSE,"SMT2";#N/A,#N/A,FALSE,"Summary";#N/A,#N/A,FALSE,"Graphs";#N/A,#N/A,FALSE,"4 Panel"}</definedName>
    <definedName name="__no1" hidden="1">{#N/A,#N/A,FALSE,"SMT1";#N/A,#N/A,FALSE,"SMT2";#N/A,#N/A,FALSE,"Summary";#N/A,#N/A,FALSE,"Graphs";#N/A,#N/A,FALSE,"4 Panel"}</definedName>
    <definedName name="__no10" localSheetId="0" hidden="1">{#N/A,#N/A,FALSE,"SMT1";#N/A,#N/A,FALSE,"SMT2";#N/A,#N/A,FALSE,"Summary";#N/A,#N/A,FALSE,"Graphs";#N/A,#N/A,FALSE,"4 Panel"}</definedName>
    <definedName name="__no10" hidden="1">{#N/A,#N/A,FALSE,"SMT1";#N/A,#N/A,FALSE,"SMT2";#N/A,#N/A,FALSE,"Summary";#N/A,#N/A,FALSE,"Graphs";#N/A,#N/A,FALSE,"4 Panel"}</definedName>
    <definedName name="__no11" localSheetId="0" hidden="1">{#N/A,#N/A,FALSE,"Full";#N/A,#N/A,FALSE,"Half";#N/A,#N/A,FALSE,"Op Expenses";#N/A,#N/A,FALSE,"Cap Charge";#N/A,#N/A,FALSE,"Cost C";#N/A,#N/A,FALSE,"PP&amp;E";#N/A,#N/A,FALSE,"R&amp;D"}</definedName>
    <definedName name="__no11" hidden="1">{#N/A,#N/A,FALSE,"Full";#N/A,#N/A,FALSE,"Half";#N/A,#N/A,FALSE,"Op Expenses";#N/A,#N/A,FALSE,"Cap Charge";#N/A,#N/A,FALSE,"Cost C";#N/A,#N/A,FALSE,"PP&amp;E";#N/A,#N/A,FALSE,"R&amp;D"}</definedName>
    <definedName name="__no12" localSheetId="0" hidden="1">{#N/A,#N/A,FALSE,"SMT1";#N/A,#N/A,FALSE,"SMT2";#N/A,#N/A,FALSE,"Summary";#N/A,#N/A,FALSE,"Graphs";#N/A,#N/A,FALSE,"4 Panel"}</definedName>
    <definedName name="__no12" hidden="1">{#N/A,#N/A,FALSE,"SMT1";#N/A,#N/A,FALSE,"SMT2";#N/A,#N/A,FALSE,"Summary";#N/A,#N/A,FALSE,"Graphs";#N/A,#N/A,FALSE,"4 Panel"}</definedName>
    <definedName name="__no13" localSheetId="0" hidden="1">{"EVA",#N/A,FALSE,"SMT2";#N/A,#N/A,FALSE,"Summary";#N/A,#N/A,FALSE,"Graphs";#N/A,#N/A,FALSE,"4 Panel"}</definedName>
    <definedName name="__no13" hidden="1">{"EVA",#N/A,FALSE,"SMT2";#N/A,#N/A,FALSE,"Summary";#N/A,#N/A,FALSE,"Graphs";#N/A,#N/A,FALSE,"4 Panel"}</definedName>
    <definedName name="__no14" localSheetId="0" hidden="1">{#N/A,#N/A,FALSE,"Full";#N/A,#N/A,FALSE,"Half";#N/A,#N/A,FALSE,"Op Expenses";#N/A,#N/A,FALSE,"Cap Charge";#N/A,#N/A,FALSE,"Cost C";#N/A,#N/A,FALSE,"PP&amp;E";#N/A,#N/A,FALSE,"R&amp;D"}</definedName>
    <definedName name="__no14" hidden="1">{#N/A,#N/A,FALSE,"Full";#N/A,#N/A,FALSE,"Half";#N/A,#N/A,FALSE,"Op Expenses";#N/A,#N/A,FALSE,"Cap Charge";#N/A,#N/A,FALSE,"Cost C";#N/A,#N/A,FALSE,"PP&amp;E";#N/A,#N/A,FALSE,"R&amp;D"}</definedName>
    <definedName name="__no2" localSheetId="0" hidden="1">{"EVA",#N/A,FALSE,"SMT2";#N/A,#N/A,FALSE,"Summary";#N/A,#N/A,FALSE,"Graphs";#N/A,#N/A,FALSE,"4 Panel"}</definedName>
    <definedName name="__no2" hidden="1">{"EVA",#N/A,FALSE,"SMT2";#N/A,#N/A,FALSE,"Summary";#N/A,#N/A,FALSE,"Graphs";#N/A,#N/A,FALSE,"4 Panel"}</definedName>
    <definedName name="__no3" localSheetId="0" hidden="1">{#N/A,#N/A,FALSE,"SMT1";#N/A,#N/A,FALSE,"SMT2";#N/A,#N/A,FALSE,"Summary";#N/A,#N/A,FALSE,"Graphs";#N/A,#N/A,FALSE,"4 Panel"}</definedName>
    <definedName name="__no3" hidden="1">{#N/A,#N/A,FALSE,"SMT1";#N/A,#N/A,FALSE,"SMT2";#N/A,#N/A,FALSE,"Summary";#N/A,#N/A,FALSE,"Graphs";#N/A,#N/A,FALSE,"4 Panel"}</definedName>
    <definedName name="__no4" localSheetId="0" hidden="1">{#N/A,#N/A,FALSE,"SMT1";#N/A,#N/A,FALSE,"SMT2";#N/A,#N/A,FALSE,"Summary";#N/A,#N/A,FALSE,"Graphs";#N/A,#N/A,FALSE,"4 Panel"}</definedName>
    <definedName name="__no4" hidden="1">{#N/A,#N/A,FALSE,"SMT1";#N/A,#N/A,FALSE,"SMT2";#N/A,#N/A,FALSE,"Summary";#N/A,#N/A,FALSE,"Graphs";#N/A,#N/A,FALSE,"4 Panel"}</definedName>
    <definedName name="__no5" localSheetId="0" hidden="1">{#N/A,#N/A,FALSE,"Full";#N/A,#N/A,FALSE,"Half";#N/A,#N/A,FALSE,"Op Expenses";#N/A,#N/A,FALSE,"Cap Charge";#N/A,#N/A,FALSE,"Cost C";#N/A,#N/A,FALSE,"PP&amp;E";#N/A,#N/A,FALSE,"R&amp;D"}</definedName>
    <definedName name="__no5" hidden="1">{#N/A,#N/A,FALSE,"Full";#N/A,#N/A,FALSE,"Half";#N/A,#N/A,FALSE,"Op Expenses";#N/A,#N/A,FALSE,"Cap Charge";#N/A,#N/A,FALSE,"Cost C";#N/A,#N/A,FALSE,"PP&amp;E";#N/A,#N/A,FALSE,"R&amp;D"}</definedName>
    <definedName name="__no6" localSheetId="0" hidden="1">{"EVA",#N/A,FALSE,"SMT2";#N/A,#N/A,FALSE,"Summary";#N/A,#N/A,FALSE,"Graphs";#N/A,#N/A,FALSE,"4 Panel"}</definedName>
    <definedName name="__no6" hidden="1">{"EVA",#N/A,FALSE,"SMT2";#N/A,#N/A,FALSE,"Summary";#N/A,#N/A,FALSE,"Graphs";#N/A,#N/A,FALSE,"4 Panel"}</definedName>
    <definedName name="__no7" localSheetId="0" hidden="1">{"EVA",#N/A,FALSE,"SMT2";#N/A,#N/A,FALSE,"Summary";#N/A,#N/A,FALSE,"Graphs";#N/A,#N/A,FALSE,"4 Panel"}</definedName>
    <definedName name="__no7" hidden="1">{"EVA",#N/A,FALSE,"SMT2";#N/A,#N/A,FALSE,"Summary";#N/A,#N/A,FALSE,"Graphs";#N/A,#N/A,FALSE,"4 Panel"}</definedName>
    <definedName name="__no8" localSheetId="0" hidden="1">{"EVA",#N/A,FALSE,"SMT2";#N/A,#N/A,FALSE,"Summary";#N/A,#N/A,FALSE,"Graphs";#N/A,#N/A,FALSE,"4 Panel"}</definedName>
    <definedName name="__no8" hidden="1">{"EVA",#N/A,FALSE,"SMT2";#N/A,#N/A,FALSE,"Summary";#N/A,#N/A,FALSE,"Graphs";#N/A,#N/A,FALSE,"4 Panel"}</definedName>
    <definedName name="__no9" localSheetId="0" hidden="1">{"EVA",#N/A,FALSE,"SMT2";#N/A,#N/A,FALSE,"Summary";#N/A,#N/A,FALSE,"Graphs";#N/A,#N/A,FALSE,"4 Panel"}</definedName>
    <definedName name="__no9" hidden="1">{"EVA",#N/A,FALSE,"SMT2";#N/A,#N/A,FALSE,"Summary";#N/A,#N/A,FALSE,"Graphs";#N/A,#N/A,FALSE,"4 Panel"}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__123Graph_AMOF_NB" hidden="1">#REF!</definedName>
    <definedName name="_1___123Graph_AGráfico_4A" localSheetId="0" hidden="1">#REF!</definedName>
    <definedName name="_1___123Graph_AGráfico_4A" hidden="1">#REF!</definedName>
    <definedName name="_1__123Graph_ACart_Utilidad" localSheetId="0" hidden="1">#REF!</definedName>
    <definedName name="_1__123Graph_ACart_Utilidad" hidden="1">#REF!</definedName>
    <definedName name="_1__123Graph_ACHART_1" hidden="1">#REF!</definedName>
    <definedName name="_1__123Graph_AIRR_IRR" hidden="1">#REF!</definedName>
    <definedName name="_10___0_0_F" localSheetId="0" hidden="1">#REF!</definedName>
    <definedName name="_10___0_0_F" hidden="1">#REF!</definedName>
    <definedName name="_10___123Graph_AGráfico_4A" localSheetId="0" hidden="1">#REF!</definedName>
    <definedName name="_10___123Graph_AGráfico_4A" hidden="1">#REF!</definedName>
    <definedName name="_10___123Graph_XGráfico_4A" localSheetId="0" hidden="1">#REF!</definedName>
    <definedName name="_10___123Graph_XGráfico_4A" hidden="1">#REF!</definedName>
    <definedName name="_10___123Graph_XIRR_IRR" hidden="1">#REF!</definedName>
    <definedName name="_10__123Graph_ACHART_16" hidden="1">#REF!</definedName>
    <definedName name="_10__123Graph_CCHART_3" hidden="1">#REF!</definedName>
    <definedName name="_10__123Graph_XGráfico_4A" localSheetId="0" hidden="1">#REF!</definedName>
    <definedName name="_10__123Graph_XGráfico_4A" hidden="1">#REF!</definedName>
    <definedName name="_10_4____123Grap" localSheetId="0" hidden="1">#REF!</definedName>
    <definedName name="_10_4____123Grap" hidden="1">#REF!</definedName>
    <definedName name="_103__123Graph_Cｸﾞﾗﾌ_1" hidden="1">#REF!</definedName>
    <definedName name="_104__123Graph_Dｸﾞﾗﾌ_1" hidden="1">#REF!</definedName>
    <definedName name="_105__123Graph_XIRR_IRR" hidden="1">#REF!</definedName>
    <definedName name="_106__123Graph_XMOF_NB" hidden="1">#REF!</definedName>
    <definedName name="_107B_0__123Graph_XGráfico" localSheetId="0" hidden="1">#REF!</definedName>
    <definedName name="_107B_0__123Graph_XGráfico" hidden="1">#REF!</definedName>
    <definedName name="_108B_0__123Graph_XGráfico" localSheetId="0" hidden="1">#REF!</definedName>
    <definedName name="_108B_0__123Graph_XGráfico" hidden="1">#REF!</definedName>
    <definedName name="_11___123Graph_XMOF_NB" hidden="1">#REF!</definedName>
    <definedName name="_11__123Graph_ACHART_17" hidden="1">#REF!</definedName>
    <definedName name="_11__123Graph_AGráfico_4A" localSheetId="0" hidden="1">#REF!</definedName>
    <definedName name="_11__123Graph_AGráfico_4A" hidden="1">#REF!</definedName>
    <definedName name="_11__123Graph_CCHART_8" hidden="1">#REF!</definedName>
    <definedName name="_11_0_0_F" localSheetId="0" hidden="1">#REF!</definedName>
    <definedName name="_11_0_0_F" hidden="1">#REF!</definedName>
    <definedName name="_11_4_0__123Grap" localSheetId="0" hidden="1">#REF!</definedName>
    <definedName name="_11_4_0__123Grap" hidden="1">#REF!</definedName>
    <definedName name="_11B____123Graph_XGráfico" localSheetId="0" hidden="1">#REF!</definedName>
    <definedName name="_11B____123Graph_XGráfico" hidden="1">#REF!</definedName>
    <definedName name="_11B_0__123Graph_XGráfico" localSheetId="0" hidden="1">#REF!</definedName>
    <definedName name="_11B_0__123Graph_XGráfico" hidden="1">#REF!</definedName>
    <definedName name="_12__123Graph_ACHART_18" hidden="1">#REF!</definedName>
    <definedName name="_12__123Graph_AIRR_IRR" hidden="1">#REF!</definedName>
    <definedName name="_12__123Graph_BGráfico_4A" localSheetId="0" hidden="1">#REF!</definedName>
    <definedName name="_12__123Graph_BGráfico_4A" hidden="1">#REF!</definedName>
    <definedName name="_12__123Graph_DCHART_1" hidden="1">#REF!</definedName>
    <definedName name="_12_4_0__123Grap" localSheetId="0" hidden="1">#REF!</definedName>
    <definedName name="_12_4_0__123Grap" hidden="1">#REF!</definedName>
    <definedName name="_123" localSheetId="0" hidden="1">#REF!</definedName>
    <definedName name="_123" hidden="1">#REF!</definedName>
    <definedName name="_123gRAPH_a" localSheetId="0" hidden="1">#REF!</definedName>
    <definedName name="_123gRAPH_a" hidden="1">#REF!</definedName>
    <definedName name="_13__123Graph_ACHART_19" hidden="1">#REF!</definedName>
    <definedName name="_13__123Graph_AMOF_NB" hidden="1">#REF!</definedName>
    <definedName name="_13__123Graph_DCHART_8" hidden="1">#REF!</definedName>
    <definedName name="_13__123Graph_XGráfico_4A" localSheetId="0" hidden="1">#REF!</definedName>
    <definedName name="_13__123Graph_XGráfico_4A" hidden="1">#REF!</definedName>
    <definedName name="_131__123Graph_Xｸﾞﾗﾌ_1" hidden="1">#REF!</definedName>
    <definedName name="_13B____123Graph_XGráfico" localSheetId="0" hidden="1">#REF!</definedName>
    <definedName name="_13B____123Graph_XGráfico" hidden="1">#REF!</definedName>
    <definedName name="_14___123Graph_BGráfico_4A" localSheetId="0" hidden="1">#REF!</definedName>
    <definedName name="_14___123Graph_BGráfico_4A" hidden="1">#REF!</definedName>
    <definedName name="_14__123Graph_A????_1" hidden="1">#REF!</definedName>
    <definedName name="_14__123Graph_ACHART_2" hidden="1">#REF!</definedName>
    <definedName name="_14__123Graph_Aｸﾞﾗﾌ_1" hidden="1">#REF!</definedName>
    <definedName name="_14__123Graph_LBL_ACHART_3" hidden="1">#REF!</definedName>
    <definedName name="_14B_0__123Graph_XGráfico" localSheetId="0" hidden="1">#REF!</definedName>
    <definedName name="_14B_0__123Graph_XGráfico" hidden="1">#REF!</definedName>
    <definedName name="_15__123Graph_ACHART_20" hidden="1">#REF!</definedName>
    <definedName name="_15__123Graph_BIRR_IRR" hidden="1">#REF!</definedName>
    <definedName name="_15__123Graph_LBL_ACHART_4" hidden="1">#REF!</definedName>
    <definedName name="_15_4_0__123Grap" localSheetId="0" hidden="1">#REF!</definedName>
    <definedName name="_15_4_0__123Grap" hidden="1">#REF!</definedName>
    <definedName name="_16__123Graph_ACHART_3" hidden="1">#REF!</definedName>
    <definedName name="_16__123Graph_BMOF_NB" hidden="1">#REF!</definedName>
    <definedName name="_16__123Graph_LBL_BCHART_3" hidden="1">#REF!</definedName>
    <definedName name="_16_B_0__123Graph_XGráfico" localSheetId="0" hidden="1">#REF!</definedName>
    <definedName name="_16_B_0__123Graph_XGráfico" hidden="1">#REF!</definedName>
    <definedName name="_16B_0__123Graph_XGráfico" localSheetId="0" hidden="1">#REF!</definedName>
    <definedName name="_16B_0__123Graph_XGráfico" hidden="1">#REF!</definedName>
    <definedName name="_17__123Graph_ACHART_4" hidden="1">#REF!</definedName>
    <definedName name="_17__123Graph_B????_1" hidden="1">#REF!</definedName>
    <definedName name="_17__123Graph_Bｸﾞﾗﾌ_1" hidden="1">#REF!</definedName>
    <definedName name="_17__123Graph_LBL_BCHART_4" hidden="1">#REF!</definedName>
    <definedName name="_17_B_0__123Graph_XGráfico" localSheetId="0" hidden="1">#REF!</definedName>
    <definedName name="_17_B_0__123Graph_XGráfico" hidden="1">#REF!</definedName>
    <definedName name="_17B_0__123Graph_XGráfico" localSheetId="0" hidden="1">#REF!</definedName>
    <definedName name="_17B_0__123Graph_XGráfico" hidden="1">#REF!</definedName>
    <definedName name="_18___123Graph_XGráfico_4A" localSheetId="0" hidden="1">#REF!</definedName>
    <definedName name="_18___123Graph_XGráfico_4A" hidden="1">#REF!</definedName>
    <definedName name="_18__123Graph_ACHART_5" hidden="1">#REF!</definedName>
    <definedName name="_18__123Graph_C????_1" hidden="1">#REF!</definedName>
    <definedName name="_18__123Graph_Cｸﾞﾗﾌ_1" hidden="1">#REF!</definedName>
    <definedName name="_18__123Graph_LBL_CCHART_3" hidden="1">#REF!</definedName>
    <definedName name="_18_4____123Grap" localSheetId="0" hidden="1">#REF!</definedName>
    <definedName name="_18_4____123Grap" hidden="1">#REF!</definedName>
    <definedName name="_19__123Graph_ACHART_6" hidden="1">#REF!</definedName>
    <definedName name="_19__123Graph_D????_1" hidden="1">#REF!</definedName>
    <definedName name="_19__123Graph_Dｸﾞﾗﾌ_1" hidden="1">#REF!</definedName>
    <definedName name="_19__123Graph_XCHART_1" hidden="1">#REF!</definedName>
    <definedName name="_19_4_0__123Grap" localSheetId="0" hidden="1">#REF!</definedName>
    <definedName name="_19_4_0__123Grap" hidden="1">#REF!</definedName>
    <definedName name="_2_??" hidden="1">{"'?????10.27??????'!$Q$16"}</definedName>
    <definedName name="_2____123Graph_A????_1" hidden="1">#REF!</definedName>
    <definedName name="_2____123Graph_Aｸﾞﾗﾌ_1" hidden="1">#REF!</definedName>
    <definedName name="_2___123Graph_BGráfico_4A" localSheetId="0" hidden="1">#REF!</definedName>
    <definedName name="_2___123Graph_BGráfico_4A" hidden="1">#REF!</definedName>
    <definedName name="_2__123Graph_ACHART_3" hidden="1">#REF!</definedName>
    <definedName name="_2__123Graph_BCart_Utilidad" localSheetId="0" hidden="1">#REF!</definedName>
    <definedName name="_2__123Graph_BCart_Utilidad" hidden="1">#REF!</definedName>
    <definedName name="_2_0_0_F" localSheetId="0" hidden="1">#REF!</definedName>
    <definedName name="_2_0_0_F" hidden="1">#REF!</definedName>
    <definedName name="_20__123Graph_ACHART_7" hidden="1">#REF!</definedName>
    <definedName name="_20__123Graph_XCHART_3" hidden="1">#REF!</definedName>
    <definedName name="_20__123Graph_XIRR_IRR" hidden="1">#REF!</definedName>
    <definedName name="_20_4____123Grap" localSheetId="0" hidden="1">#REF!</definedName>
    <definedName name="_20_4____123Grap" hidden="1">#REF!</definedName>
    <definedName name="_20_B_0__123Graph_XGráfico" localSheetId="0" hidden="1">#REF!</definedName>
    <definedName name="_20_B_0__123Graph_XGráfico" hidden="1">#REF!</definedName>
    <definedName name="_20B____123Graph_XGráfico" localSheetId="0" hidden="1">#REF!</definedName>
    <definedName name="_20B____123Graph_XGráfico" hidden="1">#REF!</definedName>
    <definedName name="_21__123Graph_ACHART_8" hidden="1">#REF!</definedName>
    <definedName name="_21__123Graph_XCHART_4" hidden="1">#REF!</definedName>
    <definedName name="_21__123Graph_XMOF_NB" hidden="1">#REF!</definedName>
    <definedName name="_21_4_0__123Grap" localSheetId="0" hidden="1">#REF!</definedName>
    <definedName name="_21_4_0__123Grap" hidden="1">#REF!</definedName>
    <definedName name="_21B_0__123Graph_XGráfico" localSheetId="0" hidden="1">#REF!</definedName>
    <definedName name="_21B_0__123Graph_XGráfico" hidden="1">#REF!</definedName>
    <definedName name="_22__123Graph_ACHART_9" hidden="1">#REF!</definedName>
    <definedName name="_22__123Graph_AGráfico_4A" localSheetId="0" hidden="1">#REF!</definedName>
    <definedName name="_22__123Graph_AGráfico_4A" hidden="1">#REF!</definedName>
    <definedName name="_22__123Graph_X????_1" hidden="1">#REF!</definedName>
    <definedName name="_22__123Graph_XCHART_8" hidden="1">#REF!</definedName>
    <definedName name="_22__123Graph_Xｸﾞﾗﾌ_1" hidden="1">#REF!</definedName>
    <definedName name="_22_4_0__123Grap" localSheetId="0" hidden="1">#REF!</definedName>
    <definedName name="_22_4_0__123Grap" hidden="1">#REF!</definedName>
    <definedName name="_22B_0__123Graph_XGráfico" localSheetId="0" hidden="1">#REF!</definedName>
    <definedName name="_22B_0__123Graph_XGráfico" hidden="1">#REF!</definedName>
    <definedName name="_23__123Graph_BCHART_1" hidden="1">#REF!</definedName>
    <definedName name="_23B_0__123Graph_XGráfico" localSheetId="0" hidden="1">#REF!</definedName>
    <definedName name="_23B_0__123Graph_XGráfico" hidden="1">#REF!</definedName>
    <definedName name="_24__123Graph_BCHART_11" hidden="1">#REF!</definedName>
    <definedName name="_24B_0__123Graph_XGráfico" localSheetId="0" hidden="1">#REF!</definedName>
    <definedName name="_24B_0__123Graph_XGráfico" hidden="1">#REF!</definedName>
    <definedName name="_25__123Graph_BCHART_12" hidden="1">#REF!</definedName>
    <definedName name="_26__123Graph_AMOF_NB" hidden="1">#REF!</definedName>
    <definedName name="_26__123Graph_BCHART_13" hidden="1">#REF!</definedName>
    <definedName name="_26__123Graph_BGráfico_4A" localSheetId="0" hidden="1">#REF!</definedName>
    <definedName name="_26__123Graph_BGráfico_4A" hidden="1">#REF!</definedName>
    <definedName name="_26_4_0__123Grap" localSheetId="0" hidden="1">#REF!</definedName>
    <definedName name="_26_4_0__123Grap" hidden="1">#REF!</definedName>
    <definedName name="_26B_0__123Graph_XGráfico" localSheetId="0" hidden="1">#REF!</definedName>
    <definedName name="_26B_0__123Graph_XGráfico" hidden="1">#REF!</definedName>
    <definedName name="_27__123Graph_BCHART_14" hidden="1">#REF!</definedName>
    <definedName name="_28__123Graph_BCHART_15" hidden="1">#REF!</definedName>
    <definedName name="_28B____123Graph_XGráfico" localSheetId="0" hidden="1">#REF!</definedName>
    <definedName name="_28B____123Graph_XGráfico" hidden="1">#REF!</definedName>
    <definedName name="_29__123Graph_BCHART_16" hidden="1">#REF!</definedName>
    <definedName name="_29B_0__123Graph_XGráfico" localSheetId="0" hidden="1">#REF!</definedName>
    <definedName name="_29B_0__123Graph_XGráfico" hidden="1">#REF!</definedName>
    <definedName name="_3____123Graph_B????_1" hidden="1">#REF!</definedName>
    <definedName name="_3____123Graph_Bｸﾞﾗﾌ_1" hidden="1">#REF!</definedName>
    <definedName name="_3___123Graph_XGráfico_4A" localSheetId="0" hidden="1">#REF!</definedName>
    <definedName name="_3___123Graph_XGráfico_4A" hidden="1">#REF!</definedName>
    <definedName name="_3__123Graph_ACHART_1" hidden="1">#REF!</definedName>
    <definedName name="_3__123Graph_ACHART_4" hidden="1">#REF!</definedName>
    <definedName name="_3__123Graph_AGráfico_4A" localSheetId="0" hidden="1">#REF!</definedName>
    <definedName name="_3__123Graph_AGráfico_4A" hidden="1">#REF!</definedName>
    <definedName name="_3__123Graph_CCart_Utilidad" localSheetId="0" hidden="1">#REF!</definedName>
    <definedName name="_3__123Graph_CCart_Utilidad" hidden="1">#REF!</definedName>
    <definedName name="_3_0_0_F" localSheetId="0" hidden="1">#REF!</definedName>
    <definedName name="_3_0_0_F" hidden="1">#REF!</definedName>
    <definedName name="_30__123Graph_BCHART_17" hidden="1">#REF!</definedName>
    <definedName name="_30__123Graph_XGráfico_4A" localSheetId="0" hidden="1">#REF!</definedName>
    <definedName name="_30__123Graph_XGráfico_4A" hidden="1">#REF!</definedName>
    <definedName name="_30B____123Graph_XGráfico" localSheetId="0" hidden="1">#REF!</definedName>
    <definedName name="_30B____123Graph_XGráfico" hidden="1">#REF!</definedName>
    <definedName name="_31__123Graph_BCHART_2" hidden="1">#REF!</definedName>
    <definedName name="_31B_0__123Graph_XGráfico" localSheetId="0" hidden="1">#REF!</definedName>
    <definedName name="_31B_0__123Graph_XGráfico" hidden="1">#REF!</definedName>
    <definedName name="_32__123Graph_BCHART_20" hidden="1">#REF!</definedName>
    <definedName name="_33__123Graph_BCHART_3" hidden="1">#REF!</definedName>
    <definedName name="_34__123Graph_BCHART_6" hidden="1">#REF!</definedName>
    <definedName name="_35__123Graph_BCHART_7" hidden="1">#REF!</definedName>
    <definedName name="_35B____123Graph_XGráfico" localSheetId="0" hidden="1">#REF!</definedName>
    <definedName name="_35B____123Graph_XGráfico" hidden="1">#REF!</definedName>
    <definedName name="_36_??06" hidden="1">{"'?????10.27??????'!$Q$16"}</definedName>
    <definedName name="_36__123Graph_BCHART_8" hidden="1">#REF!</definedName>
    <definedName name="_36_4_0__123Grap" localSheetId="0" hidden="1">#REF!</definedName>
    <definedName name="_36_4_0__123Grap" hidden="1">#REF!</definedName>
    <definedName name="_37__123Graph_BCHART_9" hidden="1">#REF!</definedName>
    <definedName name="_37B_0__123Graph_XGráfico" localSheetId="0" hidden="1">#REF!</definedName>
    <definedName name="_37B_0__123Graph_XGráfico" hidden="1">#REF!</definedName>
    <definedName name="_38__123Graph_CCHART_1" hidden="1">#REF!</definedName>
    <definedName name="_39__123Graph_CCHART_11" hidden="1">#REF!</definedName>
    <definedName name="_4____123Graph_C????_1" hidden="1">#REF!</definedName>
    <definedName name="_4____123Graph_Cｸﾞﾗﾌ_1" hidden="1">#REF!</definedName>
    <definedName name="_4___123Graph_AGráfico_4A" localSheetId="0" hidden="1">#REF!</definedName>
    <definedName name="_4___123Graph_AGráfico_4A" hidden="1">#REF!</definedName>
    <definedName name="_4__123Graph_ACHART_10" hidden="1">#REF!</definedName>
    <definedName name="_4__123Graph_ACHART_8" hidden="1">#REF!</definedName>
    <definedName name="_4__123Graph_AGráfico_4A" localSheetId="0" hidden="1">#REF!</definedName>
    <definedName name="_4__123Graph_AGráfico_4A" hidden="1">#REF!</definedName>
    <definedName name="_4__123Graph_BGráfico_4A" localSheetId="0" hidden="1">#REF!</definedName>
    <definedName name="_4__123Graph_BGráfico_4A" hidden="1">#REF!</definedName>
    <definedName name="_4__123Graph_LBL_ACart_Utilidad" localSheetId="0" hidden="1">#REF!</definedName>
    <definedName name="_4__123Graph_LBL_ACart_Utilidad" hidden="1">#REF!</definedName>
    <definedName name="_4_4____123Grap" localSheetId="0" hidden="1">#REF!</definedName>
    <definedName name="_4_4____123Grap" hidden="1">#REF!</definedName>
    <definedName name="_40__123Graph_CCHART_12" hidden="1">#REF!</definedName>
    <definedName name="_41__123Graph_CCHART_2" hidden="1">#REF!</definedName>
    <definedName name="_42__123Graph_CCHART_20" hidden="1">#REF!</definedName>
    <definedName name="_43__123Graph_CCHART_7" hidden="1">#REF!</definedName>
    <definedName name="_44__123Graph_CCHART_8" hidden="1">#REF!</definedName>
    <definedName name="_45__123Graph_DCHART_1" hidden="1">#REF!</definedName>
    <definedName name="_46__123Graph_DCHART_12" hidden="1">#REF!</definedName>
    <definedName name="_46B_0__123Graph_XGráfico" localSheetId="0" hidden="1">#REF!</definedName>
    <definedName name="_46B_0__123Graph_XGráfico" hidden="1">#REF!</definedName>
    <definedName name="_47__123Graph_DCHART_2" hidden="1">#REF!</definedName>
    <definedName name="_48__123Graph_DCHART_8" hidden="1">#REF!</definedName>
    <definedName name="_48_B_0__123Graph_XGráfico" localSheetId="0" hidden="1">#REF!</definedName>
    <definedName name="_48_B_0__123Graph_XGráfico" hidden="1">#REF!</definedName>
    <definedName name="_49__123Graph_ECHART_12" hidden="1">#REF!</definedName>
    <definedName name="_5____123Graph_X????_1" hidden="1">#REF!</definedName>
    <definedName name="_5____123Graph_Xｸﾞﾗﾌ_1" hidden="1">#REF!</definedName>
    <definedName name="_5___123Graph_AGráfico_4A" localSheetId="0" hidden="1">#REF!</definedName>
    <definedName name="_5___123Graph_AGráfico_4A" hidden="1">#REF!</definedName>
    <definedName name="_5___123Graph_BGráfico_4A" localSheetId="0" hidden="1">#REF!</definedName>
    <definedName name="_5___123Graph_BGráfico_4A" hidden="1">#REF!</definedName>
    <definedName name="_5__123Graph_ACHART_11" hidden="1">#REF!</definedName>
    <definedName name="_5__123Graph_AGráfico_4A" localSheetId="0" hidden="1">#REF!</definedName>
    <definedName name="_5__123Graph_AGráfico_4A" hidden="1">#REF!</definedName>
    <definedName name="_5__123Graph_BCHART_1" hidden="1">#REF!</definedName>
    <definedName name="_5__123Graph_BGráfico_4A" localSheetId="0" hidden="1">#REF!</definedName>
    <definedName name="_5__123Graph_BGráfico_4A" hidden="1">#REF!</definedName>
    <definedName name="_5__123Graph_LBL_BCart_Utilidad" localSheetId="0" hidden="1">#REF!</definedName>
    <definedName name="_5__123Graph_LBL_BCart_Utilidad" hidden="1">#REF!</definedName>
    <definedName name="_5__123Graph_XGráfico_4A" localSheetId="0" hidden="1">#REF!</definedName>
    <definedName name="_5__123Graph_XGráfico_4A" hidden="1">#REF!</definedName>
    <definedName name="_5_0_0_F" localSheetId="0" hidden="1">#REF!</definedName>
    <definedName name="_5_0_0_F" hidden="1">#REF!</definedName>
    <definedName name="_50__123Graph_ECHART_2" hidden="1">#REF!</definedName>
    <definedName name="_51__123Graph_Aｸﾞﾗﾌ_1" hidden="1">#REF!</definedName>
    <definedName name="_51__123Graph_ECHART_8" hidden="1">#REF!</definedName>
    <definedName name="_52__123Graph_BIRR_IRR" hidden="1">#REF!</definedName>
    <definedName name="_52__123Graph_FCHART_1" hidden="1">#REF!</definedName>
    <definedName name="_53__123Graph_BMOF_NB" hidden="1">#REF!</definedName>
    <definedName name="_53__123Graph_XCHART_10" hidden="1">#REF!</definedName>
    <definedName name="_54__123Graph_XCHART_11" hidden="1">#REF!</definedName>
    <definedName name="_55__123Graph_XCHART_12" hidden="1">#REF!</definedName>
    <definedName name="_56__123Graph_XCHART_13" hidden="1">#REF!</definedName>
    <definedName name="_57__123Graph_XCHART_14" hidden="1">#REF!</definedName>
    <definedName name="_58__123Graph_XCHART_15" hidden="1">#REF!</definedName>
    <definedName name="_59__123Graph_XCHART_16" hidden="1">#REF!</definedName>
    <definedName name="_6___123Graph_AIRR_IRR" hidden="1">#REF!</definedName>
    <definedName name="_6___123Graph_BGráfico_4A" localSheetId="0" hidden="1">#REF!</definedName>
    <definedName name="_6___123Graph_BGráfico_4A" hidden="1">#REF!</definedName>
    <definedName name="_6___123Graph_XGráfico_4A" localSheetId="0" hidden="1">#REF!</definedName>
    <definedName name="_6___123Graph_XGráfico_4A" hidden="1">#REF!</definedName>
    <definedName name="_6__123Graph_ACHART_12" hidden="1">#REF!</definedName>
    <definedName name="_6__123Graph_AGráfico_4A" localSheetId="0" hidden="1">#REF!</definedName>
    <definedName name="_6__123Graph_AGráfico_4A" hidden="1">#REF!</definedName>
    <definedName name="_6__123Graph_BCHART_3" hidden="1">#REF!</definedName>
    <definedName name="_6__123Graph_BGráfico_4A" localSheetId="0" hidden="1">#REF!</definedName>
    <definedName name="_6__123Graph_BGráfico_4A" hidden="1">#REF!</definedName>
    <definedName name="_6__123Graph_LBL_CCart_Utilidad" localSheetId="0" hidden="1">#REF!</definedName>
    <definedName name="_6__123Graph_LBL_CCart_Utilidad" hidden="1">#REF!</definedName>
    <definedName name="_6__123Graph_XGráfico_4A" localSheetId="0" hidden="1">#REF!</definedName>
    <definedName name="_6__123Graph_XGráfico_4A" hidden="1">#REF!</definedName>
    <definedName name="_6_4____123Grap" localSheetId="0" hidden="1">#REF!</definedName>
    <definedName name="_6_4____123Grap" hidden="1">#REF!</definedName>
    <definedName name="_6_4_0__123Grap" localSheetId="0" hidden="1">#REF!</definedName>
    <definedName name="_6_4_0__123Grap" hidden="1">#REF!</definedName>
    <definedName name="_60__123Graph_XCHART_18" hidden="1">#REF!</definedName>
    <definedName name="_61__123Graph_XCHART_2" hidden="1">#REF!</definedName>
    <definedName name="_62__123Graph_XCHART_20" hidden="1">#REF!</definedName>
    <definedName name="_63__123Graph_XCHART_3" hidden="1">#REF!</definedName>
    <definedName name="_63_4_0__123Grap" localSheetId="0" hidden="1">#REF!</definedName>
    <definedName name="_63_4_0__123Grap" hidden="1">#REF!</definedName>
    <definedName name="_64__123Graph_XCHART_4" hidden="1">#REF!</definedName>
    <definedName name="_64_4_0__123Grap" localSheetId="0" hidden="1">#REF!</definedName>
    <definedName name="_64_4_0__123Grap" hidden="1">#REF!</definedName>
    <definedName name="_65__123Graph_XCHART_5" hidden="1">#REF!</definedName>
    <definedName name="_66__123Graph_XCHART_6" hidden="1">#REF!</definedName>
    <definedName name="_67__123Graph_XCHART_7" hidden="1">#REF!</definedName>
    <definedName name="_68_?16??" hidden="1">{"'????'!$A$1:$C$37"}</definedName>
    <definedName name="_68__123Graph_XCHART_8" hidden="1">#REF!</definedName>
    <definedName name="_69__123Graph_XCHART_9" hidden="1">#REF!</definedName>
    <definedName name="_7_????" hidden="1">{"'?????10.27??????'!$Q$16"}</definedName>
    <definedName name="_7______0_0_F" localSheetId="0" hidden="1">#REF!</definedName>
    <definedName name="_7______0_0_F" hidden="1">#REF!</definedName>
    <definedName name="_7___123Graph_BIRR_IRR" hidden="1">#REF!</definedName>
    <definedName name="_7___123Graph_XGráfico_4A" localSheetId="0" hidden="1">#REF!</definedName>
    <definedName name="_7___123Graph_XGráfico_4A" hidden="1">#REF!</definedName>
    <definedName name="_7__123Graph_ACHART_13" hidden="1">#REF!</definedName>
    <definedName name="_7__123Graph_AGráfico_4A" localSheetId="0" hidden="1">#REF!</definedName>
    <definedName name="_7__123Graph_AGráfico_4A" hidden="1">#REF!</definedName>
    <definedName name="_7__123Graph_BCHART_4" hidden="1">#REF!</definedName>
    <definedName name="_7__123Graph_BGráfico_4A" localSheetId="0" hidden="1">#REF!</definedName>
    <definedName name="_7__123Graph_BGráfico_4A" hidden="1">#REF!</definedName>
    <definedName name="_7__123Graph_XCart_Utilidad" localSheetId="0" hidden="1">#REF!</definedName>
    <definedName name="_7__123Graph_XCart_Utilidad" hidden="1">#REF!</definedName>
    <definedName name="_7__123Graph_XGráfico_4A" localSheetId="0" hidden="1">#REF!</definedName>
    <definedName name="_7__123Graph_XGráfico_4A" hidden="1">#REF!</definedName>
    <definedName name="_7_0_0_F" localSheetId="0" hidden="1">#REF!</definedName>
    <definedName name="_7_0_0_F" hidden="1">#REF!</definedName>
    <definedName name="_7_4_0__123Grap" localSheetId="0" hidden="1">#REF!</definedName>
    <definedName name="_7_4_0__123Grap" hidden="1">#REF!</definedName>
    <definedName name="_78__123Graph_Bｸﾞﾗﾌ_1" hidden="1">#REF!</definedName>
    <definedName name="_8_?????" hidden="1">{"DCF-???",#N/A,TRUE,"???";"DCF-??",#N/A,TRUE,"??";"DCF-??",#N/A,TRUE,"??";"DCF-??",#N/A,TRUE,"??";"DCF-??",#N/A,TRUE,"??";"DCF-??",#N/A,TRUE,"??";"DCF-??",#N/A,TRUE,"??";"DCF-??",#N/A,TRUE,"??";"DCF-??",#N/A,TRUE,"??"}</definedName>
    <definedName name="_8_____0_0_F" localSheetId="0" hidden="1">#REF!</definedName>
    <definedName name="_8_____0_0_F" hidden="1">#REF!</definedName>
    <definedName name="_8___123Graph_AGráfico_4A" localSheetId="0" hidden="1">#REF!</definedName>
    <definedName name="_8___123Graph_AGráfico_4A" hidden="1">#REF!</definedName>
    <definedName name="_8___123Graph_BMOF_NB" hidden="1">#REF!</definedName>
    <definedName name="_8__123Graph_ACHART_14" hidden="1">#REF!</definedName>
    <definedName name="_8__123Graph_AGráfico_4A" localSheetId="0" hidden="1">#REF!</definedName>
    <definedName name="_8__123Graph_AGráfico_4A" hidden="1">#REF!</definedName>
    <definedName name="_8__123Graph_BCHART_8" hidden="1">#REF!</definedName>
    <definedName name="_8__123Graph_BGráfico_4A" localSheetId="0" hidden="1">#REF!</definedName>
    <definedName name="_8__123Graph_BGráfico_4A" hidden="1">#REF!</definedName>
    <definedName name="_8__123Graph_XGráfico_4A" localSheetId="0" hidden="1">#REF!</definedName>
    <definedName name="_8__123Graph_XGráfico_4A" hidden="1">#REF!</definedName>
    <definedName name="_8_0_0_F" localSheetId="0" hidden="1">#REF!</definedName>
    <definedName name="_8_0_0_F" hidden="1">#REF!</definedName>
    <definedName name="_8_B_0__123Graph_XGráfico" localSheetId="0" hidden="1">#REF!</definedName>
    <definedName name="_8_B_0__123Graph_XGráfico" hidden="1">#REF!</definedName>
    <definedName name="_9_??????" hidden="1">{"'?????10.27??????'!$Q$16"}</definedName>
    <definedName name="_9____0_0_F" localSheetId="0" hidden="1">#REF!</definedName>
    <definedName name="_9____0_0_F" hidden="1">#REF!</definedName>
    <definedName name="_9___123Graph_BGráfico_4A" localSheetId="0" hidden="1">#REF!</definedName>
    <definedName name="_9___123Graph_BGráfico_4A" hidden="1">#REF!</definedName>
    <definedName name="_9___123Graph_D????_1" hidden="1">#REF!</definedName>
    <definedName name="_9___123Graph_Dｸﾞﾗﾌ_1" hidden="1">#REF!</definedName>
    <definedName name="_9__123Graph_ACHART_15" hidden="1">#REF!</definedName>
    <definedName name="_9__123Graph_BGráfico_4A" localSheetId="0" hidden="1">#REF!</definedName>
    <definedName name="_9__123Graph_BGráfico_4A" hidden="1">#REF!</definedName>
    <definedName name="_9__123Graph_CCHART_1" hidden="1">#REF!</definedName>
    <definedName name="_9__123Graph_XGráfico_4A" localSheetId="0" hidden="1">#REF!</definedName>
    <definedName name="_9__123Graph_XGráfico_4A" hidden="1">#REF!</definedName>
    <definedName name="_9_4____123Grap" localSheetId="0" hidden="1">#REF!</definedName>
    <definedName name="_9_4____123Grap" hidden="1">#REF!</definedName>
    <definedName name="_9_4_0__123Grap" localSheetId="0" hidden="1">#REF!</definedName>
    <definedName name="_9_4_0__123Grap" hidden="1">#REF!</definedName>
    <definedName name="_9B____123Graph_XGráfico" localSheetId="0" hidden="1">#REF!</definedName>
    <definedName name="_9B____123Graph_XGráfico" hidden="1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2" localSheetId="0" hidden="1">{#N/A,#N/A,FALSE,"Costos Productos 6A";#N/A,#N/A,FALSE,"Costo Unitario Total H-94-12"}</definedName>
    <definedName name="_A2" hidden="1">{#N/A,#N/A,FALSE,"Costos Productos 6A";#N/A,#N/A,FALSE,"Costo Unitario Total H-94-12"}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localSheetId="0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localSheetId="0" hidden="1">#REF!</definedName>
    <definedName name="_CMU005" hidden="1">#REF!</definedName>
    <definedName name="_DF4" hidden="1">#REF!</definedName>
    <definedName name="_Dist_Bin" localSheetId="0" hidden="1">#REF!</definedName>
    <definedName name="_Dist_Bin" hidden="1">#REF!</definedName>
    <definedName name="_ENE16" localSheetId="0" hidden="1">{#N/A,#N/A,FALSE,"Hoja1";#N/A,#N/A,FALSE,"Hoja2"}</definedName>
    <definedName name="_ENE16" hidden="1">{#N/A,#N/A,FALSE,"Hoja1";#N/A,#N/A,FALSE,"Hoja2"}</definedName>
    <definedName name="_F" hidden="1">#REF!</definedName>
    <definedName name="_F4" localSheetId="0" hidden="1">{"SUMINISTRO E INSTALACIÓN CANALETAS L=7.50"}</definedName>
    <definedName name="_F4" hidden="1">{"SUMINISTRO E INSTALACIÓN CANALETAS L=7.50"}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HJK1" localSheetId="0" hidden="1">{#N/A,#N/A,FALSE,"PERSONAL"}</definedName>
    <definedName name="_HJK1" hidden="1">{#N/A,#N/A,FALSE,"PERSONAL"}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2" localSheetId="0" hidden="1">#REF!</definedName>
    <definedName name="_Key2" hidden="1">#N/A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eyy1" localSheetId="0" hidden="1">#REF!</definedName>
    <definedName name="_keyy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ov1" localSheetId="0" hidden="1">{#N/A,#N/A,FALSE,"Hoja1";#N/A,#N/A,FALSE,"Hoja2"}</definedName>
    <definedName name="_mov1" hidden="1">{#N/A,#N/A,FALSE,"Hoja1";#N/A,#N/A,FALSE,"Hoja2"}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w1" localSheetId="0" hidden="1">{#N/A,#N/A,FALSE,"SMT1";#N/A,#N/A,FALSE,"SMT2";#N/A,#N/A,FALSE,"Summary";#N/A,#N/A,FALSE,"Graphs";#N/A,#N/A,FALSE,"4 Panel"}</definedName>
    <definedName name="_new1" hidden="1">{#N/A,#N/A,FALSE,"SMT1";#N/A,#N/A,FALSE,"SMT2";#N/A,#N/A,FALSE,"Summary";#N/A,#N/A,FALSE,"Graphs";#N/A,#N/A,FALSE,"4 Panel"}</definedName>
    <definedName name="_new10" localSheetId="0" hidden="1">{#N/A,#N/A,FALSE,"SMT1";#N/A,#N/A,FALSE,"SMT2";#N/A,#N/A,FALSE,"Summary";#N/A,#N/A,FALSE,"Graphs";#N/A,#N/A,FALSE,"4 Panel"}</definedName>
    <definedName name="_new10" hidden="1">{#N/A,#N/A,FALSE,"SMT1";#N/A,#N/A,FALSE,"SMT2";#N/A,#N/A,FALSE,"Summary";#N/A,#N/A,FALSE,"Graphs";#N/A,#N/A,FALSE,"4 Panel"}</definedName>
    <definedName name="_new2" localSheetId="0" hidden="1">{"EVA",#N/A,FALSE,"SMT2";#N/A,#N/A,FALSE,"Summary";#N/A,#N/A,FALSE,"Graphs";#N/A,#N/A,FALSE,"4 Panel"}</definedName>
    <definedName name="_new2" hidden="1">{"EVA",#N/A,FALSE,"SMT2";#N/A,#N/A,FALSE,"Summary";#N/A,#N/A,FALSE,"Graphs";#N/A,#N/A,FALSE,"4 Panel"}</definedName>
    <definedName name="_NEW3" localSheetId="0" hidden="1">{#N/A,#N/A,FALSE,"SMT1";#N/A,#N/A,FALSE,"SMT2";#N/A,#N/A,FALSE,"Summary";#N/A,#N/A,FALSE,"Graphs";#N/A,#N/A,FALSE,"4 Panel"}</definedName>
    <definedName name="_NEW3" hidden="1">{#N/A,#N/A,FALSE,"SMT1";#N/A,#N/A,FALSE,"SMT2";#N/A,#N/A,FALSE,"Summary";#N/A,#N/A,FALSE,"Graphs";#N/A,#N/A,FALSE,"4 Panel"}</definedName>
    <definedName name="_NEW4" localSheetId="0" hidden="1">{#N/A,#N/A,FALSE,"Full";#N/A,#N/A,FALSE,"Half";#N/A,#N/A,FALSE,"Op Expenses";#N/A,#N/A,FALSE,"Cap Charge";#N/A,#N/A,FALSE,"Cost C";#N/A,#N/A,FALSE,"PP&amp;E";#N/A,#N/A,FALSE,"R&amp;D"}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localSheetId="0" hidden="1">{#N/A,#N/A,FALSE,"SMT1";#N/A,#N/A,FALSE,"SMT2";#N/A,#N/A,FALSE,"Summary";#N/A,#N/A,FALSE,"Graphs";#N/A,#N/A,FALSE,"4 Panel"}</definedName>
    <definedName name="_no1" hidden="1">{#N/A,#N/A,FALSE,"SMT1";#N/A,#N/A,FALSE,"SMT2";#N/A,#N/A,FALSE,"Summary";#N/A,#N/A,FALSE,"Graphs";#N/A,#N/A,FALSE,"4 Panel"}</definedName>
    <definedName name="_no10" localSheetId="0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localSheetId="0" hidden="1">{#N/A,#N/A,FALSE,"Full";#N/A,#N/A,FALSE,"Half";#N/A,#N/A,FALSE,"Op Expenses";#N/A,#N/A,FALSE,"Cap Charge";#N/A,#N/A,FALSE,"Cost C";#N/A,#N/A,FALSE,"PP&amp;E";#N/A,#N/A,FALSE,"R&amp;D"}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localSheetId="0" hidden="1">{#N/A,#N/A,FALSE,"SMT1";#N/A,#N/A,FALSE,"SMT2";#N/A,#N/A,FALSE,"Summary";#N/A,#N/A,FALSE,"Graphs";#N/A,#N/A,FALSE,"4 Panel"}</definedName>
    <definedName name="_no12" hidden="1">{#N/A,#N/A,FALSE,"SMT1";#N/A,#N/A,FALSE,"SMT2";#N/A,#N/A,FALSE,"Summary";#N/A,#N/A,FALSE,"Graphs";#N/A,#N/A,FALSE,"4 Panel"}</definedName>
    <definedName name="_no13" localSheetId="0" hidden="1">{"EVA",#N/A,FALSE,"SMT2";#N/A,#N/A,FALSE,"Summary";#N/A,#N/A,FALSE,"Graphs";#N/A,#N/A,FALSE,"4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localSheetId="0" hidden="1">{#N/A,#N/A,FALSE,"Full";#N/A,#N/A,FALSE,"Half";#N/A,#N/A,FALSE,"Op Expenses";#N/A,#N/A,FALSE,"Cap Charge";#N/A,#N/A,FALSE,"Cost C";#N/A,#N/A,FALSE,"PP&amp;E";#N/A,#N/A,FALSE,"R&amp;D"}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localSheetId="0" hidden="1">{"EVA",#N/A,FALSE,"SMT2";#N/A,#N/A,FALSE,"Summary";#N/A,#N/A,FALSE,"Graphs";#N/A,#N/A,FALSE,"4 Panel"}</definedName>
    <definedName name="_no2" hidden="1">{"EVA",#N/A,FALSE,"SMT2";#N/A,#N/A,FALSE,"Summary";#N/A,#N/A,FALSE,"Graphs";#N/A,#N/A,FALSE,"4 Panel"}</definedName>
    <definedName name="_no3" localSheetId="0" hidden="1">{#N/A,#N/A,FALSE,"SMT1";#N/A,#N/A,FALSE,"SMT2";#N/A,#N/A,FALSE,"Summary";#N/A,#N/A,FALSE,"Graphs";#N/A,#N/A,FALSE,"4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localSheetId="0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localSheetId="0" hidden="1">{#N/A,#N/A,FALSE,"Full";#N/A,#N/A,FALSE,"Half";#N/A,#N/A,FALSE,"Op Expenses";#N/A,#N/A,FALSE,"Cap Charge";#N/A,#N/A,FALSE,"Cost C";#N/A,#N/A,FALSE,"PP&amp;E";#N/A,#N/A,FALSE,"R&amp;D"}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localSheetId="0" hidden="1">{"EVA",#N/A,FALSE,"SMT2";#N/A,#N/A,FALSE,"Summary";#N/A,#N/A,FALSE,"Graphs";#N/A,#N/A,FALSE,"4 Panel"}</definedName>
    <definedName name="_no6" hidden="1">{"EVA",#N/A,FALSE,"SMT2";#N/A,#N/A,FALSE,"Summary";#N/A,#N/A,FALSE,"Graphs";#N/A,#N/A,FALSE,"4 Panel"}</definedName>
    <definedName name="_no7" localSheetId="0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localSheetId="0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localSheetId="0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0" hidden="1">0</definedName>
    <definedName name="_Order1" hidden="1">255</definedName>
    <definedName name="_Order2" localSheetId="0" hidden="1">255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#REF!</definedName>
    <definedName name="_Parse_Out" hidden="1">#REF!</definedName>
    <definedName name="_PUE2" localSheetId="0" hidden="1">{#N/A,#N/A,FALSE,"PERSONAL"}</definedName>
    <definedName name="_PUE2" hidden="1">{#N/A,#N/A,FALSE,"PERSONAL"}</definedName>
    <definedName name="_pue3" localSheetId="0" hidden="1">{#N/A,#N/A,FALSE,"PERSONAL"}</definedName>
    <definedName name="_pue3" hidden="1">{#N/A,#N/A,FALSE,"PERSONAL"}</definedName>
    <definedName name="_PUE4" localSheetId="0" hidden="1">{#N/A,#N/A,FALSE,"PERSONAL"}</definedName>
    <definedName name="_PUE4" hidden="1">{#N/A,#N/A,FALSE,"PERSONAL"}</definedName>
    <definedName name="_PUE5" localSheetId="0" hidden="1">{#N/A,#N/A,FALSE,"PERSONAL"}</definedName>
    <definedName name="_PUE5" hidden="1">{#N/A,#N/A,FALSE,"PERSONAL"}</definedName>
    <definedName name="_PUE6" localSheetId="0" hidden="1">{#N/A,#N/A,FALSE,"PERSONAL"}</definedName>
    <definedName name="_PUE6" hidden="1">{#N/A,#N/A,FALSE,"PERSONAL"}</definedName>
    <definedName name="_PUE7" localSheetId="0" hidden="1">{#N/A,#N/A,FALSE,"PERSONAL"}</definedName>
    <definedName name="_PUE7" hidden="1">{#N/A,#N/A,FALSE,"PERSONAL"}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localSheetId="0" hidden="1">#N/A</definedName>
    <definedName name="_Regression_Out" hidden="1">#N/A</definedName>
    <definedName name="_Regression_X" localSheetId="0" hidden="1">#N/A</definedName>
    <definedName name="_Regression_X" hidden="1">#N/A</definedName>
    <definedName name="_REGRESSION_XNJA" localSheetId="0" hidden="1">#REF!</definedName>
    <definedName name="_REGRESSION_XNJA" hidden="1">#REF!</definedName>
    <definedName name="_Regression_Y" localSheetId="0" hidden="1">#N/A</definedName>
    <definedName name="_Regression_Y" hidden="1">#N/A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cenchg1" localSheetId="0" hidden="1">#REF!</definedName>
    <definedName name="_scenchg1" hidden="1">#REF!</definedName>
    <definedName name="_Sort" localSheetId="0" hidden="1">#REF!</definedName>
    <definedName name="_Sort" hidden="1">#REF!</definedName>
    <definedName name="_SortNJA" localSheetId="0" hidden="1">#REF!</definedName>
    <definedName name="_SortNJA" hidden="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able2_In1" localSheetId="0" hidden="1">#REF!</definedName>
    <definedName name="_Table2_In1" hidden="1">#REF!</definedName>
    <definedName name="_Table2_In2" localSheetId="0" hidden="1">#REF!</definedName>
    <definedName name="_Table2_In2" hidden="1">#REF!</definedName>
    <definedName name="_Table2_Out" localSheetId="0" hidden="1">#REF!</definedName>
    <definedName name="_Table2_Out" hidden="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_DOCTOPS" hidden="1">"AAA_SET"</definedName>
    <definedName name="AAA_duser" hidden="1">"OFF"</definedName>
    <definedName name="aaaaaaaa" hidden="1">{#N/A,#N/A,FALSE,"c_finanz";#N/A,#N/A,FALSE,"c_eco";#N/A,#N/A,FALSE,"investimenti";#N/A,#N/A,FALSE,"tir"}</definedName>
    <definedName name="AAAAAAAAAAAAAAAAAA" hidden="1">#REF!</definedName>
    <definedName name="aaaaaaaaaaaaaaaaaaaaaa" hidden="1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C" localSheetId="0" hidden="1">{#N/A,#N/A,TRUE,"INGENIERIA";#N/A,#N/A,TRUE,"COMPRAS";#N/A,#N/A,TRUE,"DIRECCION";#N/A,#N/A,TRUE,"RESUMEN"}</definedName>
    <definedName name="AC" hidden="1">{#N/A,#N/A,TRUE,"INGENIERIA";#N/A,#N/A,TRUE,"COMPRAS";#N/A,#N/A,TRUE,"DIRECCION";#N/A,#N/A,TRUE,"RESUMEN"}</definedName>
    <definedName name="AccessDatabase" localSheetId="0" hidden="1">"C:\C-314\VOLUMENES\volfin4.mdb"</definedName>
    <definedName name="AccessDatabase" hidden="1">"A:\SAIN.mdb"</definedName>
    <definedName name="actamodifacion" localSheetId="0" hidden="1">{#N/A,#N/A,TRUE,"Unifilar"}</definedName>
    <definedName name="actamodifacion" hidden="1">{#N/A,#N/A,TRUE,"Unifilar"}</definedName>
    <definedName name="AD" hidden="1">{#N/A,#N/A,TRUE,"INGENIERIA";#N/A,#N/A,TRUE,"COMPRAS";#N/A,#N/A,TRUE,"DIRECCION";#N/A,#N/A,TRUE,"RESUMEN"}</definedName>
    <definedName name="adf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kjgfkjgh" localSheetId="0" hidden="1">{#N/A,#N/A,FALSE,"CIBHA05A";#N/A,#N/A,FALSE,"CIBHA05B"}</definedName>
    <definedName name="adkjgfkjgh" hidden="1">{#N/A,#N/A,FALSE,"CIBHA05A";#N/A,#N/A,FALSE,"CIBHA05B"}</definedName>
    <definedName name="ads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dawra" hidden="1">{#N/A,#N/A,TRUE,"INGENIERIA";#N/A,#N/A,TRUE,"COMPRAS";#N/A,#N/A,TRUE,"DIRECCION";#N/A,#N/A,TRUE,"RESUMEN"}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 hidden="1">{#N/A,#N/A,TRUE,"INGENIERIA";#N/A,#N/A,TRUE,"COMPRAS";#N/A,#N/A,TRUE,"DIRECCION";#N/A,#N/A,TRUE,"RESUMEN"}</definedName>
    <definedName name="Ajusteinf" localSheetId="0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0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mbiental" localSheetId="0" hidden="1">#REF!</definedName>
    <definedName name="ambiental" hidden="1">#REF!</definedName>
    <definedName name="Analyst" localSheetId="0" hidden="1">#REF!</definedName>
    <definedName name="Analyst" hidden="1">#REF!</definedName>
    <definedName name="ando" hidden="1">{"'下期集計（10.27迄・速報値）'!$Q$16"}</definedName>
    <definedName name="anscount" localSheetId="0" hidden="1">1</definedName>
    <definedName name="anscount" hidden="1">2</definedName>
    <definedName name="APUO" localSheetId="0" hidden="1">#REF!</definedName>
    <definedName name="APUO" hidden="1">#REF!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AIU!$A$1:$J$44</definedName>
    <definedName name="arg" localSheetId="0" hidden="1">#REF!</definedName>
    <definedName name="arg" hidden="1">#REF!</definedName>
    <definedName name="AS2DocOpenMode" hidden="1">"AS2DocumentEdit"</definedName>
    <definedName name="AS2HasNoAutoHeaderFooter" hidden="1">" "</definedName>
    <definedName name="AS2ReportLS" hidden="1">1</definedName>
    <definedName name="AS2SyncStepLS" hidden="1">0</definedName>
    <definedName name="AS2VersionLS" hidden="1">300</definedName>
    <definedName name="ASASDA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D" localSheetId="0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ds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lkjh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" hidden="1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KDHSD" localSheetId="0" hidden="1">{#N/A,#N/A,FALSE,"Costos Productos 6A";#N/A,#N/A,FALSE,"Costo Unitario Total H-94-12"}</definedName>
    <definedName name="ASKDHSD" hidden="1">{#N/A,#N/A,FALSE,"Costos Productos 6A";#N/A,#N/A,FALSE,"Costo Unitario Total H-94-12"}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UI" hidden="1">{#N/A,#N/A,TRUE,"INGENIERIA";#N/A,#N/A,TRUE,"COMPRAS";#N/A,#N/A,TRUE,"DIRECCION";#N/A,#N/A,TRUE,"RESUMEN"}</definedName>
    <definedName name="AWD" localSheetId="0" hidden="1">{#N/A,#N/A,FALSE,"PERSONAL"}</definedName>
    <definedName name="AWD" hidden="1">{#N/A,#N/A,FALSE,"PERSONAL"}</definedName>
    <definedName name="axyzqerojhvdakjdvasdas" localSheetId="0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ARZALOZA" localSheetId="0" hidden="1">{#N/A,#N/A,TRUE,"Unifilar"}</definedName>
    <definedName name="BARZALOZA" hidden="1">{#N/A,#N/A,TRUE,"Unifilar"}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dgh" localSheetId="0" hidden="1">{#N/A,#N/A,FALSE,"PERSONAL"}</definedName>
    <definedName name="bfdgh" hidden="1">{#N/A,#N/A,FALSE,"PERSONAL"}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_Del" hidden="1">15</definedName>
    <definedName name="BG_Ins" hidden="1">4</definedName>
    <definedName name="BG_Mod" hidden="1">6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0" hidden="1">#REF!</definedName>
    <definedName name="BLPH1" hidden="1">#REF!</definedName>
    <definedName name="BLPH10" localSheetId="0" hidden="1">#REF!</definedName>
    <definedName name="BLPH10" hidden="1">#REF!</definedName>
    <definedName name="BLPH11" localSheetId="0" hidden="1">#REF!</definedName>
    <definedName name="BLPH11" hidden="1">#REF!</definedName>
    <definedName name="BLPH12" localSheetId="0" hidden="1">#REF!</definedName>
    <definedName name="BLPH12" hidden="1">#REF!</definedName>
    <definedName name="BLPH13" localSheetId="0" hidden="1">#REF!</definedName>
    <definedName name="BLPH13" hidden="1">#REF!</definedName>
    <definedName name="BLPH14" localSheetId="0" hidden="1">#REF!</definedName>
    <definedName name="BLPH14" hidden="1">#REF!</definedName>
    <definedName name="BLPH15" localSheetId="0" hidden="1">#REF!</definedName>
    <definedName name="BLPH15" hidden="1">#REF!</definedName>
    <definedName name="BLPH16" localSheetId="0" hidden="1">#REF!</definedName>
    <definedName name="BLPH16" hidden="1">#REF!</definedName>
    <definedName name="BLPH17" localSheetId="0" hidden="1">#REF!</definedName>
    <definedName name="BLPH17" hidden="1">#REF!</definedName>
    <definedName name="BLPH18" localSheetId="0" hidden="1">#REF!</definedName>
    <definedName name="BLPH18" hidden="1">#REF!</definedName>
    <definedName name="BLPH19" localSheetId="0" hidden="1">#REF!</definedName>
    <definedName name="BLPH19" hidden="1">#REF!</definedName>
    <definedName name="BLPH2" localSheetId="0" hidden="1">#REF!</definedName>
    <definedName name="BLPH2" hidden="1">#REF!</definedName>
    <definedName name="BLPH3" localSheetId="0" hidden="1">#REF!</definedName>
    <definedName name="BLPH3" hidden="1">#REF!</definedName>
    <definedName name="BLPH4" localSheetId="0" hidden="1">#REF!</definedName>
    <definedName name="BLPH4" hidden="1">#REF!</definedName>
    <definedName name="BLPH5" localSheetId="0" hidden="1">#REF!</definedName>
    <definedName name="BLPH5" hidden="1">#REF!</definedName>
    <definedName name="BLPH6" localSheetId="0" hidden="1">#REF!</definedName>
    <definedName name="BLPH6" hidden="1">#REF!</definedName>
    <definedName name="BLPH7" localSheetId="0" hidden="1">#REF!</definedName>
    <definedName name="BLPH7" hidden="1">#REF!</definedName>
    <definedName name="BLPH8" localSheetId="0" hidden="1">#REF!</definedName>
    <definedName name="BLPH8" hidden="1">#REF!</definedName>
    <definedName name="BLPH9" localSheetId="0" hidden="1">#REF!</definedName>
    <definedName name="BLPH9" hidden="1">#REF!</definedName>
    <definedName name="BOX__" localSheetId="0" hidden="1">#REF!</definedName>
    <definedName name="BOX__" hidden="1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idge" hidden="1">{"'Highlights'!$A$1:$M$123"}</definedName>
    <definedName name="BS_Data_Col" localSheetId="0" hidden="1">#REF!</definedName>
    <definedName name="BS_Data_Col" hidden="1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b" localSheetId="0" hidden="1">#REF!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vsdbnsrhgvbehbnjsrt" localSheetId="0" hidden="1">{#N/A,#N/A,FALSE,"Costos Productos 6A";#N/A,#N/A,FALSE,"Costo Unitario Total H-94-12"}</definedName>
    <definedName name="bvsdbnsrhgvbehbnjsrt" hidden="1">{#N/A,#N/A,FALSE,"Costos Productos 6A";#N/A,#N/A,FALSE,"Costo Unitario Total H-94-12"}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ABCELAR" localSheetId="0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C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nti" localSheetId="0" hidden="1">{#N/A,#N/A,TRUE,"CODIGO DEPENDENCIA"}</definedName>
    <definedName name="canti" hidden="1">{#N/A,#N/A,TRUE,"CODIGO DEPENDENCIA"}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pitalpb" localSheetId="0" hidden="1">#REF!</definedName>
    <definedName name="Capitalpb" hidden="1">#REF!</definedName>
    <definedName name="CapitalStructure" localSheetId="0" hidden="1">#REF!</definedName>
    <definedName name="CapitalStructure" hidden="1">#REF!</definedName>
    <definedName name="CARLOSC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sh" localSheetId="0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pb" localSheetId="0" hidden="1">#REF!</definedName>
    <definedName name="Cashpb" hidden="1">#REF!</definedName>
    <definedName name="cb_sChartE2218BA_opts" hidden="1">"1, 4, 1, False, 2, False, False, , 0, False, True, 1, 1"</definedName>
    <definedName name="cb_sChartE221ADA_opts" hidden="1">"1, 5, 1, False, 2, False, False, , 0, False, False, 1, 1"</definedName>
    <definedName name="CBWorkbookPriority" localSheetId="0" hidden="1">-562754140</definedName>
    <definedName name="CBWorkbookPriority" hidden="1">-562754140</definedName>
    <definedName name="cc" hidden="1">#REF!</definedName>
    <definedName name="CCC" localSheetId="0" hidden="1">{#N/A,#N/A,FALSE,"Costos Productos 6A";#N/A,#N/A,FALSE,"Costo Unitario Total H-94-12"}</definedName>
    <definedName name="CCC" hidden="1">{#N/A,#N/A,FALSE,"Costos Productos 6A";#N/A,#N/A,FALSE,"Costo Unitario Total H-94-12"}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0" hidden="1">#REF!</definedName>
    <definedName name="cdfgrtfd" hidden="1">#REF!</definedName>
    <definedName name="cdretuiojhf" localSheetId="0" hidden="1">#REF!</definedName>
    <definedName name="cdretuiojhf" hidden="1">#REF!</definedName>
    <definedName name="cds" localSheetId="0" hidden="1">{#N/A,#N/A,FALSE,"sumi ";#N/A,#N/A,FALSE,"RESUMEN"}</definedName>
    <definedName name="cds" hidden="1">{#N/A,#N/A,FALSE,"sumi ";#N/A,#N/A,FALSE,"RESUMEN"}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" localSheetId="0" hidden="1">{#N/A,#N/A,FALSE,"PROPON.2001"}</definedName>
    <definedName name="CER" hidden="1">{#N/A,#N/A,FALSE,"PROPON.2001"}</definedName>
    <definedName name="CESAR" localSheetId="0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localSheetId="0" hidden="1">#REF!</definedName>
    <definedName name="CHACA" hidden="1">#REF!</definedName>
    <definedName name="Change_in_Cash" localSheetId="0" hidden="1">#REF!</definedName>
    <definedName name="Change_in_Cash" hidden="1">#REF!</definedName>
    <definedName name="Check_to_Cash" localSheetId="0" hidden="1">#REF!</definedName>
    <definedName name="Check_to_Cash" hidden="1">#REF!</definedName>
    <definedName name="chiho" hidden="1">{"'下期集計（10.27迄・速報値）'!$Q$16"}</definedName>
    <definedName name="civ" localSheetId="0" hidden="1">{#N/A,#N/A,TRUE,"1842CWN0"}</definedName>
    <definedName name="civ" hidden="1">{#N/A,#N/A,TRUE,"1842CWN0"}</definedName>
    <definedName name="cjsa" localSheetId="0" hidden="1">#REF!</definedName>
    <definedName name="cjsa" hidden="1">#REF!</definedName>
    <definedName name="clientes" localSheetId="0" hidden="1">#REF!</definedName>
    <definedName name="clientes" hidden="1">#REF!</definedName>
    <definedName name="CONTABLE" localSheetId="0" hidden="1">{#N/A,#N/A,FALSE,"CIBHA05A";#N/A,#N/A,FALSE,"CIBHA05B"}</definedName>
    <definedName name="CONTABLE" hidden="1">{#N/A,#N/A,FALSE,"CIBHA05A";#N/A,#N/A,FALSE,"CIBHA05B"}</definedName>
    <definedName name="CONTABLES" localSheetId="0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ador" hidden="1">1</definedName>
    <definedName name="Control" localSheetId="0" hidden="1">#REF!</definedName>
    <definedName name="Control" hidden="1">#REF!</definedName>
    <definedName name="cost04" localSheetId="0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0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localSheetId="0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localSheetId="0" hidden="1">#REF!</definedName>
    <definedName name="costo2" hidden="1">#REF!</definedName>
    <definedName name="costoperativos" localSheetId="0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0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1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TIZACIONES" localSheetId="0" hidden="1">{"'dir.g'!$A$1","'Horarios'!$A$4:$D$5"}</definedName>
    <definedName name="COTIZACIONES" hidden="1">{"'dir.g'!$A$1","'Horarios'!$A$4:$D$5"}</definedName>
    <definedName name="cover" hidden="1">#REF!</definedName>
    <definedName name="CPoblado" hidden="1">""</definedName>
    <definedName name="CRUDOS" localSheetId="0" hidden="1">{#N/A,#N/A,FALSE,"CIBHA05A";#N/A,#N/A,FALSE,"CIBHA05B"}</definedName>
    <definedName name="CRUDOS" hidden="1">{#N/A,#N/A,FALSE,"CIBHA05A";#N/A,#N/A,FALSE,"CIBHA05B"}</definedName>
    <definedName name="CUAL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um1" localSheetId="0" hidden="1">{"'Sheet2'!$A$3:$B$17"}</definedName>
    <definedName name="cusum1" hidden="1">{"'Sheet2'!$A$3:$B$17"}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vu.GREY_ALL." hidden="1">#REF!</definedName>
    <definedName name="Cwvu.oil." localSheetId="0" hidden="1">#REF!,#REF!,#REF!,#REF!,#REF!,#REF!,#REF!,#REF!,#REF!,#REF!,#REF!,#REF!,#REF!,#REF!,#REF!</definedName>
    <definedName name="Cwvu.oil." hidden="1">#REF!,#REF!,#REF!,#REF!,#REF!,#REF!,#REF!,#REF!,#REF!,#REF!,#REF!,#REF!,#REF!,#REF!,#REF!</definedName>
    <definedName name="Cwvu.oilgasagua." localSheetId="0" hidden="1">#REF!,#REF!,#REF!,#REF!,#REF!,#REF!,#REF!,#REF!,#REF!,#REF!,#REF!,#REF!,#REF!,#REF!,#REF!,#REF!,#REF!,#REF!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localSheetId="0" hidden="1">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zz" hidden="1">#REF!</definedName>
    <definedName name="DADADAD" localSheetId="0" hidden="1">{#N/A,#N/A,TRUE,"CODIGO DEPENDENCIA"}</definedName>
    <definedName name="DADADAD" hidden="1">{#N/A,#N/A,TRUE,"CODIGO DEPENDENCIA"}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AD" hidden="1">#REF!</definedName>
    <definedName name="ddd" hidden="1">{"via1",#N/A,TRUE,"general";"via2",#N/A,TRUE,"general";"via3",#N/A,TRUE,"general"}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{#N/A,#N/A,FALSE,"PERSONAL"}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localSheetId="0" hidden="1">#REF!</definedName>
    <definedName name="Dealpb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preciationPB" localSheetId="0" hidden="1">#REF!</definedName>
    <definedName name="DepreciationPB" hidden="1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FD" localSheetId="0" hidden="1">{#N/A,#N/A,FALSE,"PERSONAL"}</definedName>
    <definedName name="DFDFD" hidden="1">{#N/A,#N/A,FALSE,"PERSONAL"}</definedName>
    <definedName name="DFDFDFDFD" localSheetId="0" hidden="1">{#N/A,#N/A,FALSE,"PERSONAL"}</definedName>
    <definedName name="DFDFDFDFD" hidden="1">{#N/A,#N/A,FALSE,"PERSONAL"}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DF" localSheetId="0" hidden="1">{#N/A,#N/A,FALSE,"SOACHA"}</definedName>
    <definedName name="DFFDF" hidden="1">{#N/A,#N/A,FALSE,"SOACHA"}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" localSheetId="0" hidden="1">{#N/A,#N/A,FALSE,"PERSONAL"}</definedName>
    <definedName name="dfr" hidden="1">{#N/A,#N/A,FALSE,"PERSONAL"}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s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dhdh" localSheetId="0" hidden="1">#REF!</definedName>
    <definedName name="dgdgdhdh" hidden="1">#REF!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MANTE" localSheetId="0" hidden="1">{#N/A,#N/A,TRUE,"Unifilar"}</definedName>
    <definedName name="DIAMANTE" hidden="1">{#N/A,#N/A,TRUE,"Unifilar"}</definedName>
    <definedName name="direccion" localSheetId="0" hidden="1">{#N/A,#N/A,FALSE,"SOACHA"}</definedName>
    <definedName name="direccion" hidden="1">{#N/A,#N/A,FALSE,"SOACHA"}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JEFIPJKLÑGJOÑ" hidden="1">#REF!</definedName>
    <definedName name="drg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" localSheetId="0" hidden="1">{#N/A,#N/A,FALSE,"PERSONAL"}</definedName>
    <definedName name="DSDS" hidden="1">{#N/A,#N/A,FALSE,"PERSONAL"}</definedName>
    <definedName name="DSDSD" hidden="1">{#N/A,#N/A,FALSE,"PERSONAL"}</definedName>
    <definedName name="DSDSDS" localSheetId="0" hidden="1">{#N/A,#N/A,FALSE,"PERSONAL"}</definedName>
    <definedName name="DSDSDS" hidden="1">{#N/A,#N/A,FALSE,"PERSONAL"}</definedName>
    <definedName name="DSDSDSD" localSheetId="0" hidden="1">{#N/A,#N/A,FALSE,"PERSONAL"}</definedName>
    <definedName name="DSDSDSD" hidden="1">{#N/A,#N/A,FALSE,"PERSONAL"}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A" localSheetId="0" hidden="1">{#N/A,#N/A,FALSE,"PERSONAL"}</definedName>
    <definedName name="DSFA" hidden="1">{#N/A,#N/A,FALSE,"PERSONAL"}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yu5yrt" localSheetId="0" hidden="1">#REF!</definedName>
    <definedName name="dyu5yrt" hidden="1">#REF!</definedName>
    <definedName name="DZ.Main" localSheetId="0" hidden="1">#REF!</definedName>
    <definedName name="DZ.Main" hidden="1">#REF!</definedName>
    <definedName name="dzfc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E" localSheetId="0" hidden="1">#REF!</definedName>
    <definedName name="EEE" hidden="1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" hidden="1">{#N/A,#N/A,TRUE,"A"}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o2" hidden="1">#REF!</definedName>
    <definedName name="elias" hidden="1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" hidden="1">{#N/A,#N/A,FALSE,"PERSONAL"}</definedName>
    <definedName name="ererrreer" localSheetId="0" hidden="1">{#N/A,#N/A,FALSE,"PERSONAL"}</definedName>
    <definedName name="ererrreer" hidden="1">{#N/A,#N/A,FALSE,"PERSONAL"}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CUELABARZALOZA" localSheetId="0" hidden="1">{#N/A,#N/A,TRUE,"Unifilar"}</definedName>
    <definedName name="ESCUELABARZALOZA" hidden="1">{#N/A,#N/A,TRUE,"Unifilar"}</definedName>
    <definedName name="Especialista" localSheetId="0" hidden="1">{#N/A,#N/A,FALSE,"Costos Productos 6A";#N/A,#N/A,FALSE,"Costo Unitario Total H-94-12"}</definedName>
    <definedName name="Especialista" hidden="1">{#N/A,#N/A,FALSE,"Costos Productos 6A";#N/A,#N/A,FALSE,"Costo Unitario Total H-94-12"}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UDIOS" hidden="1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" localSheetId="0" hidden="1">{#N/A,#N/A,FALSE,"PERSONAL"}</definedName>
    <definedName name="EWE" hidden="1">{#N/A,#N/A,FALSE,"PERSONAL"}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RE" localSheetId="0" hidden="1">{#N/A,#N/A,FALSE,"PERSONAL"}</definedName>
    <definedName name="EWERE" hidden="1">{#N/A,#N/A,FALSE,"PERSONAL"}</definedName>
    <definedName name="EWEWE" localSheetId="0" hidden="1">{#N/A,#N/A,FALSE,"PERSONAL"}</definedName>
    <definedName name="EWEWE" hidden="1">{#N/A,#N/A,FALSE,"PERSONAL"}</definedName>
    <definedName name="EWEWEWE" localSheetId="0" hidden="1">{#N/A,#N/A,FALSE,"PERSONAL"}</definedName>
    <definedName name="EWEWEWE" hidden="1">{#N/A,#N/A,FALSE,"PERSONAL"}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_1" localSheetId="0" hidden="1">#REF!</definedName>
    <definedName name="EX_1" hidden="1">#REF!</definedName>
    <definedName name="excavaciones" localSheetId="0" hidden="1">{#N/A,#N/A,FALSE,"Hoja1";#N/A,#N/A,FALSE,"Hoja2"}</definedName>
    <definedName name="excavaciones" hidden="1">{#N/A,#N/A,FALSE,"Hoja1";#N/A,#N/A,FALSE,"Hoja2"}</definedName>
    <definedName name="Executivepb" localSheetId="0" hidden="1">#REF!</definedName>
    <definedName name="Executivepb" hidden="1">#REF!</definedName>
    <definedName name="eyeyey" localSheetId="0" hidden="1">#REF!</definedName>
    <definedName name="eyeyey" hidden="1">#REF!</definedName>
    <definedName name="FAC" localSheetId="0" hidden="1">#REF!</definedName>
    <definedName name="FAC" hidden="1">#REF!</definedName>
    <definedName name="Factpb" localSheetId="0" hidden="1">#REF!</definedName>
    <definedName name="Factpb" hidden="1">#REF!</definedName>
    <definedName name="Factpb2" localSheetId="0" hidden="1">#REF!</definedName>
    <definedName name="Factpb2" hidden="1">#REF!</definedName>
    <definedName name="FAL" localSheetId="0" hidden="1">{#N/A,#N/A,FALSE,"Hoja1";#N/A,#N/A,FALSE,"Hoja2"}</definedName>
    <definedName name="FAL" hidden="1">{#N/A,#N/A,FALSE,"Hoja1";#N/A,#N/A,FALSE,"Hoja2"}</definedName>
    <definedName name="fda" localSheetId="0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" localSheetId="0" hidden="1">{#N/A,#N/A,FALSE,"PERSONAL"}</definedName>
    <definedName name="FDFD" hidden="1">{#N/A,#N/A,FALSE,"PERSONAL"}</definedName>
    <definedName name="fdfdf" localSheetId="0" hidden="1">{#N/A,#N/A,FALSE,"PERSONAL"}</definedName>
    <definedName name="fdfdf" hidden="1">{#N/A,#N/A,FALSE,"PERSONAL"}</definedName>
    <definedName name="FDFDFD" localSheetId="0" hidden="1">{#N/A,#N/A,FALSE,"PERSONAL"}</definedName>
    <definedName name="FDFDFD" hidden="1">{#N/A,#N/A,FALSE,"PERSONAL"}</definedName>
    <definedName name="FDFDFDFD" localSheetId="0" hidden="1">{#N/A,#N/A,FALSE,"PERSONAL"}</definedName>
    <definedName name="FDFDFDFD" hidden="1">{#N/A,#N/A,FALSE,"PERSONAL"}</definedName>
    <definedName name="FDFDFDFDFDFDFDFDFDFDF" localSheetId="0" hidden="1">{#N/A,#N/A,FALSE,"PERSONAL"}</definedName>
    <definedName name="FDFDFDFDFDFDFDFDFDFDF" hidden="1">{#N/A,#N/A,FALSE,"PERSONAL"}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 hidden="1">{"'下期集計（10.27迄・速報値）'!$Q$16"}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FSDS" localSheetId="0" hidden="1">{#N/A,#N/A,FALSE,"PERSONAL"}</definedName>
    <definedName name="FDSFSDS" hidden="1">{#N/A,#N/A,FALSE,"PERSONAL"}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EE" localSheetId="0" hidden="1">{#N/A,#N/A,FALSE,"PERSONAL"}</definedName>
    <definedName name="FEEE" hidden="1">{#N/A,#N/A,FALSE,"PERSONAL"}</definedName>
    <definedName name="FEL" localSheetId="0" hidden="1">{#N/A,#N/A,FALSE,"Hoja1";#N/A,#N/A,FALSE,"Hoja2"}</definedName>
    <definedName name="FEL" hidden="1">{#N/A,#N/A,FALSE,"Hoja1";#N/A,#N/A,FALSE,"Hoja2"}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0" hidden="1">#REF!</definedName>
    <definedName name="FFFF" hidden="1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f" localSheetId="0" hidden="1">{#N/A,#N/A,FALSE,"PERSONAL"}</definedName>
    <definedName name="fffffff" hidden="1">{#N/A,#N/A,FALSE,"PERSONAL"}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ggg" localSheetId="0" hidden="1">{#N/A,#N/A,FALSE,"PERSONAL"}</definedName>
    <definedName name="fffggg" hidden="1">{#N/A,#N/A,FALSE,"PERSONAL"}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" localSheetId="0" hidden="1">{#N/A,#N/A,FALSE,"PERSONAL"}</definedName>
    <definedName name="fghj" hidden="1">{#N/A,#N/A,FALSE,"PERSONAL"}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ll" hidden="1">#REF!</definedName>
    <definedName name="fill1" localSheetId="0" hidden="1">#REF!</definedName>
    <definedName name="fill1" hidden="1">#REF!</definedName>
    <definedName name="filtrarbasedatos" hidden="1">#REF!</definedName>
    <definedName name="Financialpb" localSheetId="0" hidden="1">#REF!</definedName>
    <definedName name="Financialpb" hidden="1">#REF!</definedName>
    <definedName name="Financialpb2" localSheetId="0" hidden="1">#REF!</definedName>
    <definedName name="Financialpb2" hidden="1">#REF!</definedName>
    <definedName name="fORMA9698" localSheetId="0" hidden="1">{#N/A,#N/A,FALSE,"CIBHA05A";#N/A,#N/A,FALSE,"CIBHA05B"}</definedName>
    <definedName name="fORMA9698" hidden="1">{#N/A,#N/A,FALSE,"CIBHA05A";#N/A,#N/A,FALSE,"CIBHA05B"}</definedName>
    <definedName name="FORMAUNIT" localSheetId="0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tos" localSheetId="0" hidden="1">{#N/A,#N/A,FALSE,"Hoja1";#N/A,#N/A,FALSE,"Hoja2"}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dfdf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 hidden="1">#REF!</definedName>
    <definedName name="G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ｇ" hidden="1">{"'下期集計（10.27迄・速報値）'!$Q$16"}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a" hidden="1">{"'下期集計（10.27迄・速報値）'!$Q$16"}</definedName>
    <definedName name="gdsa" hidden="1">{"'下期集計（10.27迄・速報値）'!$Q$16"}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r" localSheetId="0" hidden="1">#REF!</definedName>
    <definedName name="gerger" hidden="1">#REF!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gggbbbbbbbbbbbbbb" hidden="1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OTSX" localSheetId="0" hidden="1">{#N/A,#N/A,FALSE,"CIBHA05A";#N/A,#N/A,FALSE,"CIBHA05B"}</definedName>
    <definedName name="GOTSX" hidden="1">{#N/A,#N/A,FALSE,"CIBHA05A";#N/A,#N/A,FALSE,"CIBHA05B"}</definedName>
    <definedName name="GRAF" localSheetId="0" hidden="1">{#N/A,#N/A,FALSE,"SMT1";#N/A,#N/A,FALSE,"SMT2";#N/A,#N/A,FALSE,"Summary";#N/A,#N/A,FALSE,"Graphs";#N/A,#N/A,FALSE,"4 Panel"}</definedName>
    <definedName name="GRAF" hidden="1">{#N/A,#N/A,FALSE,"SMT1";#N/A,#N/A,FALSE,"SMT2";#N/A,#N/A,FALSE,"Summary";#N/A,#N/A,FALSE,"Graphs";#N/A,#N/A,FALSE,"4 Panel"}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CHIS0599" localSheetId="0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S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ｈ" hidden="1">{"'下期集計（10.27迄・速報値）'!$Q$16"}</definedName>
    <definedName name="H16?1??" hidden="1">{"'????'!$A$1:$C$37"}</definedName>
    <definedName name="Ｈ16・１" hidden="1">{"'コメント'!$A$1:$C$37"}</definedName>
    <definedName name="H16･1速報" hidden="1">{"'コメント'!$A$1:$C$37"}</definedName>
    <definedName name="h56h" localSheetId="0" hidden="1">{0,0,0,0;0,0,0,0}</definedName>
    <definedName name="h56h" hidden="1">{0,0,0,0;0,0,0,0}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rramienta" localSheetId="0" hidden="1">{"'Sheet2'!$A$3:$B$17"}</definedName>
    <definedName name="Herramienta" hidden="1">{"'Sheet2'!$A$3:$B$17"}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ghghghgh" localSheetId="0" hidden="1">{#N/A,#N/A,FALSE,"PERSONAL"}</definedName>
    <definedName name="hghghghghgh" hidden="1">{#N/A,#N/A,FALSE,"PERSONAL"}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0" hidden="1">{#N/A,#N/A,TRUE,"1842CWN0"}</definedName>
    <definedName name="hhg" hidden="1">{#N/A,#N/A,TRUE,"1842CWN0"}</definedName>
    <definedName name="hhghhghghhgg" localSheetId="0" hidden="1">{#N/A,#N/A,FALSE,"PERSONAL"}</definedName>
    <definedName name="hhghhghghhgg" hidden="1">{#N/A,#N/A,FALSE,"PERSONAL"}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hh" localSheetId="0" hidden="1">{#N/A,#N/A,FALSE,"PERSONAL"}</definedName>
    <definedName name="hhhhhhhhhh" hidden="1">{#N/A,#N/A,FALSE,"PERSONAL"}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K" localSheetId="0" hidden="1">{#N/A,#N/A,FALSE,"PERSONAL"}</definedName>
    <definedName name="HIK" hidden="1">{#N/A,#N/A,FALSE,"PERSONAL"}</definedName>
    <definedName name="HISTORICO" localSheetId="0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Year_0" localSheetId="0" hidden="1">#REF!</definedName>
    <definedName name="HisYear_0" hidden="1">#REF!</definedName>
    <definedName name="HisYear_1" localSheetId="0" hidden="1">#REF!</definedName>
    <definedName name="HisYear_1" hidden="1">#REF!</definedName>
    <definedName name="HisYear_2" localSheetId="0" hidden="1">#REF!</definedName>
    <definedName name="HisYear_2" hidden="1">#REF!</definedName>
    <definedName name="HisYear_3" localSheetId="0" hidden="1">#REF!</definedName>
    <definedName name="HisYear_3" hidden="1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J" localSheetId="0" hidden="1">{#N/A,#N/A,FALSE,"PERSONAL"}</definedName>
    <definedName name="HKJ" hidden="1">{#N/A,#N/A,FALSE,"PERSONAL"}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localSheetId="0" hidden="1">#REF!,#REF!,#REF!,#REF!,#REF!,#REF!,#REF!,#REF!,#REF!,#REF!</definedName>
    <definedName name="hn.ConvertZero1" hidden="1">#REF!,#REF!,#REF!,#REF!,#REF!,#REF!,#REF!,#REF!,#REF!,#REF!</definedName>
    <definedName name="hn.ConvertZero2" localSheetId="0" hidden="1">#REF!,#REF!,#REF!,#REF!,#REF!,#REF!,#REF!,#REF!</definedName>
    <definedName name="hn.ConvertZero2" hidden="1">#REF!,#REF!,#REF!,#REF!,#REF!,#REF!,#REF!,#REF!</definedName>
    <definedName name="hn.ConvertZero3" localSheetId="0" hidden="1">#REF!,#REF!,#REF!,#REF!,#REF!</definedName>
    <definedName name="hn.ConvertZero3" hidden="1">#REF!,#REF!,#REF!,#REF!,#REF!</definedName>
    <definedName name="hn.ConvertZero4" localSheetId="0" hidden="1">#REF!,#REF!,#REF!,#REF!,#REF!,#REF!,#REF!,#REF!</definedName>
    <definedName name="hn.ConvertZero4" hidden="1">#REF!,#REF!,#REF!,#REF!,#REF!,#REF!,#REF!,#REF!</definedName>
    <definedName name="hn.ConvertZeroUnhide1" localSheetId="0" hidden="1">#REF!,#REF!,#REF!</definedName>
    <definedName name="hn.ConvertZeroUnhide1" hidden="1">#REF!,#REF!,#REF!</definedName>
    <definedName name="hn.Delete015" localSheetId="0" hidden="1">#REF!,#REF!,#REF!,#REF!</definedName>
    <definedName name="hn.Delete015" hidden="1">#REF!,#REF!,#REF!,#REF!</definedName>
    <definedName name="hn.DZ_MultByFXRates" localSheetId="0" hidden="1">#REF!,#REF!,#REF!,#REF!</definedName>
    <definedName name="hn.DZ_MultByFXRates" hidden="1">#REF!,#REF!,#REF!,#REF!</definedName>
    <definedName name="hn.ExtDb" hidden="1">FALSE</definedName>
    <definedName name="hn.LTM_MultByFXRates" localSheetId="0" hidden="1">#REF!,#REF!,#REF!,#REF!,#REF!,#REF!,#REF!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localSheetId="0" hidden="1">#REF!,#REF!,#REF!,#REF!,#REF!,#REF!,#REF!</definedName>
    <definedName name="hn.MultbyFXRates" hidden="1">#REF!,#REF!,#REF!,#REF!,#REF!,#REF!,#REF!</definedName>
    <definedName name="hn.MultByFXRates1" localSheetId="0" hidden="1">#REF!,#REF!,#REF!,#REF!,#REF!</definedName>
    <definedName name="hn.MultByFXRates1" hidden="1">#REF!,#REF!,#REF!,#REF!,#REF!</definedName>
    <definedName name="hn.MultByFXRates2" localSheetId="0" hidden="1">#REF!,#REF!,#REF!,#REF!,#REF!</definedName>
    <definedName name="hn.MultByFXRates2" hidden="1">#REF!,#REF!,#REF!,#REF!,#REF!</definedName>
    <definedName name="hn.MultByFXRates3" localSheetId="0" hidden="1">#REF!,#REF!,#REF!,#REF!,#REF!</definedName>
    <definedName name="hn.MultByFXRates3" hidden="1">#REF!,#REF!,#REF!,#REF!,#REF!</definedName>
    <definedName name="hn.MultbyFxrates4" localSheetId="0" hidden="1">#REF!,#REF!,#REF!,#REF!,#REF!,#REF!,#REF!</definedName>
    <definedName name="hn.MultbyFxrates4" hidden="1">#REF!,#REF!,#REF!,#REF!,#REF!,#REF!,#REF!</definedName>
    <definedName name="hn.multbyfxrates5" localSheetId="0" hidden="1">#REF!,#REF!,#REF!,#REF!,#REF!</definedName>
    <definedName name="hn.multbyfxrates5" hidden="1">#REF!,#REF!,#REF!,#REF!,#REF!</definedName>
    <definedName name="hn.multbyfxrates6" localSheetId="0" hidden="1">#REF!,#REF!,#REF!,#REF!,#REF!</definedName>
    <definedName name="hn.multbyfxrates6" hidden="1">#REF!,#REF!,#REF!,#REF!,#REF!</definedName>
    <definedName name="hn.multbyfxrates7" localSheetId="0" hidden="1">#REF!,#REF!,#REF!,#REF!,#REF!</definedName>
    <definedName name="hn.multbyfxrates7" hidden="1">#REF!,#REF!,#REF!,#REF!,#REF!</definedName>
    <definedName name="hn.MultByFXRatesBot1" localSheetId="0" hidden="1">#REF!,#REF!,#REF!,#REF!,#REF!,#REF!,#REF!,#REF!,#REF!,#REF!,#REF!,#REF!</definedName>
    <definedName name="hn.MultByFXRatesBot1" hidden="1">#REF!,#REF!,#REF!,#REF!,#REF!,#REF!,#REF!,#REF!,#REF!,#REF!,#REF!,#REF!</definedName>
    <definedName name="hn.MultByFXRatesBot2" localSheetId="0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localSheetId="0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localSheetId="0" hidden="1">#REF!,#REF!,#REF!,#REF!,#REF!,#REF!,#REF!,#REF!,#REF!,#REF!,#REF!,#REF!,#REF!</definedName>
    <definedName name="hn.MultByFXRatesBot4" hidden="1">#REF!,#REF!,#REF!,#REF!,#REF!,#REF!,#REF!,#REF!,#REF!,#REF!,#REF!,#REF!,#REF!</definedName>
    <definedName name="hn.MultByFXRatesBot5" localSheetId="0" hidden="1">#REF!,#REF!,#REF!,#REF!,#REF!,#REF!,#REF!,#REF!,#REF!,#REF!,#REF!</definedName>
    <definedName name="hn.MultByFXRatesBot5" hidden="1">#REF!,#REF!,#REF!,#REF!,#REF!,#REF!,#REF!,#REF!,#REF!,#REF!,#REF!</definedName>
    <definedName name="hn.MultByFXRatesBot6" localSheetId="0" hidden="1">#REF!,#REF!,#REF!,#REF!,#REF!,#REF!,#REF!,#REF!,#REF!,#REF!,#REF!</definedName>
    <definedName name="hn.MultByFXRatesBot6" hidden="1">#REF!,#REF!,#REF!,#REF!,#REF!,#REF!,#REF!,#REF!,#REF!,#REF!,#REF!</definedName>
    <definedName name="hn.MultByFXRatesBot7" localSheetId="0" hidden="1">#REF!,#REF!,#REF!,#REF!,#REF!,#REF!,#REF!,#REF!,#REF!,#REF!,#REF!</definedName>
    <definedName name="hn.MultByFXRatesBot7" hidden="1">#REF!,#REF!,#REF!,#REF!,#REF!,#REF!,#REF!,#REF!,#REF!,#REF!,#REF!</definedName>
    <definedName name="hn.MultByFXRatesTop1" localSheetId="0" hidden="1">#REF!,#REF!,#REF!,#REF!,#REF!,#REF!,#REF!,#REF!,#REF!,#REF!,#REF!,#REF!</definedName>
    <definedName name="hn.MultByFXRatesTop1" hidden="1">#REF!,#REF!,#REF!,#REF!,#REF!,#REF!,#REF!,#REF!,#REF!,#REF!,#REF!,#REF!</definedName>
    <definedName name="hn.MultByFXRatesTop2" localSheetId="0" hidden="1">#REF!,#REF!,#REF!,#REF!,#REF!,#REF!,#REF!,#REF!,#REF!,#REF!,#REF!,#REF!,#REF!,#REF!,#REF!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localSheetId="0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localSheetId="0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localSheetId="0" hidden="1">#REF!,#REF!,#REF!,#REF!,#REF!,#REF!,#REF!,#REF!,#REF!,#REF!,#REF!,#REF!</definedName>
    <definedName name="hn.MultByFXRatesTop5" hidden="1">#REF!,#REF!,#REF!,#REF!,#REF!,#REF!,#REF!,#REF!,#REF!,#REF!,#REF!,#REF!</definedName>
    <definedName name="hn.MultByFXRatesTop6" localSheetId="0" hidden="1">#REF!,#REF!,#REF!,#REF!,#REF!,#REF!,#REF!,#REF!,#REF!,#REF!,#REF!,#REF!,#REF!,#REF!,#REF!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localSheetId="0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0" hidden="1">#REF!</definedName>
    <definedName name="hn.YearLabel" hidden="1">#REF!</definedName>
    <definedName name="hoy" hidden="1">#N/A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0" hidden="1">{#N/A,#N/A,FALSE,"CIBHA05A";#N/A,#N/A,FALSE,"CIBHA05B"}</definedName>
    <definedName name="HSIT" hidden="1">{#N/A,#N/A,FALSE,"CIBHA05A";#N/A,#N/A,FALSE,"CIBHA05B"}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_Control" hidden="1">{"'下期集計（10.27迄・速報値）'!$Q$16"}</definedName>
    <definedName name="ＨＴＭＬ" hidden="1">{"'コメント'!$A$1:$C$37"}</definedName>
    <definedName name="HTML_CodePage" hidden="1">1252</definedName>
    <definedName name="HTML_Control" localSheetId="0" hidden="1">{"'dir.g'!$A$1","'Horarios'!$A$4:$D$5"}</definedName>
    <definedName name="HTML_Control" hidden="1">{"'dir.g'!$A$1","'Horarios'!$A$4:$D$5"}</definedName>
    <definedName name="HTML_Control2" hidden="1">{"'Parámetros'!$A$3:$C$3"}</definedName>
    <definedName name="HTML_Description" hidden="1">""</definedName>
    <definedName name="HTML_Email" hidden="1">""</definedName>
    <definedName name="HTML_Header" localSheetId="0" hidden="1">"dir.g"</definedName>
    <definedName name="HTML_Header" hidden="1">"dir.g"</definedName>
    <definedName name="HTML_LastUpdate" localSheetId="0" hidden="1">"28/01/03"</definedName>
    <definedName name="HTML_LastUpdate" hidden="1">"28/01/03"</definedName>
    <definedName name="HTML_LineAfter" hidden="1">FALSE</definedName>
    <definedName name="HTML_LineBefore" localSheetId="0" hidden="1">FALSE</definedName>
    <definedName name="HTML_LineBefore" hidden="1">FALSE</definedName>
    <definedName name="HTML_Name" localSheetId="0" hidden="1">"BANCAFE"</definedName>
    <definedName name="HTML_Name" hidden="1">"BANCAFE"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0" hidden="1">"E:\Dirtel.htm"</definedName>
    <definedName name="HTML_PathFile" hidden="1">"E:\Dirtel.htm"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localSheetId="0" hidden="1">"Dirtel2002"</definedName>
    <definedName name="HTML_Title" hidden="1">"Dirtel2002"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ousi" hidden="1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TO_IVA" localSheetId="0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MPTO_IVA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ncomepb" localSheetId="0" hidden="1">#REF!</definedName>
    <definedName name="Incomepb" hidden="1">#REF!</definedName>
    <definedName name="incoval" localSheetId="0" hidden="1">{"via1",#N/A,TRUE,"general";"via2",#N/A,TRUE,"general";"via3",#N/A,TRUE,"general"}</definedName>
    <definedName name="incoval" hidden="1">{"via1",#N/A,TRUE,"general";"via2",#N/A,TRUE,"general";"via3",#N/A,TRUE,"general"}</definedName>
    <definedName name="INDPYG9698" localSheetId="0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FORME" localSheetId="0" hidden="1">{#N/A,#N/A,FALSE,"Hoja1";#N/A,#N/A,FALSE,"Hoja2"}</definedName>
    <definedName name="INFORME" hidden="1">{#N/A,#N/A,FALSE,"Hoja1";#N/A,#N/A,FALSE,"Hoja2"}</definedName>
    <definedName name="informe_agosto5_montecz" localSheetId="0" hidden="1">{#N/A,#N/A,FALSE,"Hoja1";#N/A,#N/A,FALSE,"Hoja2"}</definedName>
    <definedName name="informe_agosto5_montecz" hidden="1">{#N/A,#N/A,FALSE,"Hoja1";#N/A,#N/A,FALSE,"Hoja2"}</definedName>
    <definedName name="ING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GREHIS" localSheetId="0" hidden="1">{#N/A,#N/A,FALSE,"CIBHA05A";#N/A,#N/A,FALSE,"CIBHA05B"}</definedName>
    <definedName name="INGREHIS" hidden="1">{#N/A,#N/A,FALSE,"CIBHA05A";#N/A,#N/A,FALSE,"CIBHA05B"}</definedName>
    <definedName name="Ingresos" hidden="1">{"'Sheet2'!$A$3:$B$17"}</definedName>
    <definedName name="Ingresos06" localSheetId="0" hidden="1">{"'Sheet2'!$A$3:$B$17"}</definedName>
    <definedName name="Ingresos06" hidden="1">{"'Sheet2'!$A$3:$B$17"}</definedName>
    <definedName name="INSTRU" localSheetId="0" hidden="1">{#N/A,#N/A,TRUE,"INGENIERIA";#N/A,#N/A,TRUE,"COMPRAS";#N/A,#N/A,TRUE,"DIRECCION";#N/A,#N/A,TRUE,"RESUMEN"}</definedName>
    <definedName name="INSTRU" hidden="1">{#N/A,#N/A,TRUE,"INGENIERIA";#N/A,#N/A,TRUE,"COMPRAS";#N/A,#N/A,TRUE,"DIRECCION";#N/A,#N/A,TRUE,"RESUMEN"}</definedName>
    <definedName name="INTERVENTORÍA" hidden="1">{"via1",#N/A,TRUE,"general";"via2",#N/A,TRUE,"general";"via3",#N/A,TRUE,"general"}</definedName>
    <definedName name="IOPIOU" localSheetId="0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localSheetId="0" hidden="1">"c116"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EST_REUT" hidden="1">"c5453"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UM_EST" hidden="1">"c402"</definedName>
    <definedName name="IQ_EPS_NUM_EST_REUT" hidden="1">"c5451"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DIFF" hidden="1">"c1864"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REUT" hidden="1">"c3633"</definedName>
    <definedName name="IQ_EST_EPS_GROWTH_Q_1YR" hidden="1">"c1641"</definedName>
    <definedName name="IQ_EST_EPS_GROWTH_Q_1YR_REUT" hidden="1">"c5410"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40809.7705439815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localSheetId="0" hidden="1">"c1023"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localSheetId="0" hidden="1">39310.4362615741</definedName>
    <definedName name="IQ_REVISION_DATE_" hidden="1">39310.4362615741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BANK" hidden="1">"c2637"</definedName>
    <definedName name="IQ_SP_BANK_ACTION" hidden="1">"c2636"</definedName>
    <definedName name="IQ_SP_BANK_DATE" hidden="1">"c2635"</definedName>
    <definedName name="IQ_SP_DATE" hidden="1">"c2172"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localSheetId="0" hidden="1">#REF!</definedName>
    <definedName name="irng" hidden="1">#REF!</definedName>
    <definedName name="IsColHidden" hidden="1">FALSE</definedName>
    <definedName name="IsLTMColHidden" hidden="1">FALSE</definedName>
    <definedName name="IsSecureRevolver" localSheetId="0" hidden="1">#REF!</definedName>
    <definedName name="IsSecureRevolver" hidden="1">#REF!</definedName>
    <definedName name="IsSecureSenior1" localSheetId="0" hidden="1">#REF!</definedName>
    <definedName name="IsSecureSenior1" hidden="1">#REF!</definedName>
    <definedName name="IsSecureSenior2" localSheetId="0" hidden="1">#REF!</definedName>
    <definedName name="IsSecureSenior2" hidden="1">#REF!</definedName>
    <definedName name="IsSecureSenior3" localSheetId="0" hidden="1">#REF!</definedName>
    <definedName name="IsSecureSenior3" hidden="1">#REF!</definedName>
    <definedName name="IsSecureSenior4" localSheetId="0" hidden="1">#REF!</definedName>
    <definedName name="IsSecureSenior4" hidden="1">#REF!</definedName>
    <definedName name="IsSecureSenior5" localSheetId="0" hidden="1">#REF!</definedName>
    <definedName name="IsSecureSenior5" hidden="1">#REF!</definedName>
    <definedName name="IsSecureSenior6" localSheetId="0" hidden="1">#REF!</definedName>
    <definedName name="IsSecureSenior6" hidden="1">#REF!</definedName>
    <definedName name="IsSecureSenior7" localSheetId="0" hidden="1">#REF!</definedName>
    <definedName name="IsSecureSenior7" hidden="1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_DIJE" localSheetId="0" hidden="1">{#N/A,#N/A,FALSE,"137.2.R";#N/A,#N/A,FALSE,"137.3.R";#N/A,#N/A,FALSE,"137.4.R";#N/A,#N/A,FALSE,"138.R";#N/A,#N/A,FALSE,"140.R";#N/A,#N/A,FALSE,"145.R";#N/A,#N/A,FALSE,"146.R"}</definedName>
    <definedName name="IVA_DIJE" hidden="1">{#N/A,#N/A,FALSE,"137.2.R";#N/A,#N/A,FALSE,"137.3.R";#N/A,#N/A,FALSE,"137.4.R";#N/A,#N/A,FALSE,"138.R";#N/A,#N/A,FALSE,"140.R";#N/A,#N/A,FALSE,"145.R";#N/A,#N/A,FALSE,"146.R"}</definedName>
    <definedName name="IVADIJE" localSheetId="0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DIJE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PORFIADO" localSheetId="0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APORFIADO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ITA1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ITA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VVVVITA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VVVVITA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ur25" localSheetId="0" hidden="1">#REF!</definedName>
    <definedName name="jfhur25" hidden="1">#REF!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0" hidden="1">{"SUMINISTRO E INSTALACIÓN CANALETAS L=7.50"}</definedName>
    <definedName name="jjjjj" hidden="1">#REF!</definedName>
    <definedName name="JJJJJJJJJJ" hidden="1">{#N/A,#N/A,TRUE,"INGENIERIA";#N/A,#N/A,TRUE,"COMPRAS";#N/A,#N/A,TRUE,"DIRECCION";#N/A,#N/A,TRUE,"RESUMEN"}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localSheetId="0" hidden="1">#REF!</definedName>
    <definedName name="jklj" hidden="1">#REF!</definedName>
    <definedName name="JODER" hidden="1">#REF!</definedName>
    <definedName name="JODER_1" hidden="1">#REF!</definedName>
    <definedName name="JODER_2" hidden="1">#REF!</definedName>
    <definedName name="JOHN" localSheetId="0" hidden="1">{#N/A,#N/A,FALSE,"PERSONAL"}</definedName>
    <definedName name="JOHN" hidden="1">{#N/A,#N/A,FALSE,"PERSONAL"}</definedName>
    <definedName name="jp" localSheetId="0" hidden="1">{#N/A,#N/A,FALSE,"SOACHA"}</definedName>
    <definedName name="jp" hidden="1">{#N/A,#N/A,FALSE,"SOACHA"}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BK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localSheetId="0" hidden="1">#REF!</definedName>
    <definedName name="kdmfm" hidden="1">#REF!</definedName>
    <definedName name="kfjskjfsklf" hidden="1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l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SFDSD" localSheetId="0" hidden="1">{#N/A,#N/A,FALSE,"Costos Productos 6A";#N/A,#N/A,FALSE,"Costo Unitario Total H-94-12"}</definedName>
    <definedName name="KJSFDSD" hidden="1">{#N/A,#N/A,FALSE,"Costos Productos 6A";#N/A,#N/A,FALSE,"Costo Unitario Total H-94-12"}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#REF!</definedName>
    <definedName name="kkk" hidden="1">{"'下期集計（10.27迄・速報値）'!$Q$16"}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_S" hidden="1">{#N/A,#N/A,TRUE,"CODIGO DEPENDENCIA"}</definedName>
    <definedName name="lame" localSheetId="0" hidden="1">#REF!</definedName>
    <definedName name="lame" hidden="1">#REF!</definedName>
    <definedName name="LARGUILLO" hidden="1">#REF!,#REF!,#REF!,#REF!,#REF!,#REF!,#REF!,#REF!,#REF!,#REF!,#REF!,#REF!,#REF!,#REF!,#REF!,#REF!,#REF!,#REF!,#REF!</definedName>
    <definedName name="Left_Header" localSheetId="0" hidden="1">#REF!</definedName>
    <definedName name="Left_Header" hidden="1">#REF!</definedName>
    <definedName name="lidsa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mcount" hidden="1">1</definedName>
    <definedName name="lio" hidden="1">{#N/A,#N/A,TRUE,"A"}</definedName>
    <definedName name="listado1" localSheetId="0" hidden="1">{#N/A,#N/A,FALSE,"PROPON.2001"}</definedName>
    <definedName name="listado1" hidden="1">{#N/A,#N/A,FALSE,"PROPON.2001"}</definedName>
    <definedName name="ListOffset" hidden="1">1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" localSheetId="0" hidden="1">{#N/A,#N/A,TRUE,"Unifilar"}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CAT1999" localSheetId="0" hidden="1">{"SUMINISTRO E INSTALACIÓN CANALETAS L=7.50"}</definedName>
    <definedName name="LOCAT1999" hidden="1">{"SUMINISTRO E INSTALACIÓN CANALETAS L=7.50"}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O" hidden="1">{#N/A,#N/A,TRUE,"Summary"}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uis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i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Z" localSheetId="0" hidden="1">{#N/A,#N/A,FALSE,"PROPON.2001"}</definedName>
    <definedName name="LUZ" hidden="1">{#N/A,#N/A,FALSE,"PROPON.2001"}</definedName>
    <definedName name="M" localSheetId="0" hidden="1">{#N/A,#N/A,FALSE,"PROPON.2001"}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ma" localSheetId="0" hidden="1">#REF!</definedName>
    <definedName name="mama" hidden="1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RIA" localSheetId="0" hidden="1">{#N/A,#N/A,FALSE,"PROPON.2001"}</definedName>
    <definedName name="MARTA" localSheetId="0" hidden="1">{#N/A,#N/A,FALSE,"PROPON.2001"}</definedName>
    <definedName name="MASA" hidden="1">#REF!,#REF!,#REF!,#REF!,#REF!,#REF!,#REF!,#REF!,#REF!,#REF!,#REF!,#REF!,#REF!,#REF!,#REF!,#REF!,#REF!,#REF!,#REF!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BAS" hidden="1">{"'ADV&amp;DP'!$A$4:$C$25"}</definedName>
    <definedName name="mbs" hidden="1">{"'ADV&amp;DP'!$A$4:$C$25"}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FRI" localSheetId="0" hidden="1">{#N/A,#N/A,TRUE,"Unifilar"}</definedName>
    <definedName name="MEMOFRI" hidden="1">{#N/A,#N/A,TRUE,"Unifilar"}</definedName>
    <definedName name="memorias" localSheetId="0" hidden="1">{#N/A,#N/A,FALSE,"CIBHA05A";#N/A,#N/A,FALSE,"CIBHA05B"}</definedName>
    <definedName name="memorias" hidden="1">{#N/A,#N/A,FALSE,"CIBHA05A";#N/A,#N/A,FALSE,"CIBHA05B"}</definedName>
    <definedName name="memoru" hidden="1">#REF!</definedName>
    <definedName name="MEMPYGH" localSheetId="0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ESCUDO" hidden="1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KK" hidden="1">{"'下期集計（10.27迄・速報値）'!$Q$16"}</definedName>
    <definedName name="MLKJ" localSheetId="0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BILE" hidden="1">{"'ADV&amp;DP'!$A$4:$C$25"}</definedName>
    <definedName name="mODI" localSheetId="0" hidden="1">{#N/A,#N/A,FALSE,"nuevo formato actividades";#N/A,#N/A,FALSE,"nuevo formato actividades";#N/A,#N/A,FALSE,"nuevo formato actividades"}</definedName>
    <definedName name="mODI" hidden="1">{#N/A,#N/A,FALSE,"nuevo formato actividades";#N/A,#N/A,FALSE,"nuevo formato actividades";#N/A,#N/A,FALSE,"nuevo formato actividades"}</definedName>
    <definedName name="mODIF" hidden="1">{#N/A,#N/A,FALSE,"nuevo formato actividades";#N/A,#N/A,FALSE,"nuevo formato actividades";#N/A,#N/A,FALSE,"nuevo formato actividades"}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V" localSheetId="0" hidden="1">{#N/A,#N/A,FALSE,"Hoja1";#N/A,#N/A,FALSE,"Hoja2"}</definedName>
    <definedName name="MOV" hidden="1">{#N/A,#N/A,FALSE,"Hoja1";#N/A,#N/A,FALSE,"Hoja2"}</definedName>
    <definedName name="MTL" localSheetId="0" hidden="1">#REF!</definedName>
    <definedName name="MTL" hidden="1">#REF!</definedName>
    <definedName name="MttoUBTransportes" localSheetId="0" hidden="1">#REF!</definedName>
    <definedName name="MttoUBTransportes" hidden="1">#REF!</definedName>
    <definedName name="Municipio" hidden="1">"VILLAGÓMEZ"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w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X" localSheetId="0" hidden="1">{#N/A,#N/A,FALSE,"SMT1";#N/A,#N/A,FALSE,"SMT2";#N/A,#N/A,FALSE,"Summary";#N/A,#N/A,FALSE,"Graphs";#N/A,#N/A,FALSE,"4 Panel"}</definedName>
    <definedName name="newX" hidden="1">{#N/A,#N/A,FALSE,"SMT1";#N/A,#N/A,FALSE,"SMT2";#N/A,#N/A,FALSE,"Summary";#N/A,#N/A,FALSE,"Graphs";#N/A,#N/A,FALSE,"4 Panel"}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{#N/A,#N/A,FALSE,"SMT1";#N/A,#N/A,FALSE,"SMT2";#N/A,#N/A,FALSE,"Summary";#N/A,#N/A,FALSE,"Graphs";#N/A,#N/A,FALSE,"4 Panel"}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cal2m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emi" localSheetId="0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RMA" localSheetId="0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RMA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RTE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ueva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2" localSheetId="0" hidden="1">{#N/A,#N/A,FALSE,"Costos Productos 6A";#N/A,#N/A,FALSE,"Costo Unitario Total H-94-12"}</definedName>
    <definedName name="NUEVO2" hidden="1">{#N/A,#N/A,FALSE,"Costos Productos 6A";#N/A,#N/A,FALSE,"Costo Unitario Total H-94-12"}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o" hidden="1">{#N/A,#N/A,TRUE,"A"}</definedName>
    <definedName name="ñp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0" hidden="1">#REF!</definedName>
    <definedName name="obras" hidden="1">#REF!</definedName>
    <definedName name="obras11" localSheetId="0" hidden="1">#REF!</definedName>
    <definedName name="obras11" hidden="1">#REF!</definedName>
    <definedName name="OBS_Data_Col" localSheetId="0" hidden="1">#REF!</definedName>
    <definedName name="OBS_Data_Col" hidden="1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" hidden="1">{#N/A,#N/A,TRUE,"A"}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leoducto" localSheetId="0" hidden="1">{"EVA",#N/A,FALSE,"SMT2";#N/A,#N/A,FALSE,"Summary";#N/A,#N/A,FALSE,"Graphs";#N/A,#N/A,FALSE,"4 Panel"}</definedName>
    <definedName name="oleoducto" hidden="1">{"EVA",#N/A,FALSE,"SMT2";#N/A,#N/A,FALSE,"Summary";#N/A,#N/A,FALSE,"Graphs";#N/A,#N/A,FALSE,"4 Panel"}</definedName>
    <definedName name="ooo" localSheetId="0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ningpb" localSheetId="0" hidden="1">#REF!</definedName>
    <definedName name="Openingpb" hidden="1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#REF!</definedName>
    <definedName name="OROZCO" hidden="1">#REF!</definedName>
    <definedName name="oscar" hidden="1">#REF!</definedName>
    <definedName name="OTRAAAAA" localSheetId="0" hidden="1">{#N/A,#N/A,TRUE,"INGENIERIA";#N/A,#N/A,TRUE,"COMPRAS";#N/A,#N/A,TRUE,"DIRECCION";#N/A,#N/A,TRUE,"RESUMEN"}</definedName>
    <definedName name="OTRAAAAA" hidden="1">{#N/A,#N/A,TRUE,"INGENIERIA";#N/A,#N/A,TRUE,"COMPRAS";#N/A,#N/A,TRUE,"DIRECCION";#N/A,#N/A,TRUE,"RESUMEN"}</definedName>
    <definedName name="OWNER" localSheetId="0" hidden="1">#REF!</definedName>
    <definedName name="OWNER" hidden="1">#REF!</definedName>
    <definedName name="p.BS" localSheetId="0" hidden="1">#REF!</definedName>
    <definedName name="p.BS" hidden="1">#REF!</definedName>
    <definedName name="p.BSAssumptions" localSheetId="0" hidden="1">#REF!</definedName>
    <definedName name="p.BSAssumptions" hidden="1">#REF!</definedName>
    <definedName name="p.CapStructure" localSheetId="0" hidden="1">#REF!</definedName>
    <definedName name="p.CapStructure" hidden="1">#REF!</definedName>
    <definedName name="p.CashFlow" localSheetId="0" hidden="1">#REF!</definedName>
    <definedName name="p.CashFlow" hidden="1">#REF!</definedName>
    <definedName name="p.Cover" localSheetId="0" hidden="1">#REF!</definedName>
    <definedName name="p.Cover" hidden="1">#REF!</definedName>
    <definedName name="p.Depreciation" localSheetId="0" hidden="1">#REF!</definedName>
    <definedName name="p.Depreciation" hidden="1">#REF!</definedName>
    <definedName name="p.Executive" localSheetId="0" hidden="1">#REF!</definedName>
    <definedName name="p.Executive" hidden="1">#REF!</definedName>
    <definedName name="p.FactSheet" localSheetId="0" hidden="1">#REF!</definedName>
    <definedName name="p.FactSheet" hidden="1">#REF!</definedName>
    <definedName name="p.IS" localSheetId="0" hidden="1">#REF!</definedName>
    <definedName name="p.IS" hidden="1">#REF!</definedName>
    <definedName name="p.ISAssumptions" localSheetId="0" hidden="1">#REF!</definedName>
    <definedName name="p.ISAssumptions" hidden="1">#REF!</definedName>
    <definedName name="p.OpeningBS" localSheetId="0" hidden="1">#REF!</definedName>
    <definedName name="p.OpeningBS" hidden="1">#REF!</definedName>
    <definedName name="p.TaxCalculation" localSheetId="0" hidden="1">#REF!</definedName>
    <definedName name="p.TaxCalculation" hidden="1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l_Workbook_GUID" hidden="1">"SR8S76V89W3LRKYBH7E32JEC"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endiente" hidden="1">#REF!</definedName>
    <definedName name="PIA" localSheetId="0" hidden="1">#REF!</definedName>
    <definedName name="PIA" hidden="1">#REF!</definedName>
    <definedName name="piu" hidden="1">{#N/A,#N/A,TRUE,"A"}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o" hidden="1">{#N/A,#N/A,TRUE,"A"}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localSheetId="0" hidden="1">#REF!</definedName>
    <definedName name="PLUG" hidden="1">#REF!</definedName>
    <definedName name="PMT" localSheetId="0" hidden="1">{#N/A,#N/A,TRUE,"CODIGO DEPENDENCIA"}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" localSheetId="0" hidden="1">{#N/A,#N/A,FALSE,"Hoja1";#N/A,#N/A,FALSE,"Hoja2"}</definedName>
    <definedName name="POL" hidden="1">{#N/A,#N/A,FALSE,"Hoja1";#N/A,#N/A,FALSE,"Hoja2"}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 hidden="1">"M:\Datos\PRESUPUESTO Vs GASTOS\DB EJECUCION  PvsG-0SM.mdb"</definedName>
    <definedName name="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" localSheetId="0" hidden="1">#REF!</definedName>
    <definedName name="PPT" hidden="1">#REF!</definedName>
    <definedName name="PPTACUM" localSheetId="0" hidden="1">{#N/A,#N/A,FALSE,"SOACHA"}</definedName>
    <definedName name="PPTACUM" hidden="1">{#N/A,#N/A,FALSE,"SOACHA"}</definedName>
    <definedName name="PPTACUMG" localSheetId="0" hidden="1">{#N/A,#N/A,FALSE,"SOACHA"}</definedName>
    <definedName name="PPTACUMG" hidden="1">{#N/A,#N/A,FALSE,"SOACHA"}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End" localSheetId="0" hidden="1">#REF!</definedName>
    <definedName name="PrintEnd" hidden="1">#REF!</definedName>
    <definedName name="PrintStart" localSheetId="0" hidden="1">#REF!</definedName>
    <definedName name="PrintStart" hidden="1">#REF!</definedName>
    <definedName name="PROG" localSheetId="0" hidden="1">#REF!</definedName>
    <definedName name="PROG" hidden="1">#REF!</definedName>
    <definedName name="proyeccióningresos" localSheetId="0" hidden="1">{"EVA",#N/A,FALSE,"SMT2";#N/A,#N/A,FALSE,"Summary";#N/A,#N/A,FALSE,"Graphs";#N/A,#N/A,FALSE,"4 Panel"}</definedName>
    <definedName name="proyeccióningresos" hidden="1">{"EVA",#N/A,FALSE,"SMT2";#N/A,#N/A,FALSE,"Summary";#N/A,#N/A,FALSE,"Graphs";#N/A,#N/A,FALSE,"4 Panel"}</definedName>
    <definedName name="proyecto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oyecto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UE" localSheetId="0" hidden="1">{#N/A,#N/A,FALSE,"Hoja1";#N/A,#N/A,FALSE,"Hoja2"}</definedName>
    <definedName name="PRUE" hidden="1">{#N/A,#N/A,FALSE,"Hoja1";#N/A,#N/A,FALSE,"Hoja2"}</definedName>
    <definedName name="PSW_CALCULATE_0" localSheetId="0" hidden="1">#REF!</definedName>
    <definedName name="PSW_CALCULATE_0" hidden="1">#REF!</definedName>
    <definedName name="PSW_SAVE_0" localSheetId="0" hidden="1">#REF!</definedName>
    <definedName name="PSW_SAVE_0" hidden="1">#REF!</definedName>
    <definedName name="PSWInput_0_10" localSheetId="0" hidden="1">#REF!</definedName>
    <definedName name="PSWInput_0_10" hidden="1">#REF!</definedName>
    <definedName name="PSWInput_0_11" localSheetId="0" hidden="1">#REF!</definedName>
    <definedName name="PSWInput_0_11" hidden="1">#REF!</definedName>
    <definedName name="PSWInput_0_12" localSheetId="0" hidden="1">#REF!</definedName>
    <definedName name="PSWInput_0_12" hidden="1">#REF!</definedName>
    <definedName name="PSWInput_0_13" localSheetId="0" hidden="1">#REF!</definedName>
    <definedName name="PSWInput_0_13" hidden="1">#REF!</definedName>
    <definedName name="PSWInput_0_14" localSheetId="0" hidden="1">#REF!</definedName>
    <definedName name="PSWInput_0_14" hidden="1">#REF!</definedName>
    <definedName name="PSWInput_0_15" localSheetId="0" hidden="1">#REF!</definedName>
    <definedName name="PSWInput_0_15" hidden="1">#REF!</definedName>
    <definedName name="PSWInput_0_16" localSheetId="0" hidden="1">#REF!</definedName>
    <definedName name="PSWInput_0_16" hidden="1">#REF!</definedName>
    <definedName name="PSWInput_0_17" localSheetId="0" hidden="1">#REF!</definedName>
    <definedName name="PSWInput_0_17" hidden="1">#REF!</definedName>
    <definedName name="PSWInput_0_18" localSheetId="0" hidden="1">#REF!</definedName>
    <definedName name="PSWInput_0_18" hidden="1">#REF!</definedName>
    <definedName name="PSWInput_0_19" localSheetId="0" hidden="1">#REF!</definedName>
    <definedName name="PSWInput_0_19" hidden="1">#REF!</definedName>
    <definedName name="PSWInput_0_2" localSheetId="0" hidden="1">#REF!</definedName>
    <definedName name="PSWInput_0_2" hidden="1">#REF!</definedName>
    <definedName name="PSWInput_0_20" localSheetId="0" hidden="1">#REF!</definedName>
    <definedName name="PSWInput_0_20" hidden="1">#REF!</definedName>
    <definedName name="PSWInput_0_21" localSheetId="0" hidden="1">#REF!</definedName>
    <definedName name="PSWInput_0_21" hidden="1">#REF!</definedName>
    <definedName name="PSWInput_0_22" localSheetId="0" hidden="1">#REF!</definedName>
    <definedName name="PSWInput_0_22" hidden="1">#REF!</definedName>
    <definedName name="PSWInput_0_23" localSheetId="0" hidden="1">#REF!</definedName>
    <definedName name="PSWInput_0_23" hidden="1">#REF!</definedName>
    <definedName name="PSWInput_0_24" localSheetId="0" hidden="1">#REF!</definedName>
    <definedName name="PSWInput_0_24" hidden="1">#REF!</definedName>
    <definedName name="PSWInput_0_25" localSheetId="0" hidden="1">#REF!</definedName>
    <definedName name="PSWInput_0_25" hidden="1">#REF!</definedName>
    <definedName name="PSWInput_0_26" localSheetId="0" hidden="1">#REF!</definedName>
    <definedName name="PSWInput_0_26" hidden="1">#REF!</definedName>
    <definedName name="PSWInput_0_27" localSheetId="0" hidden="1">#REF!</definedName>
    <definedName name="PSWInput_0_27" hidden="1">#REF!</definedName>
    <definedName name="PSWInput_0_28" localSheetId="0" hidden="1">#REF!</definedName>
    <definedName name="PSWInput_0_28" hidden="1">#REF!</definedName>
    <definedName name="PSWInput_0_29" localSheetId="0" hidden="1">#REF!</definedName>
    <definedName name="PSWInput_0_29" hidden="1">#REF!</definedName>
    <definedName name="PSWInput_0_3" localSheetId="0" hidden="1">#REF!</definedName>
    <definedName name="PSWInput_0_3" hidden="1">#REF!</definedName>
    <definedName name="PSWInput_0_30" localSheetId="0" hidden="1">#REF!</definedName>
    <definedName name="PSWInput_0_30" hidden="1">#REF!</definedName>
    <definedName name="PSWInput_0_31" localSheetId="0" hidden="1">#REF!</definedName>
    <definedName name="PSWInput_0_31" hidden="1">#REF!</definedName>
    <definedName name="PSWInput_0_32" localSheetId="0" hidden="1">#REF!</definedName>
    <definedName name="PSWInput_0_32" hidden="1">#REF!</definedName>
    <definedName name="PSWInput_0_33" localSheetId="0" hidden="1">#REF!</definedName>
    <definedName name="PSWInput_0_33" hidden="1">#REF!</definedName>
    <definedName name="PSWInput_0_34" localSheetId="0" hidden="1">#REF!</definedName>
    <definedName name="PSWInput_0_34" hidden="1">#REF!</definedName>
    <definedName name="PSWInput_0_35" localSheetId="0" hidden="1">#REF!</definedName>
    <definedName name="PSWInput_0_35" hidden="1">#REF!</definedName>
    <definedName name="PSWInput_0_36" localSheetId="0" hidden="1">#REF!</definedName>
    <definedName name="PSWInput_0_36" hidden="1">#REF!</definedName>
    <definedName name="PSWInput_0_37" localSheetId="0" hidden="1">#REF!</definedName>
    <definedName name="PSWInput_0_37" hidden="1">#REF!</definedName>
    <definedName name="PSWInput_0_38" localSheetId="0" hidden="1">#REF!</definedName>
    <definedName name="PSWInput_0_38" hidden="1">#REF!</definedName>
    <definedName name="PSWInput_0_39" localSheetId="0" hidden="1">#REF!</definedName>
    <definedName name="PSWInput_0_39" hidden="1">#REF!</definedName>
    <definedName name="PSWInput_0_4" localSheetId="0" hidden="1">#REF!</definedName>
    <definedName name="PSWInput_0_4" hidden="1">#REF!</definedName>
    <definedName name="PSWInput_0_40" localSheetId="0" hidden="1">#REF!</definedName>
    <definedName name="PSWInput_0_40" hidden="1">#REF!</definedName>
    <definedName name="PSWInput_0_41" localSheetId="0" hidden="1">#REF!</definedName>
    <definedName name="PSWInput_0_41" hidden="1">#REF!</definedName>
    <definedName name="PSWInput_0_42" localSheetId="0" hidden="1">#REF!</definedName>
    <definedName name="PSWInput_0_42" hidden="1">#REF!</definedName>
    <definedName name="PSWInput_0_43" localSheetId="0" hidden="1">#REF!</definedName>
    <definedName name="PSWInput_0_43" hidden="1">#REF!</definedName>
    <definedName name="PSWInput_0_44" localSheetId="0" hidden="1">#REF!</definedName>
    <definedName name="PSWInput_0_44" hidden="1">#REF!</definedName>
    <definedName name="PSWInput_0_45" localSheetId="0" hidden="1">#REF!</definedName>
    <definedName name="PSWInput_0_45" hidden="1">#REF!</definedName>
    <definedName name="PSWInput_0_46" localSheetId="0" hidden="1">#REF!</definedName>
    <definedName name="PSWInput_0_46" hidden="1">#REF!</definedName>
    <definedName name="PSWInput_0_47" localSheetId="0" hidden="1">#REF!</definedName>
    <definedName name="PSWInput_0_47" hidden="1">#REF!</definedName>
    <definedName name="PSWInput_0_48" localSheetId="0" hidden="1">#REF!</definedName>
    <definedName name="PSWInput_0_48" hidden="1">#REF!</definedName>
    <definedName name="PSWInput_0_49" localSheetId="0" hidden="1">#REF!</definedName>
    <definedName name="PSWInput_0_49" hidden="1">#REF!</definedName>
    <definedName name="PSWInput_0_5" localSheetId="0" hidden="1">#REF!</definedName>
    <definedName name="PSWInput_0_5" hidden="1">#REF!</definedName>
    <definedName name="PSWInput_0_50" localSheetId="0" hidden="1">#REF!</definedName>
    <definedName name="PSWInput_0_50" hidden="1">#REF!</definedName>
    <definedName name="PSWInput_0_51" localSheetId="0" hidden="1">#REF!</definedName>
    <definedName name="PSWInput_0_51" hidden="1">#REF!</definedName>
    <definedName name="PSWInput_0_52" localSheetId="0" hidden="1">#REF!</definedName>
    <definedName name="PSWInput_0_52" hidden="1">#REF!</definedName>
    <definedName name="PSWInput_0_53" localSheetId="0" hidden="1">#REF!</definedName>
    <definedName name="PSWInput_0_53" hidden="1">#REF!</definedName>
    <definedName name="PSWInput_0_54" localSheetId="0" hidden="1">#REF!</definedName>
    <definedName name="PSWInput_0_54" hidden="1">#REF!</definedName>
    <definedName name="PSWInput_0_55" localSheetId="0" hidden="1">#REF!</definedName>
    <definedName name="PSWInput_0_55" hidden="1">#REF!</definedName>
    <definedName name="PSWInput_0_56" localSheetId="0" hidden="1">#REF!</definedName>
    <definedName name="PSWInput_0_56" hidden="1">#REF!</definedName>
    <definedName name="PSWInput_0_57" localSheetId="0" hidden="1">#REF!</definedName>
    <definedName name="PSWInput_0_57" hidden="1">#REF!</definedName>
    <definedName name="PSWInput_0_58" localSheetId="0" hidden="1">#REF!</definedName>
    <definedName name="PSWInput_0_58" hidden="1">#REF!</definedName>
    <definedName name="PSWInput_0_59" localSheetId="0" hidden="1">#REF!</definedName>
    <definedName name="PSWInput_0_59" hidden="1">#REF!</definedName>
    <definedName name="PSWInput_0_6" localSheetId="0" hidden="1">#REF!</definedName>
    <definedName name="PSWInput_0_6" hidden="1">#REF!</definedName>
    <definedName name="PSWInput_0_7" localSheetId="0" hidden="1">#REF!</definedName>
    <definedName name="PSWInput_0_7" hidden="1">#REF!</definedName>
    <definedName name="PSWInput_0_8" localSheetId="0" hidden="1">#REF!</definedName>
    <definedName name="PSWInput_0_8" hidden="1">#REF!</definedName>
    <definedName name="PSWInput_0_9" localSheetId="0" hidden="1">#REF!</definedName>
    <definedName name="PSWInput_0_9" hidden="1">#REF!</definedName>
    <definedName name="PSWIsControlVisible_0_0" localSheetId="0" hidden="1">#REF!</definedName>
    <definedName name="PSWIsControlVisible_0_0" hidden="1">#REF!</definedName>
    <definedName name="PSWIsControlVisible_0_1" localSheetId="0" hidden="1">#REF!</definedName>
    <definedName name="PSWIsControlVisible_0_1" hidden="1">#REF!</definedName>
    <definedName name="PSWIsControlVisible_0_10" localSheetId="0" hidden="1">#REF!</definedName>
    <definedName name="PSWIsControlVisible_0_10" hidden="1">#REF!</definedName>
    <definedName name="PSWIsControlVisible_0_11" localSheetId="0" hidden="1">#REF!</definedName>
    <definedName name="PSWIsControlVisible_0_11" hidden="1">#REF!</definedName>
    <definedName name="PSWIsControlVisible_0_12" localSheetId="0" hidden="1">#REF!</definedName>
    <definedName name="PSWIsControlVisible_0_12" hidden="1">#REF!</definedName>
    <definedName name="PSWIsControlVisible_0_13" localSheetId="0" hidden="1">#REF!</definedName>
    <definedName name="PSWIsControlVisible_0_13" hidden="1">#REF!</definedName>
    <definedName name="PSWIsControlVisible_0_14" localSheetId="0" hidden="1">#REF!</definedName>
    <definedName name="PSWIsControlVisible_0_14" hidden="1">#REF!</definedName>
    <definedName name="PSWIsControlVisible_0_15" localSheetId="0" hidden="1">#REF!</definedName>
    <definedName name="PSWIsControlVisible_0_15" hidden="1">#REF!</definedName>
    <definedName name="PSWIsControlVisible_0_16" localSheetId="0" hidden="1">#REF!</definedName>
    <definedName name="PSWIsControlVisible_0_16" hidden="1">#REF!</definedName>
    <definedName name="PSWIsControlVisible_0_17" localSheetId="0" hidden="1">#REF!</definedName>
    <definedName name="PSWIsControlVisible_0_17" hidden="1">#REF!</definedName>
    <definedName name="PSWIsControlVisible_0_18" localSheetId="0" hidden="1">#REF!</definedName>
    <definedName name="PSWIsControlVisible_0_18" hidden="1">#REF!</definedName>
    <definedName name="PSWIsControlVisible_0_19" localSheetId="0" hidden="1">#REF!</definedName>
    <definedName name="PSWIsControlVisible_0_19" hidden="1">#REF!</definedName>
    <definedName name="PSWIsControlVisible_0_2" localSheetId="0" hidden="1">#REF!</definedName>
    <definedName name="PSWIsControlVisible_0_2" hidden="1">#REF!</definedName>
    <definedName name="PSWIsControlVisible_0_20" localSheetId="0" hidden="1">#REF!</definedName>
    <definedName name="PSWIsControlVisible_0_20" hidden="1">#REF!</definedName>
    <definedName name="PSWIsControlVisible_0_21" localSheetId="0" hidden="1">#REF!</definedName>
    <definedName name="PSWIsControlVisible_0_21" hidden="1">#REF!</definedName>
    <definedName name="PSWIsControlVisible_0_22" localSheetId="0" hidden="1">#REF!</definedName>
    <definedName name="PSWIsControlVisible_0_22" hidden="1">#REF!</definedName>
    <definedName name="PSWIsControlVisible_0_23" localSheetId="0" hidden="1">#REF!</definedName>
    <definedName name="PSWIsControlVisible_0_23" hidden="1">#REF!</definedName>
    <definedName name="PSWIsControlVisible_0_24" localSheetId="0" hidden="1">#REF!</definedName>
    <definedName name="PSWIsControlVisible_0_24" hidden="1">#REF!</definedName>
    <definedName name="PSWIsControlVisible_0_25" localSheetId="0" hidden="1">#REF!</definedName>
    <definedName name="PSWIsControlVisible_0_25" hidden="1">#REF!</definedName>
    <definedName name="PSWIsControlVisible_0_26" localSheetId="0" hidden="1">#REF!</definedName>
    <definedName name="PSWIsControlVisible_0_26" hidden="1">#REF!</definedName>
    <definedName name="PSWIsControlVisible_0_27" localSheetId="0" hidden="1">#REF!</definedName>
    <definedName name="PSWIsControlVisible_0_27" hidden="1">#REF!</definedName>
    <definedName name="PSWIsControlVisible_0_28" localSheetId="0" hidden="1">#REF!</definedName>
    <definedName name="PSWIsControlVisible_0_28" hidden="1">#REF!</definedName>
    <definedName name="PSWIsControlVisible_0_29" localSheetId="0" hidden="1">#REF!</definedName>
    <definedName name="PSWIsControlVisible_0_29" hidden="1">#REF!</definedName>
    <definedName name="PSWIsControlVisible_0_3" localSheetId="0" hidden="1">#REF!</definedName>
    <definedName name="PSWIsControlVisible_0_3" hidden="1">#REF!</definedName>
    <definedName name="PSWIsControlVisible_0_30" localSheetId="0" hidden="1">#REF!</definedName>
    <definedName name="PSWIsControlVisible_0_30" hidden="1">#REF!</definedName>
    <definedName name="PSWIsControlVisible_0_31" localSheetId="0" hidden="1">#REF!</definedName>
    <definedName name="PSWIsControlVisible_0_31" hidden="1">#REF!</definedName>
    <definedName name="PSWIsControlVisible_0_32" localSheetId="0" hidden="1">#REF!</definedName>
    <definedName name="PSWIsControlVisible_0_32" hidden="1">#REF!</definedName>
    <definedName name="PSWIsControlVisible_0_33" localSheetId="0" hidden="1">#REF!</definedName>
    <definedName name="PSWIsControlVisible_0_33" hidden="1">#REF!</definedName>
    <definedName name="PSWIsControlVisible_0_34" localSheetId="0" hidden="1">#REF!</definedName>
    <definedName name="PSWIsControlVisible_0_34" hidden="1">#REF!</definedName>
    <definedName name="PSWIsControlVisible_0_35" localSheetId="0" hidden="1">#REF!</definedName>
    <definedName name="PSWIsControlVisible_0_35" hidden="1">#REF!</definedName>
    <definedName name="PSWIsControlVisible_0_36" localSheetId="0" hidden="1">#REF!</definedName>
    <definedName name="PSWIsControlVisible_0_36" hidden="1">#REF!</definedName>
    <definedName name="PSWIsControlVisible_0_37" localSheetId="0" hidden="1">#REF!</definedName>
    <definedName name="PSWIsControlVisible_0_37" hidden="1">#REF!</definedName>
    <definedName name="PSWIsControlVisible_0_38" localSheetId="0" hidden="1">#REF!</definedName>
    <definedName name="PSWIsControlVisible_0_38" hidden="1">#REF!</definedName>
    <definedName name="PSWIsControlVisible_0_39" localSheetId="0" hidden="1">#REF!</definedName>
    <definedName name="PSWIsControlVisible_0_39" hidden="1">#REF!</definedName>
    <definedName name="PSWIsControlVisible_0_4" localSheetId="0" hidden="1">#REF!</definedName>
    <definedName name="PSWIsControlVisible_0_4" hidden="1">#REF!</definedName>
    <definedName name="PSWIsControlVisible_0_40" localSheetId="0" hidden="1">#REF!</definedName>
    <definedName name="PSWIsControlVisible_0_40" hidden="1">#REF!</definedName>
    <definedName name="PSWIsControlVisible_0_41" localSheetId="0" hidden="1">#REF!</definedName>
    <definedName name="PSWIsControlVisible_0_41" hidden="1">#REF!</definedName>
    <definedName name="PSWIsControlVisible_0_42" localSheetId="0" hidden="1">#REF!</definedName>
    <definedName name="PSWIsControlVisible_0_42" hidden="1">#REF!</definedName>
    <definedName name="PSWIsControlVisible_0_43" localSheetId="0" hidden="1">#REF!</definedName>
    <definedName name="PSWIsControlVisible_0_43" hidden="1">#REF!</definedName>
    <definedName name="PSWIsControlVisible_0_44" localSheetId="0" hidden="1">#REF!</definedName>
    <definedName name="PSWIsControlVisible_0_44" hidden="1">#REF!</definedName>
    <definedName name="PSWIsControlVisible_0_45" localSheetId="0" hidden="1">#REF!</definedName>
    <definedName name="PSWIsControlVisible_0_45" hidden="1">#REF!</definedName>
    <definedName name="PSWIsControlVisible_0_46" localSheetId="0" hidden="1">#REF!</definedName>
    <definedName name="PSWIsControlVisible_0_46" hidden="1">#REF!</definedName>
    <definedName name="PSWIsControlVisible_0_47" localSheetId="0" hidden="1">#REF!</definedName>
    <definedName name="PSWIsControlVisible_0_47" hidden="1">#REF!</definedName>
    <definedName name="PSWIsControlVisible_0_48" localSheetId="0" hidden="1">#REF!</definedName>
    <definedName name="PSWIsControlVisible_0_48" hidden="1">#REF!</definedName>
    <definedName name="PSWIsControlVisible_0_49" localSheetId="0" hidden="1">#REF!</definedName>
    <definedName name="PSWIsControlVisible_0_49" hidden="1">#REF!</definedName>
    <definedName name="PSWIsControlVisible_0_5" localSheetId="0" hidden="1">#REF!</definedName>
    <definedName name="PSWIsControlVisible_0_5" hidden="1">#REF!</definedName>
    <definedName name="PSWIsControlVisible_0_50" localSheetId="0" hidden="1">#REF!</definedName>
    <definedName name="PSWIsControlVisible_0_50" hidden="1">#REF!</definedName>
    <definedName name="PSWIsControlVisible_0_51" localSheetId="0" hidden="1">#REF!</definedName>
    <definedName name="PSWIsControlVisible_0_51" hidden="1">#REF!</definedName>
    <definedName name="PSWIsControlVisible_0_52" localSheetId="0" hidden="1">#REF!</definedName>
    <definedName name="PSWIsControlVisible_0_52" hidden="1">#REF!</definedName>
    <definedName name="PSWIsControlVisible_0_53" localSheetId="0" hidden="1">#REF!</definedName>
    <definedName name="PSWIsControlVisible_0_53" hidden="1">#REF!</definedName>
    <definedName name="PSWIsControlVisible_0_54" localSheetId="0" hidden="1">#REF!</definedName>
    <definedName name="PSWIsControlVisible_0_54" hidden="1">#REF!</definedName>
    <definedName name="PSWIsControlVisible_0_55" localSheetId="0" hidden="1">#REF!</definedName>
    <definedName name="PSWIsControlVisible_0_55" hidden="1">#REF!</definedName>
    <definedName name="PSWIsControlVisible_0_56" localSheetId="0" hidden="1">#REF!</definedName>
    <definedName name="PSWIsControlVisible_0_56" hidden="1">#REF!</definedName>
    <definedName name="PSWIsControlVisible_0_57" localSheetId="0" hidden="1">#REF!</definedName>
    <definedName name="PSWIsControlVisible_0_57" hidden="1">#REF!</definedName>
    <definedName name="PSWIsControlVisible_0_58" localSheetId="0" hidden="1">#REF!</definedName>
    <definedName name="PSWIsControlVisible_0_58" hidden="1">#REF!</definedName>
    <definedName name="PSWIsControlVisible_0_59" localSheetId="0" hidden="1">#REF!</definedName>
    <definedName name="PSWIsControlVisible_0_59" hidden="1">#REF!</definedName>
    <definedName name="PSWIsControlVisible_0_6" localSheetId="0" hidden="1">#REF!</definedName>
    <definedName name="PSWIsControlVisible_0_6" hidden="1">#REF!</definedName>
    <definedName name="PSWIsControlVisible_0_7" localSheetId="0" hidden="1">#REF!</definedName>
    <definedName name="PSWIsControlVisible_0_7" hidden="1">#REF!</definedName>
    <definedName name="PSWIsControlVisible_0_8" localSheetId="0" hidden="1">#REF!</definedName>
    <definedName name="PSWIsControlVisible_0_8" hidden="1">#REF!</definedName>
    <definedName name="PSWIsControlVisible_0_9" localSheetId="0" hidden="1">#REF!</definedName>
    <definedName name="PSWIsControlVisible_0_9" hidden="1">#REF!</definedName>
    <definedName name="PSWIsPageVisible_1" localSheetId="0" hidden="1">#REF!</definedName>
    <definedName name="PSWIsPageVisible_1" hidden="1">#REF!</definedName>
    <definedName name="PSWList_0_20" localSheetId="0" hidden="1">#REF!</definedName>
    <definedName name="PSWList_0_20" hidden="1">#REF!</definedName>
    <definedName name="PSWList_0_21" localSheetId="0" hidden="1">#REF!</definedName>
    <definedName name="PSWList_0_21" hidden="1">#REF!</definedName>
    <definedName name="PSWList_0_22" localSheetId="0" hidden="1">#REF!</definedName>
    <definedName name="PSWList_0_22" hidden="1">#REF!</definedName>
    <definedName name="PSWList_0_23" localSheetId="0" hidden="1">#REF!</definedName>
    <definedName name="PSWList_0_23" hidden="1">#REF!</definedName>
    <definedName name="PSWList_0_24" localSheetId="0" hidden="1">#REF!</definedName>
    <definedName name="PSWList_0_24" hidden="1">#REF!</definedName>
    <definedName name="PSWList_0_25" localSheetId="0" hidden="1">#REF!</definedName>
    <definedName name="PSWList_0_25" hidden="1">#REF!</definedName>
    <definedName name="PSWList_0_26" localSheetId="0" hidden="1">#REF!</definedName>
    <definedName name="PSWList_0_26" hidden="1">#REF!</definedName>
    <definedName name="PSWList_0_27" localSheetId="0" hidden="1">#REF!</definedName>
    <definedName name="PSWList_0_27" hidden="1">#REF!</definedName>
    <definedName name="PSWList_0_28" localSheetId="0" hidden="1">#REF!</definedName>
    <definedName name="PSWList_0_28" hidden="1">#REF!</definedName>
    <definedName name="PSWList_0_29" localSheetId="0" hidden="1">#REF!</definedName>
    <definedName name="PSWList_0_29" hidden="1">#REF!</definedName>
    <definedName name="PSWList_0_30" localSheetId="0" hidden="1">#REF!</definedName>
    <definedName name="PSWList_0_30" hidden="1">#REF!</definedName>
    <definedName name="PSWList_0_31" localSheetId="0" hidden="1">#REF!</definedName>
    <definedName name="PSWList_0_31" hidden="1">#REF!</definedName>
    <definedName name="PSWList_0_32" localSheetId="0" hidden="1">#REF!</definedName>
    <definedName name="PSWList_0_32" hidden="1">#REF!</definedName>
    <definedName name="PSWList_0_33" localSheetId="0" hidden="1">#REF!</definedName>
    <definedName name="PSWList_0_33" hidden="1">#REF!</definedName>
    <definedName name="PSWList_0_34" localSheetId="0" hidden="1">#REF!</definedName>
    <definedName name="PSWList_0_34" hidden="1">#REF!</definedName>
    <definedName name="PSWList_0_35" localSheetId="0" hidden="1">#REF!</definedName>
    <definedName name="PSWList_0_35" hidden="1">#REF!</definedName>
    <definedName name="PSWList_0_36" localSheetId="0" hidden="1">#REF!</definedName>
    <definedName name="PSWList_0_36" hidden="1">#REF!</definedName>
    <definedName name="PSWList_0_37" localSheetId="0" hidden="1">#REF!</definedName>
    <definedName name="PSWList_0_37" hidden="1">#REF!</definedName>
    <definedName name="PSWList_0_38" localSheetId="0" hidden="1">#REF!</definedName>
    <definedName name="PSWList_0_38" hidden="1">#REF!</definedName>
    <definedName name="PSWList_0_39" localSheetId="0" hidden="1">#REF!</definedName>
    <definedName name="PSWList_0_39" hidden="1">#REF!</definedName>
    <definedName name="PSWSavingCell_0" localSheetId="0" hidden="1">#REF!</definedName>
    <definedName name="PSWSavingCell_0" hidden="1">#REF!</definedName>
    <definedName name="PSWSavingCell_10" localSheetId="0" hidden="1">#REF!</definedName>
    <definedName name="PSWSavingCell_10" hidden="1">#REF!</definedName>
    <definedName name="PSWSavingCell_11" localSheetId="0" hidden="1">#REF!</definedName>
    <definedName name="PSWSavingCell_11" hidden="1">#REF!</definedName>
    <definedName name="PSWSavingCell_12" localSheetId="0" hidden="1">#REF!</definedName>
    <definedName name="PSWSavingCell_12" hidden="1">#REF!</definedName>
    <definedName name="PSWSavingCell_13" localSheetId="0" hidden="1">#REF!</definedName>
    <definedName name="PSWSavingCell_13" hidden="1">#REF!</definedName>
    <definedName name="PSWSavingCell_14" localSheetId="0" hidden="1">#REF!</definedName>
    <definedName name="PSWSavingCell_14" hidden="1">#REF!</definedName>
    <definedName name="PSWSavingCell_15" localSheetId="0" hidden="1">#REF!</definedName>
    <definedName name="PSWSavingCell_15" hidden="1">#REF!</definedName>
    <definedName name="PSWSavingCell_16" localSheetId="0" hidden="1">#REF!</definedName>
    <definedName name="PSWSavingCell_16" hidden="1">#REF!</definedName>
    <definedName name="PSWSavingCell_17" localSheetId="0" hidden="1">#REF!</definedName>
    <definedName name="PSWSavingCell_17" hidden="1">#REF!</definedName>
    <definedName name="PSWSavingCell_18" localSheetId="0" hidden="1">#REF!</definedName>
    <definedName name="PSWSavingCell_18" hidden="1">#REF!</definedName>
    <definedName name="PSWSavingCell_19" localSheetId="0" hidden="1">#REF!</definedName>
    <definedName name="PSWSavingCell_19" hidden="1">#REF!</definedName>
    <definedName name="PSWSavingCell_20" localSheetId="0" hidden="1">#REF!</definedName>
    <definedName name="PSWSavingCell_20" hidden="1">#REF!</definedName>
    <definedName name="PSWSavingCell_21" localSheetId="0" hidden="1">#REF!</definedName>
    <definedName name="PSWSavingCell_21" hidden="1">#REF!</definedName>
    <definedName name="PSWSavingCell_22" localSheetId="0" hidden="1">#REF!</definedName>
    <definedName name="PSWSavingCell_22" hidden="1">#REF!</definedName>
    <definedName name="PSWSavingCell_23" localSheetId="0" hidden="1">#REF!</definedName>
    <definedName name="PSWSavingCell_23" hidden="1">#REF!</definedName>
    <definedName name="PSWSavingCell_24" localSheetId="0" hidden="1">#REF!</definedName>
    <definedName name="PSWSavingCell_24" hidden="1">#REF!</definedName>
    <definedName name="PSWSavingCell_25" localSheetId="0" hidden="1">#REF!</definedName>
    <definedName name="PSWSavingCell_25" hidden="1">#REF!</definedName>
    <definedName name="PSWSavingCell_26" localSheetId="0" hidden="1">#REF!</definedName>
    <definedName name="PSWSavingCell_26" hidden="1">#REF!</definedName>
    <definedName name="PSWSavingCell_27" localSheetId="0" hidden="1">#REF!</definedName>
    <definedName name="PSWSavingCell_27" hidden="1">#REF!</definedName>
    <definedName name="PSWSavingCell_28" localSheetId="0" hidden="1">#REF!</definedName>
    <definedName name="PSWSavingCell_28" hidden="1">#REF!</definedName>
    <definedName name="PSWSavingCell_29" localSheetId="0" hidden="1">#REF!</definedName>
    <definedName name="PSWSavingCell_29" hidden="1">#REF!</definedName>
    <definedName name="PSWSavingCell_3" localSheetId="0" hidden="1">#REF!</definedName>
    <definedName name="PSWSavingCell_3" hidden="1">#REF!</definedName>
    <definedName name="PSWSavingCell_30" localSheetId="0" hidden="1">#REF!</definedName>
    <definedName name="PSWSavingCell_30" hidden="1">#REF!</definedName>
    <definedName name="PSWSavingCell_31" localSheetId="0" hidden="1">#REF!</definedName>
    <definedName name="PSWSavingCell_31" hidden="1">#REF!</definedName>
    <definedName name="PSWSavingCell_32" localSheetId="0" hidden="1">#REF!</definedName>
    <definedName name="PSWSavingCell_32" hidden="1">#REF!</definedName>
    <definedName name="PSWSavingCell_33" localSheetId="0" hidden="1">#REF!</definedName>
    <definedName name="PSWSavingCell_33" hidden="1">#REF!</definedName>
    <definedName name="PSWSavingCell_34" localSheetId="0" hidden="1">#REF!</definedName>
    <definedName name="PSWSavingCell_34" hidden="1">#REF!</definedName>
    <definedName name="PSWSavingCell_35" localSheetId="0" hidden="1">#REF!</definedName>
    <definedName name="PSWSavingCell_35" hidden="1">#REF!</definedName>
    <definedName name="PSWSavingCell_36" localSheetId="0" hidden="1">#REF!</definedName>
    <definedName name="PSWSavingCell_36" hidden="1">#REF!</definedName>
    <definedName name="PSWSavingCell_37" localSheetId="0" hidden="1">#REF!</definedName>
    <definedName name="PSWSavingCell_37" hidden="1">#REF!</definedName>
    <definedName name="PSWSavingCell_38" localSheetId="0" hidden="1">#REF!</definedName>
    <definedName name="PSWSavingCell_38" hidden="1">#REF!</definedName>
    <definedName name="PSWSavingCell_39" localSheetId="0" hidden="1">#REF!</definedName>
    <definedName name="PSWSavingCell_39" hidden="1">#REF!</definedName>
    <definedName name="PSWSavingCell_4" localSheetId="0" hidden="1">#REF!</definedName>
    <definedName name="PSWSavingCell_4" hidden="1">#REF!</definedName>
    <definedName name="PSWSavingCell_40" localSheetId="0" hidden="1">#REF!</definedName>
    <definedName name="PSWSavingCell_40" hidden="1">#REF!</definedName>
    <definedName name="PSWSavingCell_41" localSheetId="0" hidden="1">#REF!</definedName>
    <definedName name="PSWSavingCell_41" hidden="1">#REF!</definedName>
    <definedName name="PSWSavingCell_42" localSheetId="0" hidden="1">#REF!</definedName>
    <definedName name="PSWSavingCell_42" hidden="1">#REF!</definedName>
    <definedName name="PSWSavingCell_43" localSheetId="0" hidden="1">#REF!</definedName>
    <definedName name="PSWSavingCell_43" hidden="1">#REF!</definedName>
    <definedName name="PSWSavingCell_44" localSheetId="0" hidden="1">#REF!</definedName>
    <definedName name="PSWSavingCell_44" hidden="1">#REF!</definedName>
    <definedName name="PSWSavingCell_45" localSheetId="0" hidden="1">#REF!</definedName>
    <definedName name="PSWSavingCell_45" hidden="1">#REF!</definedName>
    <definedName name="PSWSavingCell_46" localSheetId="0" hidden="1">#REF!</definedName>
    <definedName name="PSWSavingCell_46" hidden="1">#REF!</definedName>
    <definedName name="PSWSavingCell_47" localSheetId="0" hidden="1">#REF!</definedName>
    <definedName name="PSWSavingCell_47" hidden="1">#REF!</definedName>
    <definedName name="PSWSavingCell_48" localSheetId="0" hidden="1">#REF!</definedName>
    <definedName name="PSWSavingCell_48" hidden="1">#REF!</definedName>
    <definedName name="PSWSavingCell_49" localSheetId="0" hidden="1">#REF!</definedName>
    <definedName name="PSWSavingCell_49" hidden="1">#REF!</definedName>
    <definedName name="PSWSavingCell_5" localSheetId="0" hidden="1">#REF!</definedName>
    <definedName name="PSWSavingCell_5" hidden="1">#REF!</definedName>
    <definedName name="PSWSavingCell_50" localSheetId="0" hidden="1">#REF!</definedName>
    <definedName name="PSWSavingCell_50" hidden="1">#REF!</definedName>
    <definedName name="PSWSavingCell_51" localSheetId="0" hidden="1">#REF!</definedName>
    <definedName name="PSWSavingCell_51" hidden="1">#REF!</definedName>
    <definedName name="PSWSavingCell_52" localSheetId="0" hidden="1">#REF!</definedName>
    <definedName name="PSWSavingCell_52" hidden="1">#REF!</definedName>
    <definedName name="PSWSavingCell_53" localSheetId="0" hidden="1">#REF!</definedName>
    <definedName name="PSWSavingCell_53" hidden="1">#REF!</definedName>
    <definedName name="PSWSavingCell_54" localSheetId="0" hidden="1">#REF!</definedName>
    <definedName name="PSWSavingCell_54" hidden="1">#REF!</definedName>
    <definedName name="PSWSavingCell_55" localSheetId="0" hidden="1">#REF!</definedName>
    <definedName name="PSWSavingCell_55" hidden="1">#REF!</definedName>
    <definedName name="PSWSavingCell_56" localSheetId="0" hidden="1">#REF!</definedName>
    <definedName name="PSWSavingCell_56" hidden="1">#REF!</definedName>
    <definedName name="PSWSavingCell_57" localSheetId="0" hidden="1">#REF!</definedName>
    <definedName name="PSWSavingCell_57" hidden="1">#REF!</definedName>
    <definedName name="PSWSavingCell_58" localSheetId="0" hidden="1">#REF!</definedName>
    <definedName name="PSWSavingCell_58" hidden="1">#REF!</definedName>
    <definedName name="PSWSavingCell_59" localSheetId="0" hidden="1">#REF!</definedName>
    <definedName name="PSWSavingCell_59" hidden="1">#REF!</definedName>
    <definedName name="PSWSavingCell_6" localSheetId="0" hidden="1">#REF!</definedName>
    <definedName name="PSWSavingCell_6" hidden="1">#REF!</definedName>
    <definedName name="PSWSavingCell_60" localSheetId="0" hidden="1">#REF!</definedName>
    <definedName name="PSWSavingCell_60" hidden="1">#REF!</definedName>
    <definedName name="PSWSavingCell_7" localSheetId="0" hidden="1">#REF!</definedName>
    <definedName name="PSWSavingCell_7" hidden="1">#REF!</definedName>
    <definedName name="PSWSavingCell_8" localSheetId="0" hidden="1">#REF!</definedName>
    <definedName name="PSWSavingCell_8" hidden="1">#REF!</definedName>
    <definedName name="PSWSavingCell_9" localSheetId="0" hidden="1">#REF!</definedName>
    <definedName name="PSWSavingCell_9" hidden="1">#REF!</definedName>
    <definedName name="PSWSeries_0_0_Labels" localSheetId="0" hidden="1">#REF!</definedName>
    <definedName name="PSWSeries_0_0_Labels" hidden="1">#REF!</definedName>
    <definedName name="PSWSeries_0_0_Values" localSheetId="0" hidden="1">#REF!</definedName>
    <definedName name="PSWSeries_0_0_Values" hidden="1">#REF!</definedName>
    <definedName name="PSWSeries_0_1_Labels" localSheetId="0" hidden="1">#REF!</definedName>
    <definedName name="PSWSeries_0_1_Labels" hidden="1">#REF!</definedName>
    <definedName name="PSWSeries_0_1_Values" localSheetId="0" hidden="1">#REF!</definedName>
    <definedName name="PSWSeries_0_1_Values" hidden="1">#REF!</definedName>
    <definedName name="PSWSeries_0_2_Values" localSheetId="0" hidden="1">#REF!</definedName>
    <definedName name="PSWSeries_0_2_Values" hidden="1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SB" hidden="1">{"'Highlights'!$A$1:$M$123"}</definedName>
    <definedName name="PTT" hidden="1">{#N/A,#N/A,TRUE,"INGENIERIA";#N/A,#N/A,TRUE,"COMPRAS";#N/A,#N/A,TRUE,"DIRECCION";#N/A,#N/A,TRUE,"RESUMEN"}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" localSheetId="0" hidden="1">{#N/A,#N/A,FALSE,"PERSONAL"}</definedName>
    <definedName name="pue" hidden="1">{#N/A,#N/A,FALSE,"PERSONAL"}</definedName>
    <definedName name="PUL" localSheetId="0" hidden="1">{#N/A,#N/A,FALSE,"Hoja1";#N/A,#N/A,FALSE,"Hoja2"}</definedName>
    <definedName name="PUL" hidden="1">{#N/A,#N/A,FALSE,"Hoja1";#N/A,#N/A,FALSE,"Hoja2"}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localSheetId="0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0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0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0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0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0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0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2Fcst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qqqqqq" localSheetId="0" hidden="1">{#N/A,#N/A,FALSE,"PERSONAL"}</definedName>
    <definedName name="qqqqqqqq" hidden="1">{#N/A,#N/A,FALSE,"PERSONAL"}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R" localSheetId="0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localSheetId="0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localSheetId="0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0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 hidden="1">#REF!</definedName>
    <definedName name="QWE" hidden="1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CashFlow" localSheetId="0" hidden="1">#REF!</definedName>
    <definedName name="r.CashFlow" hidden="1">#REF!</definedName>
    <definedName name="r.Leverage" localSheetId="0" hidden="1">#REF!</definedName>
    <definedName name="r.Leverage" hidden="1">#REF!</definedName>
    <definedName name="r.Liquidity" localSheetId="0" hidden="1">#REF!</definedName>
    <definedName name="r.Liquidity" hidden="1">#REF!</definedName>
    <definedName name="r.Market" localSheetId="0" hidden="1">#REF!</definedName>
    <definedName name="r.Market" hidden="1">#REF!</definedName>
    <definedName name="r.Profitability" localSheetId="0" hidden="1">#REF!</definedName>
    <definedName name="r.Profitability" hidden="1">#REF!</definedName>
    <definedName name="r.Summary" localSheetId="0" hidden="1">#REF!</definedName>
    <definedName name="r.Summary" hidden="1">#REF!</definedName>
    <definedName name="ＲＡＲＯＡ" hidden="1">{"'下期集計（10.27迄・速報値）'!$Q$16"}</definedName>
    <definedName name="RE" localSheetId="0" hidden="1">{#N/A,#N/A,FALSE,"Hoja1";#N/A,#N/A,FALSE,"Hoja2"}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erere" localSheetId="0" hidden="1">{#N/A,#N/A,FALSE,"PERSONAL"}</definedName>
    <definedName name="rerererere" hidden="1">{#N/A,#N/A,FALSE,"PERSONAL"}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osplantas" localSheetId="0" hidden="1">{"EVA",#N/A,FALSE,"SMT2";#N/A,#N/A,FALSE,"Summary";#N/A,#N/A,FALSE,"Graphs";#N/A,#N/A,FALSE,"4 Panel"}</definedName>
    <definedName name="retosplantas" hidden="1">{"EVA",#N/A,FALSE,"SMT2";#N/A,#N/A,FALSE,"Summary";#N/A,#N/A,FALSE,"Graphs";#N/A,#N/A,FALSE,"4 Panel"}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g" hidden="1">{#N/A,#N/A,TRUE,"A"}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ows2Unhide" localSheetId="0" hidden="1">#REF!</definedName>
    <definedName name="Rows2Unhide" hidden="1">#REF!</definedName>
    <definedName name="rpld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localSheetId="0" hidden="1">#REF!,#REF!</definedName>
    <definedName name="Rwvu.oil." hidden="1">#REF!,#REF!</definedName>
    <definedName name="Rwvu.oilgasagua." localSheetId="0" hidden="1">#REF!,#REF!</definedName>
    <definedName name="Rwvu.oilgasagua." hidden="1">#REF!,#REF!</definedName>
    <definedName name="ry" localSheetId="0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{"TAB1",#N/A,TRUE,"GENERAL";"TAB2",#N/A,TRUE,"GENERAL";"TAB3",#N/A,TRUE,"GENERAL";"TAB4",#N/A,TRUE,"GENERAL";"TAB5",#N/A,TRUE,"GENERAL"}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DOSITR306058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LDOSITR306058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PBEXdnldView" hidden="1">"4X7PHJJ3EF70UJ33CI6YVQIOV"</definedName>
    <definedName name="SAPBEXhrIndnt" hidden="1">"Wide"</definedName>
    <definedName name="SAPBEXrevision" hidden="1">1</definedName>
    <definedName name="SAPBEXsysID" hidden="1">"BWP"</definedName>
    <definedName name="SAPBEXwbID" hidden="1">"44IZL6C86M7EN67Z2TRYE7TL6"</definedName>
    <definedName name="SAPsysID" hidden="1">"708C5W7SBKP804JT78WJ0JNKI"</definedName>
    <definedName name="SAPwbID" hidden="1">"ARS"</definedName>
    <definedName name="sassss" localSheetId="0" hidden="1">{#N/A,#N/A,FALSE,"Costos Productos 6A";#N/A,#N/A,FALSE,"Costo Unitario Total H-94-12"}</definedName>
    <definedName name="sassss" hidden="1">{#N/A,#N/A,FALSE,"Costos Productos 6A";#N/A,#N/A,FALSE,"Costo Unitario Total H-94-12"}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en_change" localSheetId="0" hidden="1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COG" hidden="1">{"'ADV&amp;DP'!$A$4:$C$25"}</definedName>
    <definedName name="sd" localSheetId="0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asdf" hidden="1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 localSheetId="0" hidden="1">#REF!</definedName>
    <definedName name="sdg" hidden="1">#REF!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 localSheetId="0" hidden="1">{#N/A,#N/A,FALSE,"PERSONAL"}</definedName>
    <definedName name="SDS" hidden="1">{#N/A,#N/A,FALSE,"PERSONAL"}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ncount" hidden="1">1</definedName>
    <definedName name="SERVICIOS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RVICIOS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gasd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g" localSheetId="0" hidden="1">#REF!</definedName>
    <definedName name="sgsg" hidden="1">#REF!</definedName>
    <definedName name="sgsgs" localSheetId="0" hidden="1">#REF!</definedName>
    <definedName name="sgsgs" hidden="1">#REF!</definedName>
    <definedName name="shshsh" localSheetId="0" hidden="1">#REF!</definedName>
    <definedName name="shshsh" hidden="1">#REF!</definedName>
    <definedName name="SistemasPlazos" hidden="1">1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hidden="1">#REF!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RT2" localSheetId="0" hidden="1">#REF!</definedName>
    <definedName name="SORT2" hidden="1">#REF!</definedName>
    <definedName name="SOSO" localSheetId="0" hidden="1">#REF!</definedName>
    <definedName name="SOSO" hidden="1">#REF!</definedName>
    <definedName name="SQC" localSheetId="0" hidden="1">{#N/A,#N/A,FALSE,"Hoja1";#N/A,#N/A,FALSE,"Hoja2"}</definedName>
    <definedName name="SQC" hidden="1">{#N/A,#N/A,FALSE,"Hoja1";#N/A,#N/A,FALSE,"Hoja2"}</definedName>
    <definedName name="SQC." localSheetId="0" hidden="1">{#N/A,#N/A,FALSE,"Hoja1";#N/A,#N/A,FALSE,"Hoja2"}</definedName>
    <definedName name="SQC." hidden="1">{#N/A,#N/A,FALSE,"Hoja1";#N/A,#N/A,FALSE,"Hoja2"}</definedName>
    <definedName name="Sria_Respon" hidden="1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hidden="1">#REF!</definedName>
    <definedName name="sssss" localSheetId="0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SSSSSSSSSSSS" hidden="1">#REF!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localSheetId="0" hidden="1">#REF!</definedName>
    <definedName name="Stub" hidden="1">#REF!</definedName>
    <definedName name="Stub_Header1" localSheetId="0" hidden="1">#REF!</definedName>
    <definedName name="Stub_Header1" hidden="1">#REF!</definedName>
    <definedName name="Stub_Header2" localSheetId="0" hidden="1">#REF!</definedName>
    <definedName name="Stub_Header2" hidden="1">#REF!</definedName>
    <definedName name="Stub_Header3" localSheetId="0" hidden="1">#REF!</definedName>
    <definedName name="Stub_Header3" hidden="1">#REF!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" hidden="1">{#N/A,#N/A,FALSE,"Costos Productos 6A";#N/A,#N/A,FALSE,"Costo Unitario Total H-94-12"}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xpb" localSheetId="0" hidden="1">#REF!</definedName>
    <definedName name="Taxpb" hidden="1">#REF!</definedName>
    <definedName name="tb_h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tlepb" localSheetId="0" hidden="1">#REF!</definedName>
    <definedName name="Titlepb" hidden="1">#REF!</definedName>
    <definedName name="TK_1" localSheetId="0" hidden="1">#REF!</definedName>
    <definedName name="TK_1" hidden="1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ALCOSTODIRECTO" localSheetId="0" hidden="1">#REF!</definedName>
    <definedName name="TOTALCOSTODIRECTO" hidden="1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" localSheetId="0" hidden="1">#REF!</definedName>
    <definedName name="trew" hidden="1">#REF!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h" hidden="1">{#N/A,#N/A,TRUE,"A"}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0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" localSheetId="0" hidden="1">#REF!</definedName>
    <definedName name="Unit" hidden="1">#REF!</definedName>
    <definedName name="unj" localSheetId="0" hidden="1">#REF!</definedName>
    <definedName name="unj" hidden="1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 hidden="1">#REF!</definedName>
    <definedName name="uuuu" hidden="1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YYUYU" localSheetId="0" hidden="1">{#N/A,#N/A,FALSE,"PERSONAL"}</definedName>
    <definedName name="UYYUYU" hidden="1">{#N/A,#N/A,FALSE,"PERSONAL"}</definedName>
    <definedName name="vbn" hidden="1">{#N/A,#N/A,TRUE,"A"}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0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R" localSheetId="0" hidden="1">{"TAB1",#N/A,TRUE,"GENERAL";"TAB2",#N/A,TRUE,"GENERAL";"TAB3",#N/A,TRUE,"GENERAL";"TAB4",#N/A,TRUE,"GENERAL";"TAB5",#N/A,TRUE,"GENERAL"}</definedName>
    <definedName name="VER" hidden="1">{"TAB1",#N/A,TRUE,"GENERAL";"TAB2",#N/A,TRUE,"GENERAL";"TAB3",#N/A,TRUE,"GENERAL";"TAB4",#N/A,TRUE,"GENERAL";"TAB5",#N/A,TRUE,"GENERAL"}</definedName>
    <definedName name="VERO" localSheetId="0" hidden="1">{"via1",#N/A,TRUE,"general";"via2",#N/A,TRUE,"general";"via3",#N/A,TRUE,"general"}</definedName>
    <definedName name="VERO" hidden="1">{"via1",#N/A,TRUE,"general";"via2",#N/A,TRUE,"general";"via3",#N/A,TRUE,"general"}</definedName>
    <definedName name="Version4OK" localSheetId="0" hidden="1">{"Datos de las Curvas",#N/A,TRUE,"TABLA-CALCULOS"}</definedName>
    <definedName name="Version4OK" hidden="1">{"Datos de las Curvas",#N/A,TRUE,"TABLA-CALCULOS"}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HGF" localSheetId="0" hidden="1">{#N/A,#N/A,FALSE,"PERSONAL"}</definedName>
    <definedName name="VHGF" hidden="1">{#N/A,#N/A,FALSE,"PERSONAL"}</definedName>
    <definedName name="VIA" localSheetId="0" hidden="1">#REF!</definedName>
    <definedName name="via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0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cc" localSheetId="0" hidden="1">{#N/A,#N/A,FALSE,"SOACHA"}</definedName>
    <definedName name="wacc" hidden="1">{#N/A,#N/A,FALSE,"SOACHA"}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Q" localSheetId="0" hidden="1">{#N/A,#N/A,FALSE,"PERSONAL"}</definedName>
    <definedName name="WQ" hidden="1">{#N/A,#N/A,FALSE,"PERSONAL"}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EWQW" localSheetId="0" hidden="1">#REF!</definedName>
    <definedName name="WQEWQW" hidden="1">#REF!</definedName>
    <definedName name="wqw" localSheetId="0" hidden="1">#REF!</definedName>
    <definedName name="wqw" hidden="1">#REF!</definedName>
    <definedName name="wrn.???.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Aging._.and._.Trend._.Analysis." hidden="1">{#N/A,#N/A,FALSE,"Aging Summary";#N/A,#N/A,FALSE,"Ratio Analysis";#N/A,#N/A,FALSE,"Test 120 Day Accts";#N/A,#N/A,FALSE,"Tickmarks"}</definedName>
    <definedName name="wrn.All._.Sheets." hidden="1">{#N/A,#N/A,FALSE,"1997 WW (Short)";#N/A,#N/A,FALSE,"1997 RF Mfg";#N/A,#N/A,FALSE,"Ancillary-CSM";#N/A,#N/A,FALSE,"1997 Service"}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dres." localSheetId="0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dres.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EXO1." localSheetId="0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0" hidden="1">{#N/A,#N/A,FALSE,"CIBHA05A";#N/A,#N/A,FALSE,"CIBHA05B"}</definedName>
    <definedName name="wrn.anexo5." hidden="1">{#N/A,#N/A,FALSE,"CIBHA05A";#N/A,#N/A,FALSE,"CIBHA05B"}</definedName>
    <definedName name="wrn.anexo6." localSheetId="0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0" hidden="1">{#N/A,#N/A,TRUE,"CODIGO DEPENDENCIA"}</definedName>
    <definedName name="wrn.ar." hidden="1">{#N/A,#N/A,TRUE,"CODIGO DEPENDENCIA"}</definedName>
    <definedName name="wrn.AR._.Meeting._.Schedules.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gosy._.Ppto._.Exe." localSheetId="0" hidden="1">{#N/A,#N/A,FALSE,"CPR Santana"}</definedName>
    <definedName name="wrn.Argosy._.Ppto._.Exe." hidden="1">{#N/A,#N/A,FALSE,"CPR Santana"}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Book." localSheetId="0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CAR.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localSheetId="0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PG._.All._.Sheets.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Black._.and._.White.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Color._.Charts." hidden="1">{#N/A,#N/A,FALSE,"4-up charts p.1";#N/A,#N/A,FALSE,"4-up charts p.2";#N/A,#N/A,FALSE," rate of ? qtr";#N/A,#N/A,FALSE,"Detail Rel rate of ? ";#N/A,#N/A,FALSE,"Inventory"}</definedName>
    <definedName name="wrn.civil._.works." localSheetId="0" hidden="1">{#N/A,#N/A,TRUE,"1842CWN0"}</definedName>
    <definedName name="wrn.civil._.works." hidden="1">{#N/A,#N/A,TRUE,"1842CWN0"}</definedName>
    <definedName name="wrn.civil._.works.1" localSheetId="0" hidden="1">{#N/A,#N/A,TRUE,"1842CWN0"}</definedName>
    <definedName name="wrn.civil._.works.1" hidden="1">{#N/A,#N/A,TRUE,"1842CWN0"}</definedName>
    <definedName name="wrn.Complete." localSheetId="0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0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nsolidado._.Ppto._.Exe." localSheetId="0" hidden="1">{#N/A,#N/A,FALSE,"Consolidado"}</definedName>
    <definedName name="wrn.Consolidado._.Ppto._.Exe." hidden="1">{#N/A,#N/A,FALSE,"Consolidado"}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DCF????." hidden="1">{"DCF-???",#N/A,TRUE,"???";"DCF-??",#N/A,TRUE,"??";"DCF-??",#N/A,TRUE,"??";"DCF-??",#N/A,TRUE,"??";"DCF-??",#N/A,TRUE,"??";"DCF-??",#N/A,TRUE,"??";"DCF-??",#N/A,TRUE,"??";"DCF-??",#N/A,TRUE,"??";"DCF-??",#N/A,TRUE,"??"}</definedName>
    <definedName name="wrn.DCF一括印刷.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EAN2." hidden="1">{#N/A,#N/A,TRUE,"A"}</definedName>
    <definedName name="wrn.EAN3" hidden="1">{#N/A,#N/A,TRUE,"A"}</definedName>
    <definedName name="wrn.Ejecución._.de._.Ppto._.GOR._.2002." localSheetId="0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jecución._.de._.Ppto._.GOR._.2002.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e" localSheetId="0" hidden="1">{#N/A,#N/A,TRUE,"1842CWN0"}</definedName>
    <definedName name="wrn.fe" hidden="1">{#N/A,#N/A,TRUE,"1842CWN0"}</definedName>
    <definedName name="wrn.FFFFFFF." localSheetId="0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FFFFFF.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S????." hidden="1">{"FS-???",#N/A,TRUE,"???";"FS-??",#N/A,TRUE,"??";"FS-??",#N/A,TRUE,"??";"FS-??",#N/A,TRUE,"??";"FS-??",#N/A,TRUE,"??";"FS-??",#N/A,TRUE,"??";"FS-??",#N/A,TRUE,"??";"FS-??",#N/A,TRUE,"??";"FS-??",#N/A,TRUE,"??"}</definedName>
    <definedName name="wrn.FS一括印刷.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astos._.e._.Inversiones." localSheetId="0" hidden="1">{#N/A,#N/A,FALSE,"Ppto. Inv. por Proyectos";#N/A,#N/A,FALSE,"Ppto. Gastos por Asociación"}</definedName>
    <definedName name="wrn.Gastos._.e._.Inversiones." hidden="1">{#N/A,#N/A,FALSE,"Ppto. Inv. por Proyectos";#N/A,#N/A,FALSE,"Ppto. Gastos por Asociación"}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0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hhhuuuuu." localSheetId="0" hidden="1">{#N/A,#N/A,FALSE,"137.2.R";#N/A,#N/A,FALSE,"137.3.R";#N/A,#N/A,FALSE,"137.4.R";#N/A,#N/A,FALSE,"138.R";#N/A,#N/A,FALSE,"140.R";#N/A,#N/A,FALSE,"145.R";#N/A,#N/A,FALSE,"146.R"}</definedName>
    <definedName name="wrn.hhhuuuuu." hidden="1">{#N/A,#N/A,FALSE,"137.2.R";#N/A,#N/A,FALSE,"137.3.R";#N/A,#N/A,FALSE,"137.4.R";#N/A,#N/A,FALSE,"138.R";#N/A,#N/A,FALSE,"140.R";#N/A,#N/A,FALSE,"145.R";#N/A,#N/A,FALSE,"146.R"}</definedName>
    <definedName name="wrn.hojas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ojas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yCal._.I._.Mixing.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localSheetId="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4." localSheetId="0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4.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5." localSheetId="0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5.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ESION." hidden="1">{"IMPRESION",#N/A,FALSE,"pequeño"}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INF_DIARIO." localSheetId="0" hidden="1">{#N/A,#N/A,FALSE,"PERSONAL"}</definedName>
    <definedName name="wrn.INF_DIARIO." hidden="1">{#N/A,#N/A,FALSE,"PERSONAL"}</definedName>
    <definedName name="wrn.inf1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0." localSheetId="0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10.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2." localSheetId="0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2.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4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4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OCIB.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._.052000." localSheetId="0" hidden="1">{#N/A,#N/A,FALSE,"nuevo formato actividades";#N/A,#N/A,FALSE,"nuevo formato actividades";#N/A,#N/A,FALSE,"nuevo formato actividades"}</definedName>
    <definedName name="wrn.Julio._.052000." hidden="1">{#N/A,#N/A,FALSE,"nuevo formato actividades";#N/A,#N/A,FALSE,"nuevo formato actividades";#N/A,#N/A,FALSE,"nuevo formato actividades"}</definedName>
    <definedName name="wrn.KKK." localSheetId="0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KK.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r.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listado." localSheetId="0" hidden="1">{#N/A,#N/A,FALSE,"PROPON.2001"}</definedName>
    <definedName name="wrn.listado." hidden="1">{#N/A,#N/A,FALSE,"PROPON.2001"}</definedName>
    <definedName name="wrn.listo.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NoCal._.I._.Mixing.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ccidental._.Ppto._.Exe." localSheetId="0" hidden="1">{#N/A,#N/A,FALSE,"Cravo Norte"}</definedName>
    <definedName name="wrn.Occidental._.Ppto._.Exe." hidden="1">{#N/A,#N/A,FALSE,"Cravo Norte"}</definedName>
    <definedName name="wrn.OMAR" localSheetId="0" hidden="1">{#N/A,#N/A,TRUE,"INGENIERIA";#N/A,#N/A,TRUE,"COMPRAS";#N/A,#N/A,TRUE,"DIRECCION";#N/A,#N/A,TRUE,"RESUMEN"}</definedName>
    <definedName name="wrn.OMAR" hidden="1">{#N/A,#N/A,TRUE,"INGENIERIA";#N/A,#N/A,TRUE,"COMPRAS";#N/A,#N/A,TRUE,"DIRECCION";#N/A,#N/A,TRUE,"RESUMEN"}</definedName>
    <definedName name="wrn.ooooollllll." localSheetId="0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oooollllll.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PERADORES." localSheetId="0" hidden="1">{#N/A,#N/A,TRUE,"T1"}</definedName>
    <definedName name="wrn.OPERADORES." hidden="1">{#N/A,#N/A,TRUE,"T1"}</definedName>
    <definedName name="wrn.Outlook._.Report." hidden="1">{#N/A,#N/A,FALSE,"Outlook for Month ";#N/A,#N/A,FALSE,"Risk for Month ";#N/A,#N/A,FALSE,"Upside for Month"}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erenco._.Ppto._.Exe." localSheetId="0" hidden="1">{#N/A,#N/A,FALSE,"Casanare";#N/A,#N/A,FALSE,"Estero";#N/A,#N/A,FALSE,"Garcero";#N/A,#N/A,FALSE,"Orocué";#N/A,#N/A,FALSE,"Corocora"}</definedName>
    <definedName name="wrn.Perenco._.Ppto._.Exe." hidden="1">{#N/A,#N/A,FALSE,"Casanare";#N/A,#N/A,FALSE,"Estero";#N/A,#N/A,FALSE,"Garcero";#N/A,#N/A,FALSE,"Orocué";#N/A,#N/A,FALSE,"Corocora"}</definedName>
    <definedName name="wrn.Petrobras._.Ppto._.Exe." localSheetId="0" hidden="1">{#N/A,#N/A,FALSE,"Upía";#N/A,#N/A,FALSE,"CPR Espinal";#N/A,#N/A,FALSE,"Magangué"}</definedName>
    <definedName name="wrn.Petrobras._.Ppto._.Exe." hidden="1">{#N/A,#N/A,FALSE,"Upía";#N/A,#N/A,FALSE,"CPR Espinal";#N/A,#N/A,FALSE,"Magangué"}</definedName>
    <definedName name="wrn.Presupuesto." localSheetId="0" hidden="1">{#N/A,#N/A,TRUE,"Unifilar"}</definedName>
    <definedName name="wrn.Presupuesto." hidden="1">{#N/A,#N/A,TRUE,"Unifilar"}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PRODUCCION._.SOACHA." localSheetId="0" hidden="1">{#N/A,#N/A,FALSE,"SOACHA"}</definedName>
    <definedName name="wrn.PRODUCCION._.SOACHA." hidden="1">{#N/A,#N/A,FALSE,"SOACHA"}</definedName>
    <definedName name="wrn.PRU_1." localSheetId="0" hidden="1">{#N/A,#N/A,FALSE,"PERSONAL"}</definedName>
    <definedName name="wrn.PRU_1." hidden="1">{#N/A,#N/A,FALSE,"PERSONAL"}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RPT.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sasas." localSheetId="0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asas.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OACHA." localSheetId="0" hidden="1">{#N/A,#N/A,FALSE,"SOACHA"}</definedName>
    <definedName name="wrn.SOACHA." hidden="1">{#N/A,#N/A,FALSE,"SOACHA"}</definedName>
    <definedName name="wrn.SSSSSS." localSheetId="0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SSSSS.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ummary._.report." hidden="1">{#N/A,#N/A,TRUE,"Summary"}</definedName>
    <definedName name="wrn.SUP._.1." localSheetId="0" hidden="1">{#N/A,#N/A,FALSE,"PERSONAL"}</definedName>
    <definedName name="wrn.SUP._.1." hidden="1">{#N/A,#N/A,FALSE,"PERSONAL"}</definedName>
    <definedName name="wrn.SUPER." localSheetId="0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odos._.CAs." localSheetId="0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odos._.CAs.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uuff." localSheetId="0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uuff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0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YYYY." localSheetId="0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YYYY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全印刷.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RES8" localSheetId="0" hidden="1">{#N/A,#N/A,FALSE,"Hoja1";#N/A,#N/A,FALSE,"Hoja2"}</definedName>
    <definedName name="WRNRES8" hidden="1">{#N/A,#N/A,FALSE,"Hoja1";#N/A,#N/A,FALSE,"Hoja2"}</definedName>
    <definedName name="wsdds" hidden="1">{"TAB1",#N/A,TRUE,"GENERAL";"TAB2",#N/A,TRUE,"GENERAL";"TAB3",#N/A,TRUE,"GENERAL";"TAB4",#N/A,TRUE,"GENERAL";"TAB5",#N/A,TRUE,"GENERAL"}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oil.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localSheetId="0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localSheetId="0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bxb" localSheetId="0" hidden="1">#REF!</definedName>
    <definedName name="xbxb" hidden="1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PLOT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KSDGOFKD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KSDGOFKD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xv" localSheetId="0" hidden="1">#REF!</definedName>
    <definedName name="xvxv" hidden="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 hidden="1">{"via1",#N/A,TRUE,"general";"via2",#N/A,TRUE,"general";"via3",#N/A,TRUE,"general"}</definedName>
    <definedName name="XXXX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XXXXX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{#N/A,#N/A,TRUE,"INGENIERIA";#N/A,#N/A,TRUE,"COMPRAS";#N/A,#N/A,TRUE,"DIRECCION";#N/A,#N/A,TRUE,"RESUMEN"}</definedName>
    <definedName name="XXXXXX" hidden="1">{#N/A,#N/A,TRUE,"INGENIERIA";#N/A,#N/A,TRUE,"COMPRAS";#N/A,#N/A,TRUE,"DIRECCION";#N/A,#N/A,TRUE,"RESUMEN"}</definedName>
    <definedName name="XXXXXXXX" localSheetId="0" hidden="1">#REF!</definedName>
    <definedName name="XXXXXXXX" hidden="1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XXXX" localSheetId="0" hidden="1">#REF!</definedName>
    <definedName name="XXXXXXXXXXXXXXXX" hidden="1">#REF!</definedName>
    <definedName name="xxyzabc" localSheetId="0" hidden="1">{"via1",#N/A,TRUE,"general";"via2",#N/A,TRUE,"general";"via3",#N/A,TRUE,"general"}</definedName>
    <definedName name="xxyzabc" hidden="1">{"via1",#N/A,TRUE,"general";"via2",#N/A,TRUE,"general";"via3",#N/A,TRUE,"general"}</definedName>
    <definedName name="xyz" localSheetId="0" hidden="1">#REF!</definedName>
    <definedName name="xyz" hidden="1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u" hidden="1">{#N/A,#N/A,TRUE,"A"}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#REF!,#REF!,#REF!,#REF!,#REF!,#REF!,#REF!,#REF!,#REF!,#REF!,#REF!,#REF!,#REF!,#REF!,#REF!,#REF!,#REF!,#REF!,#REF!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localSheetId="0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REFSF" localSheetId="0" hidden="1">{#N/A,#N/A,FALSE,"PERSONAL"}</definedName>
    <definedName name="YUTREFSF" hidden="1">{#N/A,#N/A,FALSE,"PERSONAL"}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0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localSheetId="0" hidden="1">#REF!</definedName>
    <definedName name="yyyyyy" hidden="1">#REF!</definedName>
    <definedName name="YYYYYYYYYYY" hidden="1">#REF!</definedName>
    <definedName name="ｚ" hidden="1">{"'下期集計（10.27迄・速報値）'!$Q$16"}</definedName>
    <definedName name="Z_086A872D_15DF_436A_8459_CE22F6819FF4_.wvu.Rows" hidden="1">#REF!</definedName>
    <definedName name="Z_18075DA6_CC33_11D2_B806_0000E85698D9_.wvu.Cols" localSheetId="0" hidden="1">#REF!,#REF!,#REF!,#REF!,#REF!,#REF!,#REF!</definedName>
    <definedName name="Z_18075DA6_CC33_11D2_B806_0000E85698D9_.wvu.Cols" hidden="1">#REF!,#REF!,#REF!,#REF!,#REF!,#REF!,#REF!</definedName>
    <definedName name="Z_18075DA6_CC33_11D2_B806_0000E85698D9_.wvu.PrintArea" localSheetId="0" hidden="1">#REF!</definedName>
    <definedName name="Z_18075DA6_CC33_11D2_B806_0000E85698D9_.wvu.PrintArea" hidden="1">#REF!</definedName>
    <definedName name="Z_18075DA6_CC33_11D2_B806_0000E85698D9_.wvu.PrintTitles" localSheetId="0" hidden="1">#REF!</definedName>
    <definedName name="Z_18075DA6_CC33_11D2_B806_0000E85698D9_.wvu.PrintTitles" hidden="1">#REF!</definedName>
    <definedName name="Z_18075DA6_CC33_11D2_B806_0000E85698D9_.wvu.Rows" localSheetId="0" hidden="1">#REF!</definedName>
    <definedName name="Z_18075DA6_CC33_11D2_B806_0000E85698D9_.wvu.Rows" hidden="1">#REF!</definedName>
    <definedName name="Z_4893CD87_CC58_11D2_B806_0000E85698D9_.wvu.Cols" localSheetId="0" hidden="1">#REF!,#REF!,#REF!,#REF!,#REF!,#REF!,#REF!</definedName>
    <definedName name="Z_4893CD87_CC58_11D2_B806_0000E85698D9_.wvu.Cols" hidden="1">#REF!,#REF!,#REF!,#REF!,#REF!,#REF!,#REF!</definedName>
    <definedName name="Z_4893CD87_CC58_11D2_B806_0000E85698D9_.wvu.PrintArea" localSheetId="0" hidden="1">#REF!</definedName>
    <definedName name="Z_4893CD87_CC58_11D2_B806_0000E85698D9_.wvu.PrintArea" hidden="1">#REF!</definedName>
    <definedName name="Z_4893CD87_CC58_11D2_B806_0000E85698D9_.wvu.PrintTitles" localSheetId="0" hidden="1">#REF!</definedName>
    <definedName name="Z_4893CD87_CC58_11D2_B806_0000E85698D9_.wvu.PrintTitles" hidden="1">#REF!</definedName>
    <definedName name="Z_4893CD87_CC58_11D2_B806_0000E85698D9_.wvu.Rows" localSheetId="0" hidden="1">#REF!,#REF!,#REF!,#REF!,#REF!,#REF!,#REF!,#REF!,#REF!,#REF!,#REF!,#REF!,#REF!,#REF!,#REF!,#REF!,#REF!,#REF!,#REF!,#REF!,#REF!,#REF!,#REF!,#REF!,#REF!,#REF!,#REF!,#REF!,#REF!,#REF!,#REF!,#REF!,#REF!,#REF!,#REF!,#REF!,#REF!,#REF!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_D55C8B2E_861A_459E_9D09_3AF38A1DE99E_.wvu.Rows" hidden="1">#REF!</definedName>
    <definedName name="Z_F540D718_D9AA_403F_AE49_60D937FD77E5_.wvu.Rows" hidden="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ぁ" hidden="1">{"'下期集計（10.27迄・速報値）'!$Q$16"}</definedName>
    <definedName name="あ" hidden="1">{"'下期集計（10.27迄・速報値）'!$Q$16"}</definedName>
    <definedName name="あああ" hidden="1">{"'下期集計（10.27迄・速報値）'!$Q$16"}</definedName>
    <definedName name="ｼｰﾄ" hidden="1">#REF!</definedName>
    <definedName name="なんで" hidden="1">{"'下期集計（10.27迄・速報値）'!$Q$16"}</definedName>
    <definedName name="なんなの" hidden="1">{"'下期集計（10.27迄・速報値）'!$Q$16"}</definedName>
    <definedName name="一括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年間収支買掛" hidden="1">{"'下期集計（10.27迄・速報値）'!$Q$16"}</definedName>
    <definedName name="年間資金収支あ" hidden="1">{"'下期集計（10.27迄・速報値）'!$Q$16"}</definedName>
    <definedName name="日繰06" hidden="1">{"'下期集計（10.27迄・速報値）'!$Q$16"}</definedName>
    <definedName name="系統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要処理資産②" hidden="1">{"'下期集計（10.27迄・速報値）'!$Q$16"}</definedName>
    <definedName name="評価対象" hidden="1">#REF!</definedName>
    <definedName name="資金" hidden="1">{"'下期集計（10.27迄・速報値）'!$Q$16"}</definedName>
    <definedName name="金利体系" hidden="1">{"'下期集計（10.27迄・速報値）'!$Q$16"}</definedName>
    <definedName name="関連" hidden="1">{"'下期集計（10.27迄・速報値）'!$Q$16"}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" l="1"/>
  <c r="H20" i="1"/>
  <c r="H19" i="1"/>
  <c r="H51" i="176"/>
  <c r="H50" i="176"/>
  <c r="H49" i="176"/>
  <c r="H51" i="175"/>
  <c r="H50" i="175"/>
  <c r="H49" i="175"/>
  <c r="H51" i="174"/>
  <c r="H50" i="174"/>
  <c r="H49" i="174"/>
  <c r="H52" i="173"/>
  <c r="H51" i="173"/>
  <c r="H50" i="173"/>
  <c r="H51" i="171"/>
  <c r="H50" i="171"/>
  <c r="H49" i="171"/>
  <c r="H51" i="129"/>
  <c r="H50" i="129"/>
  <c r="H49" i="129"/>
  <c r="H51" i="104"/>
  <c r="H50" i="104"/>
  <c r="H49" i="104"/>
  <c r="H51" i="128"/>
  <c r="H50" i="128"/>
  <c r="H49" i="128"/>
  <c r="H51" i="170"/>
  <c r="H50" i="170"/>
  <c r="H49" i="170"/>
  <c r="H51" i="169"/>
  <c r="H50" i="169"/>
  <c r="H49" i="169"/>
  <c r="H10" i="1"/>
  <c r="H9" i="1"/>
  <c r="H8" i="1"/>
  <c r="H7" i="1"/>
  <c r="H6" i="1"/>
  <c r="G52" i="176"/>
  <c r="G52" i="175"/>
  <c r="G52" i="174"/>
  <c r="H53" i="173"/>
  <c r="G53" i="173"/>
  <c r="G52" i="171"/>
  <c r="G52" i="129"/>
  <c r="G52" i="104"/>
  <c r="G52" i="128"/>
  <c r="G52" i="170"/>
  <c r="G52" i="169"/>
  <c r="H52" i="169"/>
  <c r="J36" i="2"/>
  <c r="J31" i="2"/>
  <c r="A95" i="73"/>
  <c r="A94" i="73"/>
  <c r="J55" i="2"/>
  <c r="B52" i="2"/>
  <c r="J56" i="2"/>
  <c r="F135" i="46"/>
  <c r="H45" i="176"/>
  <c r="D44" i="176"/>
  <c r="F44" i="176" s="1"/>
  <c r="D43" i="176"/>
  <c r="F43" i="176" s="1"/>
  <c r="G35" i="176"/>
  <c r="E35" i="176"/>
  <c r="D35" i="176"/>
  <c r="H35" i="176" s="1"/>
  <c r="H39" i="176" s="1"/>
  <c r="G28" i="176"/>
  <c r="F28" i="176"/>
  <c r="H28" i="176" s="1"/>
  <c r="G27" i="176"/>
  <c r="F27" i="176"/>
  <c r="H27" i="176" s="1"/>
  <c r="G20" i="176"/>
  <c r="H20" i="176" s="1"/>
  <c r="E20" i="176"/>
  <c r="H19" i="176"/>
  <c r="G18" i="176"/>
  <c r="F18" i="176"/>
  <c r="E18" i="176"/>
  <c r="G17" i="176"/>
  <c r="H17" i="176" s="1"/>
  <c r="E17" i="176"/>
  <c r="E16" i="176"/>
  <c r="E15" i="176"/>
  <c r="F9" i="176"/>
  <c r="D9" i="176"/>
  <c r="B6" i="176"/>
  <c r="F83" i="46"/>
  <c r="E17" i="1"/>
  <c r="D17" i="1"/>
  <c r="D53" i="2" s="1"/>
  <c r="C17" i="1"/>
  <c r="H22" i="2"/>
  <c r="H23" i="2" s="1"/>
  <c r="J23" i="2" s="1"/>
  <c r="J8" i="2"/>
  <c r="J7" i="2"/>
  <c r="J20" i="175"/>
  <c r="F35" i="175"/>
  <c r="E20" i="175"/>
  <c r="E19" i="175"/>
  <c r="E18" i="175"/>
  <c r="H45" i="175"/>
  <c r="D44" i="175"/>
  <c r="F44" i="175" s="1"/>
  <c r="D43" i="175"/>
  <c r="F43" i="175" s="1"/>
  <c r="G35" i="175"/>
  <c r="E35" i="175"/>
  <c r="D35" i="175"/>
  <c r="G29" i="175"/>
  <c r="F29" i="175"/>
  <c r="H29" i="175" s="1"/>
  <c r="E29" i="175"/>
  <c r="F28" i="175"/>
  <c r="H28" i="175" s="1"/>
  <c r="E28" i="175"/>
  <c r="F27" i="175"/>
  <c r="H27" i="175" s="1"/>
  <c r="E27" i="175"/>
  <c r="H21" i="175"/>
  <c r="E17" i="175"/>
  <c r="E16" i="175"/>
  <c r="E15" i="175"/>
  <c r="F9" i="175"/>
  <c r="B6" i="175"/>
  <c r="J50" i="2"/>
  <c r="J49" i="2"/>
  <c r="F35" i="174"/>
  <c r="H45" i="174"/>
  <c r="D44" i="174"/>
  <c r="F44" i="174" s="1"/>
  <c r="D43" i="174"/>
  <c r="F43" i="174" s="1"/>
  <c r="G35" i="174"/>
  <c r="E35" i="174"/>
  <c r="D35" i="174"/>
  <c r="G29" i="174"/>
  <c r="F29" i="174"/>
  <c r="E29" i="174"/>
  <c r="G28" i="174"/>
  <c r="F28" i="174"/>
  <c r="E28" i="174"/>
  <c r="G27" i="174"/>
  <c r="F27" i="174"/>
  <c r="E27" i="174"/>
  <c r="H21" i="174"/>
  <c r="H20" i="174"/>
  <c r="H19" i="174"/>
  <c r="H18" i="174"/>
  <c r="E17" i="174"/>
  <c r="E16" i="174"/>
  <c r="E15" i="174"/>
  <c r="F9" i="174"/>
  <c r="B6" i="174"/>
  <c r="J28" i="2"/>
  <c r="G27" i="2"/>
  <c r="J27" i="2" s="1"/>
  <c r="J25" i="2" s="1"/>
  <c r="I45" i="2"/>
  <c r="J45" i="2" s="1"/>
  <c r="E10" i="1"/>
  <c r="D10" i="1"/>
  <c r="D25" i="2" s="1"/>
  <c r="I44" i="2"/>
  <c r="J44" i="2" s="1"/>
  <c r="J39" i="2"/>
  <c r="H46" i="173"/>
  <c r="D45" i="173"/>
  <c r="F45" i="173" s="1"/>
  <c r="D44" i="173"/>
  <c r="F44" i="173" s="1"/>
  <c r="G36" i="173"/>
  <c r="F36" i="173"/>
  <c r="E36" i="173"/>
  <c r="D36" i="173"/>
  <c r="G30" i="173"/>
  <c r="F30" i="173"/>
  <c r="H30" i="173" s="1"/>
  <c r="E30" i="173"/>
  <c r="G29" i="173"/>
  <c r="F29" i="173"/>
  <c r="E29" i="173"/>
  <c r="G28" i="173"/>
  <c r="F28" i="173"/>
  <c r="E28" i="173"/>
  <c r="E22" i="173"/>
  <c r="E21" i="173"/>
  <c r="F20" i="173"/>
  <c r="E20" i="173"/>
  <c r="F19" i="173"/>
  <c r="E19" i="173"/>
  <c r="E18" i="173"/>
  <c r="E17" i="173"/>
  <c r="E16" i="173"/>
  <c r="E15" i="173"/>
  <c r="F9" i="173"/>
  <c r="B6" i="173"/>
  <c r="G38" i="2"/>
  <c r="J38" i="2" s="1"/>
  <c r="G33" i="2"/>
  <c r="J33" i="2" s="1"/>
  <c r="E9" i="1"/>
  <c r="D9" i="1"/>
  <c r="D20" i="2" s="1"/>
  <c r="G22" i="2"/>
  <c r="J18" i="2"/>
  <c r="G17" i="2"/>
  <c r="J17" i="2" s="1"/>
  <c r="E8" i="1"/>
  <c r="D8" i="1"/>
  <c r="D15" i="2" s="1"/>
  <c r="D16" i="2" s="1"/>
  <c r="F9" i="171"/>
  <c r="F9" i="172"/>
  <c r="F42" i="46"/>
  <c r="G22" i="173" s="1"/>
  <c r="H22" i="173" s="1"/>
  <c r="E22" i="172"/>
  <c r="G30" i="172"/>
  <c r="G29" i="172"/>
  <c r="F36" i="172"/>
  <c r="F30" i="172"/>
  <c r="E30" i="172"/>
  <c r="E21" i="172"/>
  <c r="F20" i="172"/>
  <c r="E20" i="172"/>
  <c r="F102" i="46"/>
  <c r="G20" i="172" s="1"/>
  <c r="F19" i="172"/>
  <c r="F18" i="46"/>
  <c r="G19" i="173" s="1"/>
  <c r="E19" i="172"/>
  <c r="E18" i="172"/>
  <c r="H46" i="172"/>
  <c r="D45" i="172"/>
  <c r="F45" i="172" s="1"/>
  <c r="D44" i="172"/>
  <c r="F44" i="172" s="1"/>
  <c r="G36" i="172"/>
  <c r="E36" i="172"/>
  <c r="D36" i="172"/>
  <c r="F29" i="172"/>
  <c r="E29" i="172"/>
  <c r="G28" i="172"/>
  <c r="F28" i="172"/>
  <c r="E28" i="172"/>
  <c r="E17" i="172"/>
  <c r="E16" i="172"/>
  <c r="E15" i="172"/>
  <c r="B6" i="172"/>
  <c r="F35" i="171"/>
  <c r="A130" i="73"/>
  <c r="A131" i="73"/>
  <c r="B131" i="73" s="1"/>
  <c r="A132" i="73"/>
  <c r="B132" i="73" s="1"/>
  <c r="A133" i="73"/>
  <c r="B133" i="73" s="1"/>
  <c r="A134" i="73"/>
  <c r="B134" i="73" s="1"/>
  <c r="A135" i="73"/>
  <c r="C135" i="73" s="1"/>
  <c r="A136" i="73"/>
  <c r="B136" i="73" s="1"/>
  <c r="A137" i="73"/>
  <c r="C137" i="73" s="1"/>
  <c r="A138" i="73"/>
  <c r="A139" i="73"/>
  <c r="A140" i="73"/>
  <c r="A141" i="73"/>
  <c r="A142" i="73"/>
  <c r="A143" i="73"/>
  <c r="A144" i="73"/>
  <c r="A145" i="73"/>
  <c r="A146" i="73"/>
  <c r="A147" i="73"/>
  <c r="A148" i="73"/>
  <c r="A149" i="73"/>
  <c r="A150" i="73"/>
  <c r="A151" i="73"/>
  <c r="A152" i="73"/>
  <c r="A153" i="73"/>
  <c r="A154" i="73"/>
  <c r="H45" i="171"/>
  <c r="D44" i="171"/>
  <c r="F44" i="171" s="1"/>
  <c r="D43" i="171"/>
  <c r="F43" i="171" s="1"/>
  <c r="G35" i="171"/>
  <c r="E35" i="171"/>
  <c r="D35" i="171"/>
  <c r="F28" i="171"/>
  <c r="H28" i="171" s="1"/>
  <c r="E28" i="171"/>
  <c r="G27" i="171"/>
  <c r="F27" i="171"/>
  <c r="E27" i="171"/>
  <c r="G17" i="171"/>
  <c r="H17" i="171" s="1"/>
  <c r="E17" i="171"/>
  <c r="G16" i="171"/>
  <c r="H16" i="171" s="1"/>
  <c r="E16" i="171"/>
  <c r="E15" i="171"/>
  <c r="B6" i="171"/>
  <c r="F125" i="46"/>
  <c r="G15" i="171" s="1"/>
  <c r="H15" i="171" s="1"/>
  <c r="J13" i="2"/>
  <c r="J12" i="2"/>
  <c r="F35" i="170"/>
  <c r="H45" i="170"/>
  <c r="D44" i="170"/>
  <c r="F44" i="170" s="1"/>
  <c r="D43" i="170"/>
  <c r="F43" i="170" s="1"/>
  <c r="G35" i="170"/>
  <c r="E35" i="170"/>
  <c r="D35" i="170"/>
  <c r="F28" i="170"/>
  <c r="H28" i="170" s="1"/>
  <c r="E28" i="170"/>
  <c r="G27" i="170"/>
  <c r="F27" i="170"/>
  <c r="E27" i="170"/>
  <c r="G17" i="170"/>
  <c r="H17" i="170" s="1"/>
  <c r="E17" i="170"/>
  <c r="G16" i="170"/>
  <c r="H16" i="170" s="1"/>
  <c r="E16" i="170"/>
  <c r="G15" i="170"/>
  <c r="H15" i="170" s="1"/>
  <c r="E15" i="170"/>
  <c r="F9" i="170"/>
  <c r="B6" i="170"/>
  <c r="E17" i="169"/>
  <c r="F104" i="46"/>
  <c r="G17" i="169" s="1"/>
  <c r="H17" i="169" s="1"/>
  <c r="H31" i="176" l="1"/>
  <c r="H28" i="173"/>
  <c r="H29" i="173"/>
  <c r="C132" i="73"/>
  <c r="C136" i="73"/>
  <c r="D54" i="2"/>
  <c r="C133" i="73"/>
  <c r="B137" i="73"/>
  <c r="C134" i="73"/>
  <c r="B135" i="73"/>
  <c r="J53" i="2"/>
  <c r="J22" i="2"/>
  <c r="G20" i="173"/>
  <c r="H20" i="173" s="1"/>
  <c r="H18" i="176"/>
  <c r="H35" i="175"/>
  <c r="H39" i="175" s="1"/>
  <c r="H31" i="175"/>
  <c r="D26" i="2"/>
  <c r="H28" i="174"/>
  <c r="H29" i="174"/>
  <c r="H27" i="174"/>
  <c r="H35" i="174"/>
  <c r="H39" i="174" s="1"/>
  <c r="H43" i="2"/>
  <c r="J43" i="2" s="1"/>
  <c r="H36" i="173"/>
  <c r="H40" i="173" s="1"/>
  <c r="H19" i="173"/>
  <c r="H32" i="173"/>
  <c r="J20" i="2"/>
  <c r="J15" i="2"/>
  <c r="H30" i="172"/>
  <c r="H29" i="172"/>
  <c r="H28" i="172"/>
  <c r="H20" i="172"/>
  <c r="H36" i="172"/>
  <c r="H40" i="172" s="1"/>
  <c r="H35" i="171"/>
  <c r="H39" i="171" s="1"/>
  <c r="H27" i="170"/>
  <c r="H31" i="170" s="1"/>
  <c r="H27" i="171"/>
  <c r="H31" i="171" s="1"/>
  <c r="H35" i="170"/>
  <c r="H39" i="170" s="1"/>
  <c r="F118" i="46"/>
  <c r="F73" i="46"/>
  <c r="H45" i="169"/>
  <c r="D44" i="169"/>
  <c r="F44" i="169" s="1"/>
  <c r="D43" i="169"/>
  <c r="F43" i="169" s="1"/>
  <c r="G35" i="169"/>
  <c r="E35" i="169"/>
  <c r="D35" i="169"/>
  <c r="H35" i="169" s="1"/>
  <c r="H39" i="169" s="1"/>
  <c r="G28" i="169"/>
  <c r="F28" i="169"/>
  <c r="E28" i="169"/>
  <c r="G27" i="169"/>
  <c r="F27" i="169"/>
  <c r="E27" i="169"/>
  <c r="E16" i="169"/>
  <c r="E15" i="169"/>
  <c r="F9" i="169"/>
  <c r="B6" i="169"/>
  <c r="A22" i="73"/>
  <c r="A23" i="73"/>
  <c r="A24" i="73"/>
  <c r="A19" i="73"/>
  <c r="A20" i="73"/>
  <c r="A21" i="73"/>
  <c r="H31" i="174" l="1"/>
  <c r="C20" i="73"/>
  <c r="B20" i="73"/>
  <c r="C19" i="73"/>
  <c r="B19" i="73"/>
  <c r="H32" i="172"/>
  <c r="H28" i="169"/>
  <c r="H27" i="169"/>
  <c r="H31" i="169" l="1"/>
  <c r="H45" i="168" l="1"/>
  <c r="D44" i="168"/>
  <c r="F44" i="168" s="1"/>
  <c r="D43" i="168"/>
  <c r="F43" i="168" s="1"/>
  <c r="G35" i="168"/>
  <c r="F35" i="168"/>
  <c r="E35" i="168"/>
  <c r="D35" i="168"/>
  <c r="H35" i="168" s="1"/>
  <c r="H39" i="168" s="1"/>
  <c r="G28" i="168"/>
  <c r="F28" i="168"/>
  <c r="H28" i="168" s="1"/>
  <c r="G27" i="168"/>
  <c r="F27" i="168"/>
  <c r="H27" i="168" s="1"/>
  <c r="H31" i="168" s="1"/>
  <c r="G21" i="168"/>
  <c r="H21" i="168" s="1"/>
  <c r="E21" i="168"/>
  <c r="G20" i="168"/>
  <c r="H20" i="168" s="1"/>
  <c r="E20" i="168"/>
  <c r="G19" i="168"/>
  <c r="H19" i="168" s="1"/>
  <c r="E19" i="168"/>
  <c r="G18" i="168"/>
  <c r="H18" i="168" s="1"/>
  <c r="E18" i="168"/>
  <c r="G17" i="168"/>
  <c r="H17" i="168" s="1"/>
  <c r="E17" i="168"/>
  <c r="E16" i="168"/>
  <c r="G15" i="168"/>
  <c r="H15" i="168" s="1"/>
  <c r="E15" i="168"/>
  <c r="F9" i="168"/>
  <c r="B6" i="168"/>
  <c r="F69" i="46"/>
  <c r="J34" i="2"/>
  <c r="J10" i="2" l="1"/>
  <c r="J5" i="2"/>
  <c r="F27" i="167" l="1"/>
  <c r="H45" i="167"/>
  <c r="D44" i="167"/>
  <c r="F44" i="167" s="1"/>
  <c r="D43" i="167"/>
  <c r="F43" i="167" s="1"/>
  <c r="G35" i="167"/>
  <c r="F35" i="167"/>
  <c r="E35" i="167"/>
  <c r="D35" i="167"/>
  <c r="H28" i="167"/>
  <c r="G28" i="167"/>
  <c r="F28" i="167"/>
  <c r="G21" i="167"/>
  <c r="H21" i="167" s="1"/>
  <c r="E21" i="167"/>
  <c r="G20" i="167"/>
  <c r="H20" i="167" s="1"/>
  <c r="E20" i="167"/>
  <c r="G19" i="167"/>
  <c r="H19" i="167" s="1"/>
  <c r="E19" i="167"/>
  <c r="G18" i="167"/>
  <c r="H18" i="167" s="1"/>
  <c r="E18" i="167"/>
  <c r="G17" i="167"/>
  <c r="H17" i="167" s="1"/>
  <c r="E17" i="167"/>
  <c r="E16" i="167"/>
  <c r="G15" i="167"/>
  <c r="H15" i="167" s="1"/>
  <c r="E15" i="167"/>
  <c r="F9" i="167"/>
  <c r="B6" i="167"/>
  <c r="F108" i="46"/>
  <c r="A76" i="73"/>
  <c r="A77" i="73"/>
  <c r="A74" i="73"/>
  <c r="C74" i="73" s="1"/>
  <c r="A75" i="73"/>
  <c r="H35" i="167" l="1"/>
  <c r="H39" i="167" s="1"/>
  <c r="C75" i="73"/>
  <c r="B75" i="73"/>
  <c r="B74" i="73"/>
  <c r="H27" i="167"/>
  <c r="H31" i="167" s="1"/>
  <c r="F9" i="164"/>
  <c r="F121" i="46"/>
  <c r="G27" i="166"/>
  <c r="F27" i="166"/>
  <c r="H45" i="166"/>
  <c r="D44" i="166"/>
  <c r="F44" i="166" s="1"/>
  <c r="D43" i="166"/>
  <c r="F43" i="166" s="1"/>
  <c r="G35" i="166"/>
  <c r="F35" i="166"/>
  <c r="E35" i="166"/>
  <c r="D35" i="166"/>
  <c r="G28" i="166"/>
  <c r="F28" i="166"/>
  <c r="H28" i="166" s="1"/>
  <c r="G21" i="166"/>
  <c r="H21" i="166" s="1"/>
  <c r="E21" i="166"/>
  <c r="G20" i="166"/>
  <c r="H20" i="166" s="1"/>
  <c r="E20" i="166"/>
  <c r="G19" i="166"/>
  <c r="H19" i="166" s="1"/>
  <c r="E19" i="166"/>
  <c r="G18" i="166"/>
  <c r="H18" i="166" s="1"/>
  <c r="E18" i="166"/>
  <c r="E17" i="166"/>
  <c r="E16" i="166"/>
  <c r="E15" i="166"/>
  <c r="F9" i="166"/>
  <c r="B6" i="166"/>
  <c r="H45" i="165"/>
  <c r="D44" i="165"/>
  <c r="F44" i="165" s="1"/>
  <c r="F43" i="165"/>
  <c r="D43" i="165"/>
  <c r="G35" i="165"/>
  <c r="F35" i="165"/>
  <c r="E35" i="165"/>
  <c r="D35" i="165"/>
  <c r="G28" i="165"/>
  <c r="F28" i="165"/>
  <c r="H28" i="165" s="1"/>
  <c r="G27" i="165"/>
  <c r="F27" i="165"/>
  <c r="H27" i="165" s="1"/>
  <c r="H31" i="165" s="1"/>
  <c r="G21" i="165"/>
  <c r="H21" i="165" s="1"/>
  <c r="E21" i="165"/>
  <c r="G20" i="165"/>
  <c r="H20" i="165" s="1"/>
  <c r="E20" i="165"/>
  <c r="G19" i="165"/>
  <c r="H19" i="165" s="1"/>
  <c r="E19" i="165"/>
  <c r="G18" i="165"/>
  <c r="H18" i="165" s="1"/>
  <c r="E18" i="165"/>
  <c r="G17" i="165"/>
  <c r="H17" i="165" s="1"/>
  <c r="E17" i="165"/>
  <c r="E16" i="165"/>
  <c r="E15" i="165"/>
  <c r="F9" i="165"/>
  <c r="B6" i="165"/>
  <c r="F20" i="46"/>
  <c r="G15" i="165" s="1"/>
  <c r="H15" i="165" s="1"/>
  <c r="H27" i="166" l="1"/>
  <c r="H31" i="166" s="1"/>
  <c r="H35" i="166"/>
  <c r="H39" i="166" s="1"/>
  <c r="H35" i="165"/>
  <c r="H39" i="165" s="1"/>
  <c r="J15" i="90" l="1"/>
  <c r="F59" i="46" l="1"/>
  <c r="H45" i="164"/>
  <c r="D44" i="164"/>
  <c r="F44" i="164" s="1"/>
  <c r="D43" i="164"/>
  <c r="F43" i="164" s="1"/>
  <c r="G35" i="164"/>
  <c r="E35" i="164"/>
  <c r="D35" i="164"/>
  <c r="G28" i="164"/>
  <c r="F28" i="164"/>
  <c r="H28" i="164" s="1"/>
  <c r="G27" i="164"/>
  <c r="F27" i="164"/>
  <c r="G21" i="164"/>
  <c r="H21" i="164" s="1"/>
  <c r="E21" i="164"/>
  <c r="G20" i="164"/>
  <c r="H20" i="164" s="1"/>
  <c r="E20" i="164"/>
  <c r="G19" i="164"/>
  <c r="H19" i="164" s="1"/>
  <c r="E19" i="164"/>
  <c r="G18" i="164"/>
  <c r="H18" i="164" s="1"/>
  <c r="E18" i="164"/>
  <c r="G17" i="164"/>
  <c r="H17" i="164" s="1"/>
  <c r="E17" i="164"/>
  <c r="E16" i="164"/>
  <c r="E15" i="164"/>
  <c r="D9" i="164"/>
  <c r="B6" i="164"/>
  <c r="H27" i="164" l="1"/>
  <c r="H31" i="164" s="1"/>
  <c r="F35" i="164"/>
  <c r="H35" i="164" s="1"/>
  <c r="H39" i="164" s="1"/>
  <c r="H45" i="163"/>
  <c r="D44" i="163"/>
  <c r="F44" i="163" s="1"/>
  <c r="D43" i="163"/>
  <c r="F43" i="163" s="1"/>
  <c r="G35" i="163"/>
  <c r="F35" i="163"/>
  <c r="E35" i="163"/>
  <c r="D35" i="163"/>
  <c r="G28" i="163"/>
  <c r="F28" i="163"/>
  <c r="H28" i="163" s="1"/>
  <c r="G27" i="163"/>
  <c r="F27" i="163"/>
  <c r="H27" i="163" s="1"/>
  <c r="H31" i="163" s="1"/>
  <c r="G21" i="163"/>
  <c r="H21" i="163" s="1"/>
  <c r="E21" i="163"/>
  <c r="G20" i="163"/>
  <c r="H20" i="163" s="1"/>
  <c r="E20" i="163"/>
  <c r="G19" i="163"/>
  <c r="H19" i="163" s="1"/>
  <c r="E19" i="163"/>
  <c r="G18" i="163"/>
  <c r="H18" i="163" s="1"/>
  <c r="E18" i="163"/>
  <c r="E17" i="163"/>
  <c r="F16" i="163"/>
  <c r="E16" i="163"/>
  <c r="E15" i="163"/>
  <c r="F9" i="163"/>
  <c r="B6" i="163"/>
  <c r="H45" i="162"/>
  <c r="D44" i="162"/>
  <c r="F44" i="162" s="1"/>
  <c r="D43" i="162"/>
  <c r="F43" i="162" s="1"/>
  <c r="G35" i="162"/>
  <c r="F35" i="162"/>
  <c r="E35" i="162"/>
  <c r="D35" i="162"/>
  <c r="G28" i="162"/>
  <c r="F28" i="162"/>
  <c r="H28" i="162" s="1"/>
  <c r="G27" i="162"/>
  <c r="F27" i="162"/>
  <c r="H27" i="162" s="1"/>
  <c r="H31" i="162" s="1"/>
  <c r="G21" i="162"/>
  <c r="H21" i="162" s="1"/>
  <c r="E21" i="162"/>
  <c r="G20" i="162"/>
  <c r="H20" i="162" s="1"/>
  <c r="E20" i="162"/>
  <c r="G19" i="162"/>
  <c r="H19" i="162" s="1"/>
  <c r="E19" i="162"/>
  <c r="G18" i="162"/>
  <c r="H18" i="162" s="1"/>
  <c r="E18" i="162"/>
  <c r="E17" i="162"/>
  <c r="F16" i="162"/>
  <c r="E16" i="162"/>
  <c r="E15" i="162"/>
  <c r="F9" i="162"/>
  <c r="B6" i="162"/>
  <c r="F9" i="161"/>
  <c r="H45" i="161"/>
  <c r="D44" i="161"/>
  <c r="F44" i="161" s="1"/>
  <c r="D43" i="161"/>
  <c r="F43" i="161" s="1"/>
  <c r="G35" i="161"/>
  <c r="H35" i="161" s="1"/>
  <c r="H39" i="161" s="1"/>
  <c r="F35" i="161"/>
  <c r="E35" i="161"/>
  <c r="D35" i="161"/>
  <c r="G28" i="161"/>
  <c r="F28" i="161"/>
  <c r="H28" i="161" s="1"/>
  <c r="G27" i="161"/>
  <c r="F27" i="161"/>
  <c r="H27" i="161" s="1"/>
  <c r="H31" i="161" s="1"/>
  <c r="G21" i="161"/>
  <c r="H21" i="161" s="1"/>
  <c r="E21" i="161"/>
  <c r="G20" i="161"/>
  <c r="H20" i="161" s="1"/>
  <c r="E20" i="161"/>
  <c r="G19" i="161"/>
  <c r="H19" i="161" s="1"/>
  <c r="E19" i="161"/>
  <c r="G18" i="161"/>
  <c r="H18" i="161" s="1"/>
  <c r="E18" i="161"/>
  <c r="E17" i="161"/>
  <c r="F16" i="161"/>
  <c r="E16" i="161"/>
  <c r="E15" i="161"/>
  <c r="B6" i="161"/>
  <c r="H45" i="160"/>
  <c r="D44" i="160"/>
  <c r="F44" i="160" s="1"/>
  <c r="D43" i="160"/>
  <c r="F43" i="160" s="1"/>
  <c r="G35" i="160"/>
  <c r="F35" i="160"/>
  <c r="E35" i="160"/>
  <c r="D35" i="160"/>
  <c r="G28" i="160"/>
  <c r="F28" i="160"/>
  <c r="H28" i="160" s="1"/>
  <c r="G27" i="160"/>
  <c r="F27" i="160"/>
  <c r="H27" i="160" s="1"/>
  <c r="H31" i="160" s="1"/>
  <c r="G21" i="160"/>
  <c r="H21" i="160" s="1"/>
  <c r="E21" i="160"/>
  <c r="G20" i="160"/>
  <c r="H20" i="160" s="1"/>
  <c r="E20" i="160"/>
  <c r="G19" i="160"/>
  <c r="H19" i="160" s="1"/>
  <c r="E19" i="160"/>
  <c r="G18" i="160"/>
  <c r="H18" i="160" s="1"/>
  <c r="E18" i="160"/>
  <c r="E17" i="160"/>
  <c r="F16" i="160"/>
  <c r="E16" i="160"/>
  <c r="E15" i="160"/>
  <c r="F9" i="160"/>
  <c r="B6" i="160"/>
  <c r="H45" i="159"/>
  <c r="D44" i="159"/>
  <c r="F44" i="159" s="1"/>
  <c r="D43" i="159"/>
  <c r="F43" i="159" s="1"/>
  <c r="G35" i="159"/>
  <c r="F35" i="159"/>
  <c r="E35" i="159"/>
  <c r="D35" i="159"/>
  <c r="H35" i="159" s="1"/>
  <c r="H39" i="159" s="1"/>
  <c r="G28" i="159"/>
  <c r="F28" i="159"/>
  <c r="H28" i="159" s="1"/>
  <c r="G27" i="159"/>
  <c r="F27" i="159"/>
  <c r="H27" i="159" s="1"/>
  <c r="H31" i="159" s="1"/>
  <c r="G21" i="159"/>
  <c r="H21" i="159" s="1"/>
  <c r="E21" i="159"/>
  <c r="G20" i="159"/>
  <c r="H20" i="159" s="1"/>
  <c r="E20" i="159"/>
  <c r="G19" i="159"/>
  <c r="H19" i="159" s="1"/>
  <c r="E19" i="159"/>
  <c r="G18" i="159"/>
  <c r="H18" i="159" s="1"/>
  <c r="E18" i="159"/>
  <c r="E17" i="159"/>
  <c r="F16" i="159"/>
  <c r="E16" i="159"/>
  <c r="E15" i="159"/>
  <c r="F9" i="159"/>
  <c r="B6" i="159"/>
  <c r="H45" i="158"/>
  <c r="D44" i="158"/>
  <c r="F44" i="158" s="1"/>
  <c r="D43" i="158"/>
  <c r="F43" i="158" s="1"/>
  <c r="G35" i="158"/>
  <c r="F35" i="158"/>
  <c r="E35" i="158"/>
  <c r="D35" i="158"/>
  <c r="G28" i="158"/>
  <c r="F28" i="158"/>
  <c r="H28" i="158" s="1"/>
  <c r="H27" i="158"/>
  <c r="G27" i="158"/>
  <c r="F27" i="158"/>
  <c r="G21" i="158"/>
  <c r="H21" i="158" s="1"/>
  <c r="E21" i="158"/>
  <c r="G20" i="158"/>
  <c r="H20" i="158" s="1"/>
  <c r="E20" i="158"/>
  <c r="G19" i="158"/>
  <c r="H19" i="158" s="1"/>
  <c r="E19" i="158"/>
  <c r="G18" i="158"/>
  <c r="H18" i="158" s="1"/>
  <c r="E18" i="158"/>
  <c r="E17" i="158"/>
  <c r="F16" i="158"/>
  <c r="E16" i="158"/>
  <c r="E15" i="158"/>
  <c r="F9" i="158"/>
  <c r="B6" i="158"/>
  <c r="F9" i="144"/>
  <c r="F16" i="144"/>
  <c r="C90" i="46"/>
  <c r="F90" i="46" s="1"/>
  <c r="G15" i="163" s="1"/>
  <c r="H15" i="163" s="1"/>
  <c r="C88" i="46"/>
  <c r="F88" i="46" s="1"/>
  <c r="G15" i="161" s="1"/>
  <c r="H15" i="161" s="1"/>
  <c r="C89" i="46"/>
  <c r="F89" i="46" s="1"/>
  <c r="G15" i="162" s="1"/>
  <c r="H15" i="162" s="1"/>
  <c r="C87" i="46"/>
  <c r="F87" i="46" s="1"/>
  <c r="G15" i="160" s="1"/>
  <c r="H15" i="160" s="1"/>
  <c r="C86" i="46"/>
  <c r="F86" i="46" s="1"/>
  <c r="G15" i="159" s="1"/>
  <c r="H15" i="159" s="1"/>
  <c r="C85" i="46"/>
  <c r="F85" i="46" s="1"/>
  <c r="G15" i="158" s="1"/>
  <c r="H15" i="158" s="1"/>
  <c r="C84" i="46"/>
  <c r="I12" i="76"/>
  <c r="F4" i="46"/>
  <c r="H45" i="157"/>
  <c r="D44" i="157"/>
  <c r="F44" i="157" s="1"/>
  <c r="D43" i="157"/>
  <c r="F43" i="157" s="1"/>
  <c r="G35" i="157"/>
  <c r="E35" i="157"/>
  <c r="H35" i="157" s="1"/>
  <c r="H39" i="157" s="1"/>
  <c r="D35" i="157"/>
  <c r="G28" i="157"/>
  <c r="F28" i="157"/>
  <c r="E28" i="157"/>
  <c r="G27" i="157"/>
  <c r="F27" i="157"/>
  <c r="E27" i="157"/>
  <c r="E16" i="157"/>
  <c r="E15" i="157"/>
  <c r="F9" i="157"/>
  <c r="B6" i="157"/>
  <c r="F17" i="46"/>
  <c r="H35" i="160" l="1"/>
  <c r="H39" i="160" s="1"/>
  <c r="H35" i="158"/>
  <c r="H39" i="158" s="1"/>
  <c r="H35" i="162"/>
  <c r="H39" i="162" s="1"/>
  <c r="H35" i="163"/>
  <c r="H39" i="163" s="1"/>
  <c r="G17" i="172"/>
  <c r="H17" i="172" s="1"/>
  <c r="G17" i="175"/>
  <c r="H17" i="175" s="1"/>
  <c r="G17" i="173"/>
  <c r="H17" i="173" s="1"/>
  <c r="H28" i="157"/>
  <c r="H27" i="157"/>
  <c r="G15" i="157"/>
  <c r="H15" i="157" s="1"/>
  <c r="G15" i="169"/>
  <c r="H15" i="169" s="1"/>
  <c r="H31" i="158"/>
  <c r="H45" i="156"/>
  <c r="D44" i="156"/>
  <c r="F44" i="156" s="1"/>
  <c r="F43" i="156"/>
  <c r="D43" i="156"/>
  <c r="G35" i="156"/>
  <c r="E35" i="156"/>
  <c r="H35" i="156" s="1"/>
  <c r="H39" i="156" s="1"/>
  <c r="D35" i="156"/>
  <c r="H28" i="156"/>
  <c r="G28" i="156"/>
  <c r="F28" i="156"/>
  <c r="F27" i="156"/>
  <c r="H27" i="156" s="1"/>
  <c r="H31" i="156" s="1"/>
  <c r="G20" i="156"/>
  <c r="H20" i="156" s="1"/>
  <c r="E20" i="156"/>
  <c r="H19" i="156"/>
  <c r="G18" i="156"/>
  <c r="F18" i="156"/>
  <c r="E18" i="156"/>
  <c r="G17" i="156"/>
  <c r="H17" i="156" s="1"/>
  <c r="E17" i="156"/>
  <c r="E16" i="156"/>
  <c r="E15" i="156"/>
  <c r="F9" i="156"/>
  <c r="B6" i="156"/>
  <c r="F6" i="46"/>
  <c r="G15" i="156" s="1"/>
  <c r="H15" i="156" s="1"/>
  <c r="F16" i="155"/>
  <c r="F15" i="155"/>
  <c r="H45" i="155"/>
  <c r="D44" i="155"/>
  <c r="F44" i="155" s="1"/>
  <c r="D43" i="155"/>
  <c r="F43" i="155" s="1"/>
  <c r="G35" i="155"/>
  <c r="E35" i="155"/>
  <c r="D35" i="155"/>
  <c r="G28" i="155"/>
  <c r="F28" i="155"/>
  <c r="H28" i="155" s="1"/>
  <c r="H27" i="155"/>
  <c r="F27" i="155"/>
  <c r="G20" i="155"/>
  <c r="H20" i="155" s="1"/>
  <c r="E20" i="155"/>
  <c r="H19" i="155"/>
  <c r="G18" i="155"/>
  <c r="F18" i="155"/>
  <c r="E18" i="155"/>
  <c r="E17" i="155"/>
  <c r="E16" i="155"/>
  <c r="E15" i="155"/>
  <c r="F9" i="155"/>
  <c r="B6" i="155"/>
  <c r="F15" i="154"/>
  <c r="H45" i="154"/>
  <c r="D44" i="154"/>
  <c r="F44" i="154" s="1"/>
  <c r="D43" i="154"/>
  <c r="F43" i="154" s="1"/>
  <c r="G35" i="154"/>
  <c r="E35" i="154"/>
  <c r="D35" i="154"/>
  <c r="G28" i="154"/>
  <c r="F28" i="154"/>
  <c r="H28" i="154" s="1"/>
  <c r="H27" i="154"/>
  <c r="F27" i="154"/>
  <c r="G20" i="154"/>
  <c r="H20" i="154" s="1"/>
  <c r="E20" i="154"/>
  <c r="H19" i="154"/>
  <c r="G18" i="154"/>
  <c r="H18" i="154" s="1"/>
  <c r="F18" i="154"/>
  <c r="E18" i="154"/>
  <c r="E17" i="154"/>
  <c r="F16" i="154"/>
  <c r="E16" i="154"/>
  <c r="E15" i="154"/>
  <c r="F9" i="154"/>
  <c r="B6" i="154"/>
  <c r="F16" i="153"/>
  <c r="F15" i="153"/>
  <c r="H45" i="153"/>
  <c r="D44" i="153"/>
  <c r="F44" i="153" s="1"/>
  <c r="F43" i="153"/>
  <c r="D43" i="153"/>
  <c r="G35" i="153"/>
  <c r="E35" i="153"/>
  <c r="D35" i="153"/>
  <c r="H28" i="153"/>
  <c r="G28" i="153"/>
  <c r="F28" i="153"/>
  <c r="H27" i="153"/>
  <c r="H31" i="153" s="1"/>
  <c r="F27" i="153"/>
  <c r="G20" i="153"/>
  <c r="H20" i="153" s="1"/>
  <c r="E20" i="153"/>
  <c r="H19" i="153"/>
  <c r="G18" i="153"/>
  <c r="F18" i="153"/>
  <c r="E18" i="153"/>
  <c r="E17" i="153"/>
  <c r="E16" i="153"/>
  <c r="E15" i="153"/>
  <c r="F9" i="153"/>
  <c r="B6" i="153"/>
  <c r="F16" i="152"/>
  <c r="F15" i="152"/>
  <c r="H45" i="152"/>
  <c r="D44" i="152"/>
  <c r="F44" i="152" s="1"/>
  <c r="D43" i="152"/>
  <c r="F43" i="152" s="1"/>
  <c r="G35" i="152"/>
  <c r="E35" i="152"/>
  <c r="D35" i="152"/>
  <c r="G28" i="152"/>
  <c r="F28" i="152"/>
  <c r="H28" i="152" s="1"/>
  <c r="G27" i="152"/>
  <c r="F27" i="152"/>
  <c r="H27" i="152" s="1"/>
  <c r="H31" i="152" s="1"/>
  <c r="G20" i="152"/>
  <c r="H20" i="152" s="1"/>
  <c r="E20" i="152"/>
  <c r="H19" i="152"/>
  <c r="G18" i="152"/>
  <c r="F18" i="152"/>
  <c r="E18" i="152"/>
  <c r="E17" i="152"/>
  <c r="E16" i="152"/>
  <c r="E15" i="152"/>
  <c r="F9" i="152"/>
  <c r="B6" i="152"/>
  <c r="A60" i="73"/>
  <c r="C60" i="73" s="1"/>
  <c r="A61" i="73"/>
  <c r="C61" i="73" s="1"/>
  <c r="A62" i="73"/>
  <c r="A63" i="73"/>
  <c r="A58" i="73"/>
  <c r="C58" i="73" s="1"/>
  <c r="A59" i="73"/>
  <c r="C59" i="73" s="1"/>
  <c r="F15" i="151"/>
  <c r="F35" i="151" s="1"/>
  <c r="H45" i="151"/>
  <c r="D44" i="151"/>
  <c r="F44" i="151" s="1"/>
  <c r="D43" i="151"/>
  <c r="F43" i="151" s="1"/>
  <c r="G35" i="151"/>
  <c r="E35" i="151"/>
  <c r="D35" i="151"/>
  <c r="G28" i="151"/>
  <c r="F28" i="151"/>
  <c r="H28" i="151" s="1"/>
  <c r="G27" i="151"/>
  <c r="F27" i="151"/>
  <c r="G21" i="151"/>
  <c r="H21" i="151" s="1"/>
  <c r="E21" i="151"/>
  <c r="G20" i="151"/>
  <c r="H20" i="151" s="1"/>
  <c r="E20" i="151"/>
  <c r="G19" i="151"/>
  <c r="H19" i="151" s="1"/>
  <c r="E19" i="151"/>
  <c r="G18" i="151"/>
  <c r="H18" i="151" s="1"/>
  <c r="E18" i="151"/>
  <c r="G17" i="151"/>
  <c r="H17" i="151" s="1"/>
  <c r="E17" i="151"/>
  <c r="E16" i="151"/>
  <c r="E15" i="151"/>
  <c r="F9" i="151"/>
  <c r="D9" i="151"/>
  <c r="B6" i="151"/>
  <c r="H45" i="150"/>
  <c r="D44" i="150"/>
  <c r="F44" i="150" s="1"/>
  <c r="D43" i="150"/>
  <c r="F43" i="150" s="1"/>
  <c r="G36" i="150"/>
  <c r="E36" i="150"/>
  <c r="D36" i="150"/>
  <c r="G35" i="150"/>
  <c r="E35" i="150"/>
  <c r="H35" i="150" s="1"/>
  <c r="D35" i="150"/>
  <c r="G28" i="150"/>
  <c r="F28" i="150"/>
  <c r="G27" i="150"/>
  <c r="F27" i="150"/>
  <c r="G21" i="150"/>
  <c r="H21" i="150" s="1"/>
  <c r="E21" i="150"/>
  <c r="G20" i="150"/>
  <c r="H20" i="150" s="1"/>
  <c r="E20" i="150"/>
  <c r="G19" i="150"/>
  <c r="H19" i="150" s="1"/>
  <c r="E19" i="150"/>
  <c r="G18" i="150"/>
  <c r="H18" i="150" s="1"/>
  <c r="E18" i="150"/>
  <c r="E17" i="150"/>
  <c r="E16" i="150"/>
  <c r="E15" i="150"/>
  <c r="F9" i="150"/>
  <c r="B6" i="150"/>
  <c r="F66" i="46"/>
  <c r="G15" i="149" s="1"/>
  <c r="H45" i="149"/>
  <c r="D44" i="149"/>
  <c r="F44" i="149" s="1"/>
  <c r="D43" i="149"/>
  <c r="F43" i="149" s="1"/>
  <c r="G36" i="149"/>
  <c r="E36" i="149"/>
  <c r="D36" i="149"/>
  <c r="G35" i="149"/>
  <c r="E35" i="149"/>
  <c r="D35" i="149"/>
  <c r="G28" i="149"/>
  <c r="F28" i="149"/>
  <c r="G27" i="149"/>
  <c r="F27" i="149"/>
  <c r="G21" i="149"/>
  <c r="H21" i="149" s="1"/>
  <c r="E21" i="149"/>
  <c r="G20" i="149"/>
  <c r="H20" i="149" s="1"/>
  <c r="E20" i="149"/>
  <c r="G19" i="149"/>
  <c r="H19" i="149" s="1"/>
  <c r="E19" i="149"/>
  <c r="G18" i="149"/>
  <c r="H18" i="149" s="1"/>
  <c r="E18" i="149"/>
  <c r="E17" i="149"/>
  <c r="E16" i="149"/>
  <c r="E15" i="149"/>
  <c r="F9" i="149"/>
  <c r="B6" i="149"/>
  <c r="I16" i="76"/>
  <c r="I15" i="76"/>
  <c r="I14" i="76"/>
  <c r="E36" i="148"/>
  <c r="E35" i="148"/>
  <c r="G36" i="148"/>
  <c r="G35" i="148"/>
  <c r="F36" i="148"/>
  <c r="D36" i="148"/>
  <c r="F15" i="148"/>
  <c r="F96" i="46"/>
  <c r="F62" i="46"/>
  <c r="A45" i="73"/>
  <c r="C45" i="73" s="1"/>
  <c r="A46" i="73"/>
  <c r="C46" i="73" s="1"/>
  <c r="H45" i="73"/>
  <c r="H46" i="73"/>
  <c r="F35" i="95"/>
  <c r="F35" i="96"/>
  <c r="F35" i="94"/>
  <c r="H36" i="150" l="1"/>
  <c r="H35" i="155"/>
  <c r="H39" i="155" s="1"/>
  <c r="H35" i="149"/>
  <c r="H35" i="154"/>
  <c r="H39" i="154" s="1"/>
  <c r="H31" i="157"/>
  <c r="H28" i="150"/>
  <c r="H27" i="151"/>
  <c r="H31" i="151" s="1"/>
  <c r="H27" i="149"/>
  <c r="H27" i="150"/>
  <c r="H31" i="150" s="1"/>
  <c r="H28" i="149"/>
  <c r="B60" i="73"/>
  <c r="B58" i="73"/>
  <c r="B59" i="73"/>
  <c r="H39" i="150"/>
  <c r="H35" i="153"/>
  <c r="H39" i="153" s="1"/>
  <c r="H35" i="152"/>
  <c r="H39" i="152" s="1"/>
  <c r="H18" i="156"/>
  <c r="H18" i="155"/>
  <c r="H31" i="155"/>
  <c r="H31" i="154"/>
  <c r="B61" i="73"/>
  <c r="H18" i="153"/>
  <c r="H18" i="152"/>
  <c r="B45" i="73"/>
  <c r="B46" i="73"/>
  <c r="H35" i="151"/>
  <c r="H39" i="151" s="1"/>
  <c r="H36" i="149"/>
  <c r="H39" i="149" s="1"/>
  <c r="H15" i="149"/>
  <c r="H36" i="148"/>
  <c r="I9" i="76"/>
  <c r="G27" i="122"/>
  <c r="F27" i="122"/>
  <c r="F15" i="122"/>
  <c r="F35" i="122" s="1"/>
  <c r="G27" i="121"/>
  <c r="F27" i="121"/>
  <c r="I13" i="76"/>
  <c r="F15" i="121"/>
  <c r="F35" i="121" s="1"/>
  <c r="C92" i="46"/>
  <c r="H31" i="149" l="1"/>
  <c r="F30" i="46"/>
  <c r="F11" i="46"/>
  <c r="F10" i="46"/>
  <c r="F9" i="46"/>
  <c r="F8" i="46"/>
  <c r="F7" i="46"/>
  <c r="F5" i="46"/>
  <c r="F3" i="46"/>
  <c r="C2" i="46"/>
  <c r="F2" i="46" s="1"/>
  <c r="G18" i="173" l="1"/>
  <c r="H18" i="173" s="1"/>
  <c r="G18" i="175"/>
  <c r="H18" i="175" s="1"/>
  <c r="G17" i="152"/>
  <c r="H17" i="152" s="1"/>
  <c r="G19" i="175"/>
  <c r="H19" i="175" s="1"/>
  <c r="G15" i="174"/>
  <c r="H15" i="174" s="1"/>
  <c r="G16" i="169"/>
  <c r="H16" i="169" s="1"/>
  <c r="G19" i="172"/>
  <c r="H19" i="172" s="1"/>
  <c r="G18" i="172"/>
  <c r="H18" i="172" s="1"/>
  <c r="G17" i="150"/>
  <c r="H17" i="150" s="1"/>
  <c r="G16" i="157"/>
  <c r="H16" i="157" s="1"/>
  <c r="H45" i="148"/>
  <c r="D44" i="148"/>
  <c r="F44" i="148" s="1"/>
  <c r="D43" i="148"/>
  <c r="F43" i="148" s="1"/>
  <c r="F35" i="148"/>
  <c r="D35" i="148"/>
  <c r="G28" i="148"/>
  <c r="F28" i="148"/>
  <c r="G27" i="148"/>
  <c r="F27" i="148"/>
  <c r="G21" i="148"/>
  <c r="H21" i="148" s="1"/>
  <c r="E21" i="148"/>
  <c r="G20" i="148"/>
  <c r="H20" i="148" s="1"/>
  <c r="E20" i="148"/>
  <c r="G19" i="148"/>
  <c r="H19" i="148" s="1"/>
  <c r="E19" i="148"/>
  <c r="G18" i="148"/>
  <c r="H18" i="148" s="1"/>
  <c r="E18" i="148"/>
  <c r="E17" i="148"/>
  <c r="G16" i="148"/>
  <c r="H16" i="148" s="1"/>
  <c r="E16" i="148"/>
  <c r="E15" i="148"/>
  <c r="F9" i="148"/>
  <c r="B6" i="148"/>
  <c r="H27" i="148" l="1"/>
  <c r="H28" i="148"/>
  <c r="H35" i="148"/>
  <c r="H39" i="148" s="1"/>
  <c r="A18" i="73"/>
  <c r="A25" i="73"/>
  <c r="A26" i="73"/>
  <c r="A27" i="73"/>
  <c r="A28" i="73"/>
  <c r="A29" i="73"/>
  <c r="A30" i="73"/>
  <c r="A31" i="73"/>
  <c r="A32" i="73"/>
  <c r="A33" i="73"/>
  <c r="A34" i="73"/>
  <c r="A35" i="73"/>
  <c r="A36" i="73"/>
  <c r="A37" i="73"/>
  <c r="A38" i="73"/>
  <c r="A39" i="73"/>
  <c r="A40" i="73"/>
  <c r="A41" i="73"/>
  <c r="A42" i="73"/>
  <c r="A43" i="73"/>
  <c r="A44" i="73"/>
  <c r="A47" i="73"/>
  <c r="A48" i="73"/>
  <c r="A49" i="73"/>
  <c r="A50" i="73"/>
  <c r="A51" i="73"/>
  <c r="A52" i="73"/>
  <c r="A53" i="73"/>
  <c r="A54" i="73"/>
  <c r="A55" i="73"/>
  <c r="A56" i="73"/>
  <c r="A57" i="73"/>
  <c r="A64" i="73"/>
  <c r="A65" i="73"/>
  <c r="A66" i="73"/>
  <c r="A67" i="73"/>
  <c r="A68" i="73"/>
  <c r="A69" i="73"/>
  <c r="A70" i="73"/>
  <c r="A71" i="73"/>
  <c r="A72" i="73"/>
  <c r="A73" i="73"/>
  <c r="A78" i="73"/>
  <c r="A79" i="73"/>
  <c r="A80" i="73"/>
  <c r="A81" i="73"/>
  <c r="A82" i="73"/>
  <c r="A83" i="73"/>
  <c r="A84" i="73"/>
  <c r="A85" i="73"/>
  <c r="A86" i="73"/>
  <c r="A87" i="73"/>
  <c r="A88" i="73"/>
  <c r="A89" i="73"/>
  <c r="A90" i="73"/>
  <c r="A91" i="73"/>
  <c r="A92" i="73"/>
  <c r="A93" i="73"/>
  <c r="A96" i="73"/>
  <c r="A97" i="73"/>
  <c r="A98" i="73"/>
  <c r="A99" i="73"/>
  <c r="A100" i="73"/>
  <c r="A101" i="73"/>
  <c r="A102" i="73"/>
  <c r="A103" i="73"/>
  <c r="A104" i="73"/>
  <c r="A105" i="73"/>
  <c r="A106" i="73"/>
  <c r="A107" i="73"/>
  <c r="A108" i="73"/>
  <c r="A109" i="73"/>
  <c r="A110" i="73"/>
  <c r="A111" i="73"/>
  <c r="A112" i="73"/>
  <c r="A113" i="73"/>
  <c r="A114" i="73"/>
  <c r="A115" i="73"/>
  <c r="A116" i="73"/>
  <c r="A117" i="73"/>
  <c r="A118" i="73"/>
  <c r="A119" i="73"/>
  <c r="A120" i="73"/>
  <c r="A121" i="73"/>
  <c r="B121" i="73" s="1"/>
  <c r="A122" i="73"/>
  <c r="B122" i="73" s="1"/>
  <c r="A123" i="73"/>
  <c r="C123" i="73" s="1"/>
  <c r="A124" i="73"/>
  <c r="B124" i="73" s="1"/>
  <c r="A125" i="73"/>
  <c r="A126" i="73"/>
  <c r="A127" i="73"/>
  <c r="A128" i="73"/>
  <c r="A129" i="73"/>
  <c r="A17" i="73"/>
  <c r="B17" i="73" s="1"/>
  <c r="H45" i="147"/>
  <c r="D44" i="147"/>
  <c r="F44" i="147" s="1"/>
  <c r="D43" i="147"/>
  <c r="F43" i="147" s="1"/>
  <c r="G35" i="147"/>
  <c r="E35" i="147"/>
  <c r="D35" i="147"/>
  <c r="G28" i="147"/>
  <c r="F28" i="147"/>
  <c r="E28" i="147"/>
  <c r="G27" i="147"/>
  <c r="F27" i="147"/>
  <c r="E27" i="147"/>
  <c r="G16" i="147"/>
  <c r="H16" i="147" s="1"/>
  <c r="E16" i="147"/>
  <c r="G15" i="147"/>
  <c r="H15" i="147" s="1"/>
  <c r="E15" i="147"/>
  <c r="F9" i="147"/>
  <c r="B6" i="147"/>
  <c r="F126" i="46"/>
  <c r="G15" i="148" s="1"/>
  <c r="H15" i="148" s="1"/>
  <c r="H45" i="146"/>
  <c r="D44" i="146"/>
  <c r="F44" i="146" s="1"/>
  <c r="D43" i="146"/>
  <c r="F43" i="146" s="1"/>
  <c r="G35" i="146"/>
  <c r="F35" i="146"/>
  <c r="E35" i="146"/>
  <c r="D35" i="146"/>
  <c r="G28" i="146"/>
  <c r="F28" i="146"/>
  <c r="G27" i="146"/>
  <c r="F27" i="146"/>
  <c r="G21" i="146"/>
  <c r="H21" i="146" s="1"/>
  <c r="E21" i="146"/>
  <c r="G20" i="146"/>
  <c r="H20" i="146" s="1"/>
  <c r="E20" i="146"/>
  <c r="G19" i="146"/>
  <c r="H19" i="146" s="1"/>
  <c r="E19" i="146"/>
  <c r="G18" i="146"/>
  <c r="H18" i="146" s="1"/>
  <c r="E18" i="146"/>
  <c r="G17" i="146"/>
  <c r="H17" i="146" s="1"/>
  <c r="E17" i="146"/>
  <c r="E16" i="146"/>
  <c r="E15" i="146"/>
  <c r="F9" i="146"/>
  <c r="B6" i="146"/>
  <c r="H45" i="145"/>
  <c r="D44" i="145"/>
  <c r="F44" i="145" s="1"/>
  <c r="D43" i="145"/>
  <c r="F43" i="145" s="1"/>
  <c r="G35" i="145"/>
  <c r="F35" i="145"/>
  <c r="E35" i="145"/>
  <c r="D35" i="145"/>
  <c r="G28" i="145"/>
  <c r="F28" i="145"/>
  <c r="G27" i="145"/>
  <c r="F27" i="145"/>
  <c r="G21" i="145"/>
  <c r="H21" i="145" s="1"/>
  <c r="E21" i="145"/>
  <c r="G20" i="145"/>
  <c r="H20" i="145" s="1"/>
  <c r="E20" i="145"/>
  <c r="G19" i="145"/>
  <c r="H19" i="145" s="1"/>
  <c r="E19" i="145"/>
  <c r="G18" i="145"/>
  <c r="H18" i="145" s="1"/>
  <c r="E18" i="145"/>
  <c r="G17" i="145"/>
  <c r="H17" i="145" s="1"/>
  <c r="E17" i="145"/>
  <c r="E16" i="145"/>
  <c r="E15" i="145"/>
  <c r="F9" i="145"/>
  <c r="B6" i="145"/>
  <c r="F84" i="46"/>
  <c r="H45" i="144"/>
  <c r="D44" i="144"/>
  <c r="F44" i="144" s="1"/>
  <c r="D43" i="144"/>
  <c r="F43" i="144" s="1"/>
  <c r="G35" i="144"/>
  <c r="F35" i="144"/>
  <c r="E35" i="144"/>
  <c r="D35" i="144"/>
  <c r="G28" i="144"/>
  <c r="F28" i="144"/>
  <c r="H28" i="144" s="1"/>
  <c r="G27" i="144"/>
  <c r="F27" i="144"/>
  <c r="H27" i="144" s="1"/>
  <c r="H31" i="144" s="1"/>
  <c r="G21" i="144"/>
  <c r="H21" i="144" s="1"/>
  <c r="E21" i="144"/>
  <c r="G20" i="144"/>
  <c r="H20" i="144" s="1"/>
  <c r="E20" i="144"/>
  <c r="G19" i="144"/>
  <c r="H19" i="144" s="1"/>
  <c r="E19" i="144"/>
  <c r="G18" i="144"/>
  <c r="H18" i="144" s="1"/>
  <c r="E18" i="144"/>
  <c r="E17" i="144"/>
  <c r="E16" i="144"/>
  <c r="E15" i="144"/>
  <c r="B6" i="144"/>
  <c r="H31" i="148" l="1"/>
  <c r="H28" i="145"/>
  <c r="H27" i="146"/>
  <c r="H28" i="147"/>
  <c r="H28" i="146"/>
  <c r="H27" i="147"/>
  <c r="C126" i="73"/>
  <c r="B126" i="73"/>
  <c r="B125" i="73"/>
  <c r="C125" i="73"/>
  <c r="B57" i="73"/>
  <c r="C57" i="73"/>
  <c r="C127" i="73"/>
  <c r="B127" i="73"/>
  <c r="C18" i="73"/>
  <c r="B18" i="73"/>
  <c r="C47" i="73"/>
  <c r="B47" i="73"/>
  <c r="B44" i="73"/>
  <c r="C44" i="73"/>
  <c r="C43" i="73"/>
  <c r="B43" i="73"/>
  <c r="C17" i="73"/>
  <c r="H35" i="145"/>
  <c r="H39" i="145" s="1"/>
  <c r="H35" i="147"/>
  <c r="H39" i="147" s="1"/>
  <c r="B123" i="73"/>
  <c r="C122" i="73"/>
  <c r="C121" i="73"/>
  <c r="C124" i="73"/>
  <c r="H35" i="146"/>
  <c r="H39" i="146" s="1"/>
  <c r="H27" i="145"/>
  <c r="H31" i="145" s="1"/>
  <c r="H35" i="144"/>
  <c r="H39" i="144" s="1"/>
  <c r="F92" i="46"/>
  <c r="G15" i="144" s="1"/>
  <c r="H15" i="144" s="1"/>
  <c r="H45" i="143"/>
  <c r="D44" i="143"/>
  <c r="F44" i="143" s="1"/>
  <c r="D43" i="143"/>
  <c r="F43" i="143" s="1"/>
  <c r="G35" i="143"/>
  <c r="F35" i="143"/>
  <c r="E35" i="143"/>
  <c r="D35" i="143"/>
  <c r="G28" i="143"/>
  <c r="F28" i="143"/>
  <c r="H28" i="143" s="1"/>
  <c r="G27" i="143"/>
  <c r="H27" i="143" s="1"/>
  <c r="H31" i="143" s="1"/>
  <c r="F27" i="143"/>
  <c r="G21" i="143"/>
  <c r="H21" i="143" s="1"/>
  <c r="E21" i="143"/>
  <c r="G20" i="143"/>
  <c r="H20" i="143" s="1"/>
  <c r="E20" i="143"/>
  <c r="G19" i="143"/>
  <c r="H19" i="143" s="1"/>
  <c r="E19" i="143"/>
  <c r="G18" i="143"/>
  <c r="H18" i="143" s="1"/>
  <c r="E18" i="143"/>
  <c r="G17" i="143"/>
  <c r="H17" i="143" s="1"/>
  <c r="E17" i="143"/>
  <c r="E16" i="143"/>
  <c r="E15" i="143"/>
  <c r="F9" i="143"/>
  <c r="B6" i="143"/>
  <c r="F79" i="46"/>
  <c r="F15" i="142"/>
  <c r="D9" i="142"/>
  <c r="F9" i="142"/>
  <c r="H45" i="142"/>
  <c r="D44" i="142"/>
  <c r="F44" i="142" s="1"/>
  <c r="D43" i="142"/>
  <c r="F43" i="142" s="1"/>
  <c r="G35" i="142"/>
  <c r="E35" i="142"/>
  <c r="D35" i="142"/>
  <c r="G28" i="142"/>
  <c r="F28" i="142"/>
  <c r="H28" i="142" s="1"/>
  <c r="G27" i="142"/>
  <c r="F27" i="142"/>
  <c r="H27" i="142" s="1"/>
  <c r="H31" i="142" s="1"/>
  <c r="G20" i="142"/>
  <c r="H20" i="142" s="1"/>
  <c r="E20" i="142"/>
  <c r="H19" i="142"/>
  <c r="G18" i="142"/>
  <c r="H18" i="142" s="1"/>
  <c r="F18" i="142"/>
  <c r="E18" i="142"/>
  <c r="E17" i="142"/>
  <c r="E16" i="142"/>
  <c r="E15" i="142"/>
  <c r="B6" i="142"/>
  <c r="H45" i="141"/>
  <c r="D44" i="141"/>
  <c r="F44" i="141" s="1"/>
  <c r="F43" i="141"/>
  <c r="D43" i="141"/>
  <c r="G35" i="141"/>
  <c r="E35" i="141"/>
  <c r="D35" i="141"/>
  <c r="G28" i="141"/>
  <c r="F28" i="141"/>
  <c r="H28" i="141" s="1"/>
  <c r="H27" i="141"/>
  <c r="H31" i="141" s="1"/>
  <c r="G27" i="141"/>
  <c r="F27" i="141"/>
  <c r="G20" i="141"/>
  <c r="H20" i="141" s="1"/>
  <c r="E20" i="141"/>
  <c r="H19" i="141"/>
  <c r="G18" i="141"/>
  <c r="H18" i="141" s="1"/>
  <c r="F18" i="141"/>
  <c r="E18" i="141"/>
  <c r="G17" i="141"/>
  <c r="H17" i="141" s="1"/>
  <c r="E17" i="141"/>
  <c r="E16" i="141"/>
  <c r="H15" i="141"/>
  <c r="E15" i="141"/>
  <c r="F9" i="141"/>
  <c r="B6" i="141"/>
  <c r="F58" i="46"/>
  <c r="F35" i="140"/>
  <c r="E17" i="140"/>
  <c r="E16" i="140"/>
  <c r="E15" i="140"/>
  <c r="G17" i="142"/>
  <c r="H17" i="142" s="1"/>
  <c r="F80" i="46"/>
  <c r="F95" i="46"/>
  <c r="H45" i="140"/>
  <c r="D44" i="140"/>
  <c r="F44" i="140" s="1"/>
  <c r="D43" i="140"/>
  <c r="F43" i="140" s="1"/>
  <c r="G35" i="140"/>
  <c r="E35" i="140"/>
  <c r="D35" i="140"/>
  <c r="G28" i="140"/>
  <c r="F28" i="140"/>
  <c r="H28" i="140" s="1"/>
  <c r="G27" i="140"/>
  <c r="F27" i="140"/>
  <c r="H27" i="140" s="1"/>
  <c r="H31" i="140" s="1"/>
  <c r="G20" i="140"/>
  <c r="H20" i="140" s="1"/>
  <c r="E20" i="140"/>
  <c r="H19" i="140"/>
  <c r="G18" i="140"/>
  <c r="H18" i="140" s="1"/>
  <c r="F18" i="140"/>
  <c r="E18" i="140"/>
  <c r="F9" i="140"/>
  <c r="B6" i="140"/>
  <c r="G17" i="174" l="1"/>
  <c r="H17" i="174" s="1"/>
  <c r="G16" i="176"/>
  <c r="H16" i="176" s="1"/>
  <c r="H31" i="146"/>
  <c r="H31" i="147"/>
  <c r="J41" i="2"/>
  <c r="G16" i="142"/>
  <c r="H16" i="142" s="1"/>
  <c r="G16" i="141"/>
  <c r="H16" i="141" s="1"/>
  <c r="H35" i="143"/>
  <c r="H39" i="143" s="1"/>
  <c r="H35" i="141"/>
  <c r="H39" i="141" s="1"/>
  <c r="H35" i="142"/>
  <c r="H39" i="142" s="1"/>
  <c r="G17" i="140"/>
  <c r="H17" i="140" s="1"/>
  <c r="H35" i="140"/>
  <c r="H39" i="140" s="1"/>
  <c r="C6" i="1" l="1"/>
  <c r="C7" i="1" s="1"/>
  <c r="C8" i="1" s="1"/>
  <c r="C9" i="1" s="1"/>
  <c r="C10" i="1" s="1"/>
  <c r="E6" i="1"/>
  <c r="D6" i="1"/>
  <c r="D5" i="2" l="1"/>
  <c r="K18" i="139"/>
  <c r="L16" i="139"/>
  <c r="F64" i="46"/>
  <c r="H45" i="139"/>
  <c r="D44" i="139"/>
  <c r="F44" i="139" s="1"/>
  <c r="D43" i="139"/>
  <c r="F43" i="139" s="1"/>
  <c r="G35" i="139"/>
  <c r="E35" i="139"/>
  <c r="D35" i="139"/>
  <c r="G28" i="139"/>
  <c r="F28" i="139"/>
  <c r="H28" i="139" s="1"/>
  <c r="G27" i="139"/>
  <c r="F27" i="139"/>
  <c r="G20" i="139"/>
  <c r="H20" i="139" s="1"/>
  <c r="E20" i="139"/>
  <c r="G19" i="139"/>
  <c r="H19" i="139" s="1"/>
  <c r="E19" i="139"/>
  <c r="G18" i="139"/>
  <c r="H18" i="139" s="1"/>
  <c r="E18" i="139"/>
  <c r="E17" i="139"/>
  <c r="E16" i="139"/>
  <c r="E15" i="139"/>
  <c r="F9" i="139"/>
  <c r="B6" i="139"/>
  <c r="H27" i="139" l="1"/>
  <c r="H31" i="139" s="1"/>
  <c r="D6" i="2"/>
  <c r="B6" i="2"/>
  <c r="H35" i="139"/>
  <c r="H39" i="139" s="1"/>
  <c r="F38" i="46"/>
  <c r="H45" i="138"/>
  <c r="D44" i="138"/>
  <c r="F44" i="138" s="1"/>
  <c r="D43" i="138"/>
  <c r="F43" i="138" s="1"/>
  <c r="G35" i="138"/>
  <c r="F35" i="138"/>
  <c r="E35" i="138"/>
  <c r="D35" i="138"/>
  <c r="H28" i="138"/>
  <c r="G28" i="138"/>
  <c r="F28" i="138"/>
  <c r="G27" i="138"/>
  <c r="F27" i="138"/>
  <c r="H27" i="138" s="1"/>
  <c r="H31" i="138" s="1"/>
  <c r="G21" i="138"/>
  <c r="H21" i="138" s="1"/>
  <c r="E21" i="138"/>
  <c r="G20" i="138"/>
  <c r="H20" i="138" s="1"/>
  <c r="E20" i="138"/>
  <c r="G19" i="138"/>
  <c r="H19" i="138" s="1"/>
  <c r="E19" i="138"/>
  <c r="G18" i="138"/>
  <c r="H18" i="138" s="1"/>
  <c r="E18" i="138"/>
  <c r="G17" i="138"/>
  <c r="H17" i="138" s="1"/>
  <c r="E17" i="138"/>
  <c r="E16" i="138"/>
  <c r="E15" i="138"/>
  <c r="F9" i="138"/>
  <c r="B6" i="138"/>
  <c r="F116" i="46"/>
  <c r="C119" i="73"/>
  <c r="C118" i="73"/>
  <c r="C117" i="73"/>
  <c r="C115" i="73"/>
  <c r="C114" i="73"/>
  <c r="C113" i="73"/>
  <c r="B112" i="73"/>
  <c r="B111" i="73"/>
  <c r="B110" i="73"/>
  <c r="C109" i="73"/>
  <c r="E17" i="137"/>
  <c r="H45" i="137"/>
  <c r="D44" i="137"/>
  <c r="F44" i="137" s="1"/>
  <c r="F43" i="137"/>
  <c r="D43" i="137"/>
  <c r="G35" i="137"/>
  <c r="F35" i="137"/>
  <c r="E35" i="137"/>
  <c r="D35" i="137"/>
  <c r="G28" i="137"/>
  <c r="F28" i="137"/>
  <c r="H28" i="137" s="1"/>
  <c r="H31" i="137" s="1"/>
  <c r="H27" i="137"/>
  <c r="G27" i="137"/>
  <c r="F27" i="137"/>
  <c r="G21" i="137"/>
  <c r="H21" i="137" s="1"/>
  <c r="E21" i="137"/>
  <c r="G20" i="137"/>
  <c r="H20" i="137" s="1"/>
  <c r="E20" i="137"/>
  <c r="G19" i="137"/>
  <c r="H19" i="137" s="1"/>
  <c r="E19" i="137"/>
  <c r="G18" i="137"/>
  <c r="H18" i="137" s="1"/>
  <c r="E18" i="137"/>
  <c r="G17" i="137"/>
  <c r="H17" i="137" s="1"/>
  <c r="E16" i="137"/>
  <c r="E15" i="137"/>
  <c r="F9" i="137"/>
  <c r="B6" i="137"/>
  <c r="F68" i="46"/>
  <c r="G15" i="137" s="1"/>
  <c r="H15" i="137" s="1"/>
  <c r="H45" i="136"/>
  <c r="D44" i="136"/>
  <c r="F44" i="136" s="1"/>
  <c r="D43" i="136"/>
  <c r="F43" i="136" s="1"/>
  <c r="G35" i="136"/>
  <c r="F35" i="136"/>
  <c r="E35" i="136"/>
  <c r="D35" i="136"/>
  <c r="G28" i="136"/>
  <c r="F28" i="136"/>
  <c r="G27" i="136"/>
  <c r="F27" i="136"/>
  <c r="G21" i="136"/>
  <c r="H21" i="136" s="1"/>
  <c r="E21" i="136"/>
  <c r="G20" i="136"/>
  <c r="H20" i="136" s="1"/>
  <c r="E20" i="136"/>
  <c r="G19" i="136"/>
  <c r="H19" i="136" s="1"/>
  <c r="E19" i="136"/>
  <c r="G18" i="136"/>
  <c r="H18" i="136" s="1"/>
  <c r="E18" i="136"/>
  <c r="G17" i="136"/>
  <c r="H17" i="136" s="1"/>
  <c r="E17" i="136"/>
  <c r="E16" i="136"/>
  <c r="E15" i="136"/>
  <c r="F9" i="136"/>
  <c r="B6" i="136"/>
  <c r="G28" i="135"/>
  <c r="F28" i="135"/>
  <c r="F35" i="135"/>
  <c r="F51" i="46"/>
  <c r="G16" i="136" s="1"/>
  <c r="H16" i="136" s="1"/>
  <c r="F97" i="46"/>
  <c r="H45" i="135"/>
  <c r="D44" i="135"/>
  <c r="F44" i="135" s="1"/>
  <c r="F43" i="135"/>
  <c r="D43" i="135"/>
  <c r="G35" i="135"/>
  <c r="E35" i="135"/>
  <c r="D35" i="135"/>
  <c r="G27" i="135"/>
  <c r="F27" i="135"/>
  <c r="G21" i="135"/>
  <c r="H21" i="135" s="1"/>
  <c r="E21" i="135"/>
  <c r="G20" i="135"/>
  <c r="H20" i="135" s="1"/>
  <c r="E20" i="135"/>
  <c r="G19" i="135"/>
  <c r="H19" i="135" s="1"/>
  <c r="E19" i="135"/>
  <c r="G18" i="135"/>
  <c r="H18" i="135" s="1"/>
  <c r="E18" i="135"/>
  <c r="E17" i="135"/>
  <c r="E16" i="135"/>
  <c r="E15" i="135"/>
  <c r="F9" i="135"/>
  <c r="B6" i="135"/>
  <c r="C73" i="73"/>
  <c r="C39" i="73"/>
  <c r="C40" i="73"/>
  <c r="H39" i="73"/>
  <c r="H40" i="73"/>
  <c r="H41" i="73"/>
  <c r="H42" i="73"/>
  <c r="H43" i="73"/>
  <c r="H44" i="73"/>
  <c r="H47" i="73"/>
  <c r="D14" i="1"/>
  <c r="F113" i="46"/>
  <c r="G17" i="134" s="1"/>
  <c r="H17" i="134" s="1"/>
  <c r="F35" i="134"/>
  <c r="H45" i="134"/>
  <c r="D44" i="134"/>
  <c r="F44" i="134" s="1"/>
  <c r="F43" i="134"/>
  <c r="D43" i="134"/>
  <c r="G35" i="134"/>
  <c r="E35" i="134"/>
  <c r="D35" i="134"/>
  <c r="G28" i="134"/>
  <c r="F28" i="134"/>
  <c r="H28" i="134" s="1"/>
  <c r="G27" i="134"/>
  <c r="F27" i="134"/>
  <c r="G21" i="134"/>
  <c r="H21" i="134" s="1"/>
  <c r="E21" i="134"/>
  <c r="G20" i="134"/>
  <c r="H20" i="134" s="1"/>
  <c r="E20" i="134"/>
  <c r="G19" i="134"/>
  <c r="H19" i="134" s="1"/>
  <c r="E19" i="134"/>
  <c r="G18" i="134"/>
  <c r="H18" i="134" s="1"/>
  <c r="E18" i="134"/>
  <c r="E17" i="134"/>
  <c r="E16" i="134"/>
  <c r="E15" i="134"/>
  <c r="F9" i="134"/>
  <c r="B6" i="134"/>
  <c r="H45" i="133"/>
  <c r="D44" i="133"/>
  <c r="F44" i="133" s="1"/>
  <c r="D43" i="133"/>
  <c r="F43" i="133" s="1"/>
  <c r="G35" i="133"/>
  <c r="E35" i="133"/>
  <c r="D35" i="133"/>
  <c r="G28" i="133"/>
  <c r="F28" i="133"/>
  <c r="H28" i="133" s="1"/>
  <c r="G27" i="133"/>
  <c r="F27" i="133"/>
  <c r="G21" i="133"/>
  <c r="H21" i="133" s="1"/>
  <c r="E21" i="133"/>
  <c r="G20" i="133"/>
  <c r="H20" i="133" s="1"/>
  <c r="E20" i="133"/>
  <c r="G19" i="133"/>
  <c r="H19" i="133" s="1"/>
  <c r="E19" i="133"/>
  <c r="G18" i="133"/>
  <c r="H18" i="133" s="1"/>
  <c r="E18" i="133"/>
  <c r="G17" i="133"/>
  <c r="H17" i="133" s="1"/>
  <c r="E17" i="133"/>
  <c r="G16" i="133"/>
  <c r="H16" i="133" s="1"/>
  <c r="E16" i="133"/>
  <c r="E15" i="133"/>
  <c r="F9" i="133"/>
  <c r="B6" i="133"/>
  <c r="F94" i="46"/>
  <c r="G15" i="133" s="1"/>
  <c r="F9" i="132"/>
  <c r="F15" i="132"/>
  <c r="F35" i="132" s="1"/>
  <c r="G27" i="132"/>
  <c r="F27" i="132"/>
  <c r="H45" i="132"/>
  <c r="D44" i="132"/>
  <c r="F44" i="132" s="1"/>
  <c r="F43" i="132"/>
  <c r="D43" i="132"/>
  <c r="G35" i="132"/>
  <c r="E35" i="132"/>
  <c r="D35" i="132"/>
  <c r="H28" i="132"/>
  <c r="G28" i="132"/>
  <c r="F28" i="132"/>
  <c r="G21" i="132"/>
  <c r="H21" i="132" s="1"/>
  <c r="E21" i="132"/>
  <c r="G20" i="132"/>
  <c r="H20" i="132" s="1"/>
  <c r="E20" i="132"/>
  <c r="G19" i="132"/>
  <c r="H19" i="132" s="1"/>
  <c r="E19" i="132"/>
  <c r="G18" i="132"/>
  <c r="H18" i="132" s="1"/>
  <c r="E18" i="132"/>
  <c r="G17" i="132"/>
  <c r="H17" i="132" s="1"/>
  <c r="E17" i="132"/>
  <c r="E16" i="132"/>
  <c r="E15" i="132"/>
  <c r="B6" i="132"/>
  <c r="H45" i="131"/>
  <c r="D44" i="131"/>
  <c r="F44" i="131" s="1"/>
  <c r="F43" i="131"/>
  <c r="D43" i="131"/>
  <c r="G35" i="131"/>
  <c r="E35" i="131"/>
  <c r="D35" i="131"/>
  <c r="G28" i="131"/>
  <c r="F28" i="131"/>
  <c r="E28" i="131"/>
  <c r="G27" i="131"/>
  <c r="F27" i="131"/>
  <c r="E27" i="131"/>
  <c r="G16" i="131"/>
  <c r="H16" i="131" s="1"/>
  <c r="E16" i="131"/>
  <c r="G15" i="131"/>
  <c r="H15" i="131" s="1"/>
  <c r="E15" i="131"/>
  <c r="F9" i="131"/>
  <c r="B6" i="131"/>
  <c r="A16" i="73"/>
  <c r="C16" i="73" s="1"/>
  <c r="H27" i="136" l="1"/>
  <c r="H28" i="136"/>
  <c r="G16" i="166"/>
  <c r="H16" i="166" s="1"/>
  <c r="G16" i="165"/>
  <c r="H16" i="165" s="1"/>
  <c r="G15" i="136"/>
  <c r="H15" i="136" s="1"/>
  <c r="G17" i="166"/>
  <c r="H17" i="166" s="1"/>
  <c r="G17" i="160"/>
  <c r="H17" i="160" s="1"/>
  <c r="G17" i="162"/>
  <c r="H17" i="162" s="1"/>
  <c r="G17" i="161"/>
  <c r="H17" i="161" s="1"/>
  <c r="G17" i="159"/>
  <c r="H17" i="159" s="1"/>
  <c r="G17" i="158"/>
  <c r="H17" i="158" s="1"/>
  <c r="G17" i="163"/>
  <c r="H17" i="163" s="1"/>
  <c r="H35" i="138"/>
  <c r="H39" i="138" s="1"/>
  <c r="H31" i="136"/>
  <c r="B55" i="73"/>
  <c r="C55" i="73"/>
  <c r="C110" i="73"/>
  <c r="B73" i="73"/>
  <c r="B42" i="73"/>
  <c r="C42" i="73"/>
  <c r="B104" i="73"/>
  <c r="C104" i="73"/>
  <c r="B39" i="73"/>
  <c r="C41" i="73"/>
  <c r="B41" i="73"/>
  <c r="B92" i="73"/>
  <c r="C92" i="73"/>
  <c r="B40" i="73"/>
  <c r="B113" i="73"/>
  <c r="B120" i="73"/>
  <c r="C120" i="73"/>
  <c r="C56" i="73"/>
  <c r="B56" i="73"/>
  <c r="G16" i="143"/>
  <c r="H16" i="143" s="1"/>
  <c r="G17" i="144"/>
  <c r="H17" i="144" s="1"/>
  <c r="G15" i="138"/>
  <c r="H15" i="138" s="1"/>
  <c r="G15" i="143"/>
  <c r="H15" i="143" s="1"/>
  <c r="H35" i="137"/>
  <c r="H39" i="137" s="1"/>
  <c r="H35" i="136"/>
  <c r="H39" i="136" s="1"/>
  <c r="B118" i="73"/>
  <c r="B117" i="73"/>
  <c r="C112" i="73"/>
  <c r="B115" i="73"/>
  <c r="C111" i="73"/>
  <c r="B114" i="73"/>
  <c r="B109" i="73"/>
  <c r="B116" i="73"/>
  <c r="B119" i="73"/>
  <c r="G15" i="135"/>
  <c r="H15" i="135" s="1"/>
  <c r="H28" i="135"/>
  <c r="H27" i="131"/>
  <c r="H27" i="135"/>
  <c r="H35" i="135"/>
  <c r="H39" i="135" s="1"/>
  <c r="G17" i="135"/>
  <c r="H17" i="135" s="1"/>
  <c r="H27" i="133"/>
  <c r="H31" i="133" s="1"/>
  <c r="H28" i="131"/>
  <c r="H27" i="132"/>
  <c r="H31" i="132" s="1"/>
  <c r="H27" i="134"/>
  <c r="H31" i="134" s="1"/>
  <c r="H35" i="134"/>
  <c r="H39" i="134" s="1"/>
  <c r="H35" i="132"/>
  <c r="H39" i="132" s="1"/>
  <c r="H35" i="131"/>
  <c r="H39" i="131" s="1"/>
  <c r="H35" i="133"/>
  <c r="H39" i="133" s="1"/>
  <c r="H15" i="133"/>
  <c r="B16" i="73"/>
  <c r="H31" i="131" l="1"/>
  <c r="H31" i="135"/>
  <c r="H45" i="130"/>
  <c r="D44" i="130"/>
  <c r="F44" i="130" s="1"/>
  <c r="D43" i="130"/>
  <c r="F43" i="130" s="1"/>
  <c r="G35" i="130"/>
  <c r="E35" i="130"/>
  <c r="D35" i="130"/>
  <c r="G28" i="130"/>
  <c r="F28" i="130"/>
  <c r="G27" i="130"/>
  <c r="F27" i="130"/>
  <c r="H27" i="130" s="1"/>
  <c r="G20" i="130"/>
  <c r="H20" i="130" s="1"/>
  <c r="E20" i="130"/>
  <c r="H19" i="130"/>
  <c r="G18" i="130"/>
  <c r="H18" i="130" s="1"/>
  <c r="F18" i="130"/>
  <c r="E18" i="130"/>
  <c r="G17" i="130"/>
  <c r="F17" i="130"/>
  <c r="E17" i="130"/>
  <c r="E16" i="130"/>
  <c r="E15" i="130"/>
  <c r="F9" i="130"/>
  <c r="B6" i="130"/>
  <c r="C54" i="73"/>
  <c r="H45" i="129"/>
  <c r="D44" i="129"/>
  <c r="F44" i="129" s="1"/>
  <c r="D43" i="129"/>
  <c r="F43" i="129" s="1"/>
  <c r="G35" i="129"/>
  <c r="E35" i="129"/>
  <c r="D35" i="129"/>
  <c r="G28" i="129"/>
  <c r="F28" i="129"/>
  <c r="E28" i="129"/>
  <c r="G27" i="129"/>
  <c r="F27" i="129"/>
  <c r="E27" i="129"/>
  <c r="G16" i="129"/>
  <c r="H16" i="129" s="1"/>
  <c r="E16" i="129"/>
  <c r="E15" i="129"/>
  <c r="F9" i="129"/>
  <c r="B6" i="129"/>
  <c r="H45" i="128"/>
  <c r="D44" i="128"/>
  <c r="F44" i="128" s="1"/>
  <c r="D43" i="128"/>
  <c r="F43" i="128" s="1"/>
  <c r="G35" i="128"/>
  <c r="E35" i="128"/>
  <c r="D35" i="128"/>
  <c r="G28" i="128"/>
  <c r="F28" i="128"/>
  <c r="E28" i="128"/>
  <c r="G27" i="128"/>
  <c r="F27" i="128"/>
  <c r="E27" i="128"/>
  <c r="G16" i="128"/>
  <c r="H16" i="128" s="1"/>
  <c r="E16" i="128"/>
  <c r="G15" i="128"/>
  <c r="H15" i="128" s="1"/>
  <c r="E15" i="128"/>
  <c r="F9" i="128"/>
  <c r="B6" i="128"/>
  <c r="A14" i="73"/>
  <c r="B14" i="73" s="1"/>
  <c r="A15" i="73"/>
  <c r="C15" i="73" s="1"/>
  <c r="H14" i="73"/>
  <c r="E15" i="1"/>
  <c r="G27" i="127"/>
  <c r="F27" i="127"/>
  <c r="F128" i="46"/>
  <c r="H45" i="127"/>
  <c r="D44" i="127"/>
  <c r="F44" i="127" s="1"/>
  <c r="D43" i="127"/>
  <c r="F43" i="127" s="1"/>
  <c r="G35" i="127"/>
  <c r="E35" i="127"/>
  <c r="D35" i="127"/>
  <c r="G28" i="127"/>
  <c r="F28" i="127"/>
  <c r="H28" i="127" s="1"/>
  <c r="G20" i="127"/>
  <c r="H20" i="127" s="1"/>
  <c r="E20" i="127"/>
  <c r="G19" i="127"/>
  <c r="H19" i="127" s="1"/>
  <c r="E19" i="127"/>
  <c r="G18" i="127"/>
  <c r="H18" i="127" s="1"/>
  <c r="E18" i="127"/>
  <c r="E17" i="127"/>
  <c r="E16" i="127"/>
  <c r="E15" i="127"/>
  <c r="F9" i="127"/>
  <c r="B6" i="127"/>
  <c r="C91" i="73"/>
  <c r="C103" i="73"/>
  <c r="F15" i="126"/>
  <c r="H45" i="126"/>
  <c r="D44" i="126"/>
  <c r="F44" i="126" s="1"/>
  <c r="D43" i="126"/>
  <c r="F43" i="126" s="1"/>
  <c r="G35" i="126"/>
  <c r="E35" i="126"/>
  <c r="D35" i="126"/>
  <c r="G28" i="126"/>
  <c r="F28" i="126"/>
  <c r="G27" i="126"/>
  <c r="F27" i="126"/>
  <c r="H27" i="126" s="1"/>
  <c r="G20" i="126"/>
  <c r="H20" i="126" s="1"/>
  <c r="E20" i="126"/>
  <c r="G19" i="126"/>
  <c r="H19" i="126" s="1"/>
  <c r="E19" i="126"/>
  <c r="G18" i="126"/>
  <c r="H18" i="126" s="1"/>
  <c r="E18" i="126"/>
  <c r="E17" i="126"/>
  <c r="E16" i="126"/>
  <c r="E15" i="126"/>
  <c r="F9" i="126"/>
  <c r="B6" i="126"/>
  <c r="C90" i="73"/>
  <c r="E28" i="4"/>
  <c r="E27" i="4"/>
  <c r="G28" i="4"/>
  <c r="G27" i="4"/>
  <c r="F28" i="4"/>
  <c r="F27" i="4"/>
  <c r="E28" i="125"/>
  <c r="E27" i="125"/>
  <c r="E28" i="124"/>
  <c r="E27" i="124"/>
  <c r="G35" i="4"/>
  <c r="E35" i="4"/>
  <c r="D35" i="4"/>
  <c r="H45" i="125"/>
  <c r="D44" i="125"/>
  <c r="F44" i="125" s="1"/>
  <c r="D43" i="125"/>
  <c r="F43" i="125" s="1"/>
  <c r="G35" i="125"/>
  <c r="E35" i="125"/>
  <c r="D35" i="125"/>
  <c r="G28" i="125"/>
  <c r="F28" i="125"/>
  <c r="G27" i="125"/>
  <c r="F27" i="125"/>
  <c r="G16" i="125"/>
  <c r="H16" i="125" s="1"/>
  <c r="E16" i="125"/>
  <c r="G15" i="125"/>
  <c r="H15" i="125" s="1"/>
  <c r="E15" i="125"/>
  <c r="F9" i="125"/>
  <c r="B6" i="125"/>
  <c r="G28" i="124"/>
  <c r="F28" i="124"/>
  <c r="F27" i="124"/>
  <c r="G27" i="124"/>
  <c r="H45" i="124"/>
  <c r="D44" i="124"/>
  <c r="F44" i="124" s="1"/>
  <c r="D43" i="124"/>
  <c r="F43" i="124" s="1"/>
  <c r="G35" i="124"/>
  <c r="E35" i="124"/>
  <c r="D35" i="124"/>
  <c r="G16" i="124"/>
  <c r="H16" i="124" s="1"/>
  <c r="E16" i="124"/>
  <c r="G15" i="124"/>
  <c r="H15" i="124" s="1"/>
  <c r="E15" i="124"/>
  <c r="F9" i="124"/>
  <c r="B6" i="124"/>
  <c r="E16" i="123"/>
  <c r="E15" i="123"/>
  <c r="H45" i="123"/>
  <c r="D44" i="123"/>
  <c r="F44" i="123" s="1"/>
  <c r="F43" i="123"/>
  <c r="D43" i="123"/>
  <c r="G35" i="123"/>
  <c r="E35" i="123"/>
  <c r="D35" i="123"/>
  <c r="G27" i="123"/>
  <c r="F27" i="123"/>
  <c r="F9" i="123"/>
  <c r="B6" i="123"/>
  <c r="A11" i="73"/>
  <c r="C11" i="73" s="1"/>
  <c r="A12" i="73"/>
  <c r="C12" i="73" s="1"/>
  <c r="H11" i="73"/>
  <c r="H12" i="73"/>
  <c r="F56" i="46"/>
  <c r="F54" i="46"/>
  <c r="H45" i="122"/>
  <c r="D44" i="122"/>
  <c r="F44" i="122" s="1"/>
  <c r="D43" i="122"/>
  <c r="F43" i="122" s="1"/>
  <c r="G35" i="122"/>
  <c r="E35" i="122"/>
  <c r="D35" i="122"/>
  <c r="G28" i="122"/>
  <c r="F28" i="122"/>
  <c r="G21" i="122"/>
  <c r="H21" i="122" s="1"/>
  <c r="E21" i="122"/>
  <c r="G20" i="122"/>
  <c r="H20" i="122" s="1"/>
  <c r="E20" i="122"/>
  <c r="G19" i="122"/>
  <c r="H19" i="122" s="1"/>
  <c r="E19" i="122"/>
  <c r="G18" i="122"/>
  <c r="H18" i="122" s="1"/>
  <c r="E18" i="122"/>
  <c r="G17" i="122"/>
  <c r="H17" i="122" s="1"/>
  <c r="E17" i="122"/>
  <c r="E16" i="122"/>
  <c r="E15" i="122"/>
  <c r="F9" i="122"/>
  <c r="B6" i="122"/>
  <c r="C53" i="73"/>
  <c r="C72" i="73"/>
  <c r="C35" i="73"/>
  <c r="F99" i="46"/>
  <c r="H45" i="121"/>
  <c r="D44" i="121"/>
  <c r="F44" i="121" s="1"/>
  <c r="F43" i="121"/>
  <c r="D43" i="121"/>
  <c r="G35" i="121"/>
  <c r="E35" i="121"/>
  <c r="D35" i="121"/>
  <c r="G28" i="121"/>
  <c r="F28" i="121"/>
  <c r="H28" i="121" s="1"/>
  <c r="G21" i="121"/>
  <c r="H21" i="121" s="1"/>
  <c r="E21" i="121"/>
  <c r="G20" i="121"/>
  <c r="H20" i="121" s="1"/>
  <c r="E20" i="121"/>
  <c r="G19" i="121"/>
  <c r="H19" i="121" s="1"/>
  <c r="E19" i="121"/>
  <c r="E18" i="121"/>
  <c r="E17" i="121"/>
  <c r="E16" i="121"/>
  <c r="E15" i="121"/>
  <c r="F9" i="121"/>
  <c r="B6" i="121"/>
  <c r="F18" i="120"/>
  <c r="F17" i="120"/>
  <c r="H45" i="120"/>
  <c r="D44" i="120"/>
  <c r="F44" i="120" s="1"/>
  <c r="D43" i="120"/>
  <c r="F43" i="120" s="1"/>
  <c r="G35" i="120"/>
  <c r="E35" i="120"/>
  <c r="D35" i="120"/>
  <c r="G28" i="120"/>
  <c r="F28" i="120"/>
  <c r="G27" i="120"/>
  <c r="F27" i="120"/>
  <c r="H27" i="120" s="1"/>
  <c r="G20" i="120"/>
  <c r="H20" i="120" s="1"/>
  <c r="E20" i="120"/>
  <c r="H19" i="120"/>
  <c r="E18" i="120"/>
  <c r="E17" i="120"/>
  <c r="E16" i="120"/>
  <c r="E15" i="120"/>
  <c r="F9" i="120"/>
  <c r="B6" i="120"/>
  <c r="G19" i="88"/>
  <c r="F35" i="46"/>
  <c r="G15" i="119" s="1"/>
  <c r="H45" i="119"/>
  <c r="D44" i="119"/>
  <c r="F44" i="119" s="1"/>
  <c r="D43" i="119"/>
  <c r="F43" i="119" s="1"/>
  <c r="G35" i="119"/>
  <c r="F35" i="119"/>
  <c r="E35" i="119"/>
  <c r="D35" i="119"/>
  <c r="G28" i="119"/>
  <c r="F28" i="119"/>
  <c r="G27" i="119"/>
  <c r="F27" i="119"/>
  <c r="H27" i="119" s="1"/>
  <c r="G21" i="119"/>
  <c r="H21" i="119" s="1"/>
  <c r="E21" i="119"/>
  <c r="G20" i="119"/>
  <c r="H20" i="119" s="1"/>
  <c r="E20" i="119"/>
  <c r="G19" i="119"/>
  <c r="H19" i="119" s="1"/>
  <c r="E19" i="119"/>
  <c r="E18" i="119"/>
  <c r="E17" i="119"/>
  <c r="E16" i="119"/>
  <c r="E15" i="119"/>
  <c r="F9" i="119"/>
  <c r="B6" i="119"/>
  <c r="B33" i="73"/>
  <c r="C34" i="73"/>
  <c r="H45" i="118"/>
  <c r="D44" i="118"/>
  <c r="F44" i="118" s="1"/>
  <c r="D43" i="118"/>
  <c r="F43" i="118" s="1"/>
  <c r="G35" i="118"/>
  <c r="F35" i="118"/>
  <c r="E35" i="118"/>
  <c r="D35" i="118"/>
  <c r="G28" i="118"/>
  <c r="F28" i="118"/>
  <c r="G27" i="118"/>
  <c r="F27" i="118"/>
  <c r="E21" i="118"/>
  <c r="E20" i="118"/>
  <c r="E19" i="118"/>
  <c r="E18" i="118"/>
  <c r="E17" i="118"/>
  <c r="E16" i="118"/>
  <c r="E15" i="118"/>
  <c r="F9" i="118"/>
  <c r="B6" i="118"/>
  <c r="F133" i="46"/>
  <c r="F46" i="46"/>
  <c r="H45" i="117"/>
  <c r="D44" i="117"/>
  <c r="F44" i="117" s="1"/>
  <c r="D43" i="117"/>
  <c r="F43" i="117" s="1"/>
  <c r="G35" i="117"/>
  <c r="E35" i="117"/>
  <c r="D35" i="117"/>
  <c r="G28" i="117"/>
  <c r="F28" i="117"/>
  <c r="G27" i="117"/>
  <c r="F27" i="117"/>
  <c r="G20" i="117"/>
  <c r="H20" i="117" s="1"/>
  <c r="E20" i="117"/>
  <c r="G19" i="117"/>
  <c r="H19" i="117" s="1"/>
  <c r="E19" i="117"/>
  <c r="G18" i="117"/>
  <c r="H18" i="117" s="1"/>
  <c r="E18" i="117"/>
  <c r="E17" i="117"/>
  <c r="E16" i="117"/>
  <c r="E15" i="117"/>
  <c r="F9" i="117"/>
  <c r="B6" i="117"/>
  <c r="F15" i="116"/>
  <c r="H45" i="116"/>
  <c r="D44" i="116"/>
  <c r="F44" i="116" s="1"/>
  <c r="D43" i="116"/>
  <c r="F43" i="116" s="1"/>
  <c r="G35" i="116"/>
  <c r="E35" i="116"/>
  <c r="D35" i="116"/>
  <c r="G28" i="116"/>
  <c r="F28" i="116"/>
  <c r="G27" i="116"/>
  <c r="F27" i="116"/>
  <c r="G20" i="116"/>
  <c r="H20" i="116" s="1"/>
  <c r="E20" i="116"/>
  <c r="G19" i="116"/>
  <c r="H19" i="116" s="1"/>
  <c r="E19" i="116"/>
  <c r="G18" i="116"/>
  <c r="H18" i="116" s="1"/>
  <c r="E18" i="116"/>
  <c r="G17" i="116"/>
  <c r="H17" i="116" s="1"/>
  <c r="E17" i="116"/>
  <c r="E16" i="116"/>
  <c r="E15" i="116"/>
  <c r="F9" i="116"/>
  <c r="B6" i="116"/>
  <c r="H45" i="115"/>
  <c r="D44" i="115"/>
  <c r="F44" i="115" s="1"/>
  <c r="D43" i="115"/>
  <c r="F43" i="115" s="1"/>
  <c r="G35" i="115"/>
  <c r="E35" i="115"/>
  <c r="D35" i="115"/>
  <c r="G28" i="115"/>
  <c r="F28" i="115"/>
  <c r="G27" i="115"/>
  <c r="F27" i="115"/>
  <c r="G20" i="115"/>
  <c r="H20" i="115" s="1"/>
  <c r="E20" i="115"/>
  <c r="G19" i="115"/>
  <c r="H19" i="115" s="1"/>
  <c r="E19" i="115"/>
  <c r="G18" i="115"/>
  <c r="H18" i="115" s="1"/>
  <c r="E18" i="115"/>
  <c r="G17" i="115"/>
  <c r="H17" i="115" s="1"/>
  <c r="E17" i="115"/>
  <c r="E16" i="115"/>
  <c r="E15" i="115"/>
  <c r="F9" i="115"/>
  <c r="B6" i="115"/>
  <c r="H45" i="114"/>
  <c r="D44" i="114"/>
  <c r="F44" i="114" s="1"/>
  <c r="D43" i="114"/>
  <c r="F43" i="114" s="1"/>
  <c r="G35" i="114"/>
  <c r="E35" i="114"/>
  <c r="D35" i="114"/>
  <c r="G28" i="114"/>
  <c r="F28" i="114"/>
  <c r="H28" i="114" s="1"/>
  <c r="G27" i="114"/>
  <c r="F27" i="114"/>
  <c r="G20" i="114"/>
  <c r="H20" i="114" s="1"/>
  <c r="E20" i="114"/>
  <c r="G19" i="114"/>
  <c r="H19" i="114" s="1"/>
  <c r="E19" i="114"/>
  <c r="G18" i="114"/>
  <c r="H18" i="114" s="1"/>
  <c r="E18" i="114"/>
  <c r="E17" i="114"/>
  <c r="E16" i="114"/>
  <c r="E15" i="114"/>
  <c r="F9" i="114"/>
  <c r="B6" i="114"/>
  <c r="D15" i="1"/>
  <c r="C12" i="1"/>
  <c r="C13" i="1" s="1"/>
  <c r="C14" i="1" s="1"/>
  <c r="C15" i="1" s="1"/>
  <c r="D47" i="2" l="1"/>
  <c r="G15" i="151"/>
  <c r="H15" i="151" s="1"/>
  <c r="G15" i="164"/>
  <c r="H15" i="164" s="1"/>
  <c r="G15" i="146"/>
  <c r="H15" i="146" s="1"/>
  <c r="G15" i="145"/>
  <c r="H15" i="145" s="1"/>
  <c r="G17" i="117"/>
  <c r="H17" i="117" s="1"/>
  <c r="G17" i="139"/>
  <c r="H17" i="139" s="1"/>
  <c r="C37" i="73"/>
  <c r="B37" i="73"/>
  <c r="C38" i="73"/>
  <c r="B38" i="73"/>
  <c r="C36" i="73"/>
  <c r="B36" i="73"/>
  <c r="B54" i="73"/>
  <c r="H35" i="130"/>
  <c r="H39" i="130" s="1"/>
  <c r="H28" i="115"/>
  <c r="H28" i="126"/>
  <c r="H28" i="130"/>
  <c r="H31" i="130" s="1"/>
  <c r="H28" i="118"/>
  <c r="H31" i="126"/>
  <c r="H27" i="115"/>
  <c r="H31" i="115" s="1"/>
  <c r="H28" i="116"/>
  <c r="H17" i="130"/>
  <c r="B15" i="73"/>
  <c r="C14" i="73"/>
  <c r="H35" i="128"/>
  <c r="H39" i="128" s="1"/>
  <c r="H35" i="129"/>
  <c r="H39" i="129" s="1"/>
  <c r="H28" i="129"/>
  <c r="H27" i="129"/>
  <c r="H28" i="128"/>
  <c r="H27" i="128"/>
  <c r="B91" i="73"/>
  <c r="H27" i="127"/>
  <c r="H31" i="127" s="1"/>
  <c r="H35" i="121"/>
  <c r="H39" i="121" s="1"/>
  <c r="H35" i="122"/>
  <c r="H39" i="122" s="1"/>
  <c r="H35" i="124"/>
  <c r="H39" i="124" s="1"/>
  <c r="H35" i="118"/>
  <c r="H39" i="118" s="1"/>
  <c r="H35" i="114"/>
  <c r="H39" i="114" s="1"/>
  <c r="H35" i="115"/>
  <c r="H39" i="115" s="1"/>
  <c r="H35" i="117"/>
  <c r="H39" i="117" s="1"/>
  <c r="H35" i="119"/>
  <c r="H39" i="119" s="1"/>
  <c r="H35" i="123"/>
  <c r="H39" i="123" s="1"/>
  <c r="H35" i="4"/>
  <c r="H35" i="116"/>
  <c r="H39" i="116" s="1"/>
  <c r="H35" i="126"/>
  <c r="H39" i="126" s="1"/>
  <c r="H35" i="127"/>
  <c r="H39" i="127" s="1"/>
  <c r="B90" i="73"/>
  <c r="B12" i="73"/>
  <c r="B11" i="73"/>
  <c r="H28" i="4"/>
  <c r="H35" i="125"/>
  <c r="H39" i="125" s="1"/>
  <c r="H27" i="125"/>
  <c r="H28" i="125"/>
  <c r="H28" i="124"/>
  <c r="H27" i="121"/>
  <c r="H31" i="121" s="1"/>
  <c r="H27" i="122"/>
  <c r="H27" i="114"/>
  <c r="H31" i="114" s="1"/>
  <c r="H28" i="119"/>
  <c r="H31" i="119" s="1"/>
  <c r="H28" i="117"/>
  <c r="H27" i="118"/>
  <c r="H31" i="118" s="1"/>
  <c r="H27" i="124"/>
  <c r="H28" i="122"/>
  <c r="H27" i="123"/>
  <c r="H31" i="123" s="1"/>
  <c r="H27" i="116"/>
  <c r="H27" i="117"/>
  <c r="B35" i="73"/>
  <c r="C33" i="73"/>
  <c r="B53" i="73"/>
  <c r="B34" i="73"/>
  <c r="G15" i="121"/>
  <c r="H15" i="121" s="1"/>
  <c r="H28" i="120"/>
  <c r="H31" i="120" s="1"/>
  <c r="B72" i="73"/>
  <c r="B103" i="73"/>
  <c r="D48" i="2" l="1"/>
  <c r="D21" i="2"/>
  <c r="H31" i="129"/>
  <c r="H31" i="116"/>
  <c r="H31" i="117"/>
  <c r="H31" i="122"/>
  <c r="H31" i="124"/>
  <c r="H31" i="128"/>
  <c r="H31" i="125"/>
  <c r="G17" i="113"/>
  <c r="H17" i="113" s="1"/>
  <c r="F112" i="46"/>
  <c r="F109" i="46"/>
  <c r="F63" i="46"/>
  <c r="H45" i="113"/>
  <c r="D44" i="113"/>
  <c r="F44" i="113" s="1"/>
  <c r="F43" i="113"/>
  <c r="D43" i="113"/>
  <c r="G35" i="113"/>
  <c r="E35" i="113"/>
  <c r="D35" i="113"/>
  <c r="G28" i="113"/>
  <c r="F28" i="113"/>
  <c r="H28" i="113" s="1"/>
  <c r="G27" i="113"/>
  <c r="F27" i="113"/>
  <c r="G20" i="113"/>
  <c r="H20" i="113" s="1"/>
  <c r="E20" i="113"/>
  <c r="G19" i="113"/>
  <c r="H19" i="113" s="1"/>
  <c r="E19" i="113"/>
  <c r="G18" i="113"/>
  <c r="H18" i="113" s="1"/>
  <c r="E18" i="113"/>
  <c r="E17" i="113"/>
  <c r="E16" i="113"/>
  <c r="E15" i="113"/>
  <c r="F9" i="113"/>
  <c r="B6" i="113"/>
  <c r="G16" i="151" l="1"/>
  <c r="H16" i="151" s="1"/>
  <c r="G16" i="164"/>
  <c r="H16" i="164" s="1"/>
  <c r="G17" i="148"/>
  <c r="H17" i="148" s="1"/>
  <c r="G16" i="139"/>
  <c r="H16" i="139" s="1"/>
  <c r="G16" i="145"/>
  <c r="H16" i="145" s="1"/>
  <c r="G16" i="146"/>
  <c r="H16" i="146" s="1"/>
  <c r="G16" i="122"/>
  <c r="H16" i="122" s="1"/>
  <c r="G16" i="132"/>
  <c r="H16" i="132" s="1"/>
  <c r="H35" i="113"/>
  <c r="H39" i="113" s="1"/>
  <c r="H27" i="113"/>
  <c r="H31" i="113" s="1"/>
  <c r="G15" i="116"/>
  <c r="H15" i="116" s="1"/>
  <c r="G16" i="116"/>
  <c r="H16" i="116" s="1"/>
  <c r="G16" i="117"/>
  <c r="H16" i="117" s="1"/>
  <c r="E16" i="112" l="1"/>
  <c r="F39" i="46"/>
  <c r="H15" i="119" s="1"/>
  <c r="H45" i="112"/>
  <c r="D44" i="112"/>
  <c r="F44" i="112" s="1"/>
  <c r="D43" i="112"/>
  <c r="F43" i="112" s="1"/>
  <c r="G35" i="112"/>
  <c r="F35" i="112"/>
  <c r="E35" i="112"/>
  <c r="D35" i="112"/>
  <c r="G28" i="112"/>
  <c r="F28" i="112"/>
  <c r="G27" i="112"/>
  <c r="F27" i="112"/>
  <c r="G21" i="112"/>
  <c r="H21" i="112" s="1"/>
  <c r="E21" i="112"/>
  <c r="E20" i="112"/>
  <c r="E19" i="112"/>
  <c r="G18" i="112"/>
  <c r="H18" i="112" s="1"/>
  <c r="E18" i="112"/>
  <c r="E17" i="112"/>
  <c r="E15" i="112"/>
  <c r="F9" i="112"/>
  <c r="B6" i="112"/>
  <c r="C32" i="73"/>
  <c r="D9" i="122"/>
  <c r="E21" i="111"/>
  <c r="F105" i="46"/>
  <c r="F26" i="46"/>
  <c r="G18" i="118" s="1"/>
  <c r="H18" i="118" s="1"/>
  <c r="F37" i="46"/>
  <c r="G15" i="118"/>
  <c r="H15" i="118" s="1"/>
  <c r="H45" i="111"/>
  <c r="D44" i="111"/>
  <c r="F44" i="111" s="1"/>
  <c r="F43" i="111"/>
  <c r="D43" i="111"/>
  <c r="G35" i="111"/>
  <c r="F35" i="111"/>
  <c r="E35" i="111"/>
  <c r="D35" i="111"/>
  <c r="G28" i="111"/>
  <c r="F28" i="111"/>
  <c r="G27" i="111"/>
  <c r="F27" i="111"/>
  <c r="G20" i="111"/>
  <c r="H20" i="111" s="1"/>
  <c r="E20" i="111"/>
  <c r="E19" i="111"/>
  <c r="E18" i="111"/>
  <c r="E17" i="111"/>
  <c r="E16" i="111"/>
  <c r="E15" i="111"/>
  <c r="F9" i="111"/>
  <c r="B6" i="111"/>
  <c r="F57" i="46"/>
  <c r="G15" i="113" s="1"/>
  <c r="H15" i="113" s="1"/>
  <c r="F49" i="46"/>
  <c r="H45" i="110"/>
  <c r="D44" i="110"/>
  <c r="F44" i="110" s="1"/>
  <c r="D43" i="110"/>
  <c r="F43" i="110" s="1"/>
  <c r="G35" i="110"/>
  <c r="E35" i="110"/>
  <c r="D35" i="110"/>
  <c r="G28" i="110"/>
  <c r="F28" i="110"/>
  <c r="G27" i="110"/>
  <c r="F27" i="110"/>
  <c r="G20" i="110"/>
  <c r="H20" i="110" s="1"/>
  <c r="E20" i="110"/>
  <c r="G19" i="110"/>
  <c r="H19" i="110" s="1"/>
  <c r="E19" i="110"/>
  <c r="G18" i="110"/>
  <c r="H18" i="110" s="1"/>
  <c r="E18" i="110"/>
  <c r="G17" i="110"/>
  <c r="H17" i="110" s="1"/>
  <c r="E17" i="110"/>
  <c r="E16" i="110"/>
  <c r="E15" i="110"/>
  <c r="F9" i="110"/>
  <c r="B6" i="110"/>
  <c r="C100" i="73"/>
  <c r="F67" i="46"/>
  <c r="G19" i="109" s="1"/>
  <c r="H19" i="109" s="1"/>
  <c r="H45" i="109"/>
  <c r="D44" i="109"/>
  <c r="F44" i="109" s="1"/>
  <c r="D43" i="109"/>
  <c r="F43" i="109" s="1"/>
  <c r="G35" i="109"/>
  <c r="F35" i="109"/>
  <c r="E35" i="109"/>
  <c r="D35" i="109"/>
  <c r="G28" i="109"/>
  <c r="F28" i="109"/>
  <c r="G27" i="109"/>
  <c r="F27" i="109"/>
  <c r="E20" i="109"/>
  <c r="E19" i="109"/>
  <c r="E18" i="109"/>
  <c r="E17" i="109"/>
  <c r="E16" i="109"/>
  <c r="E15" i="109"/>
  <c r="F9" i="109"/>
  <c r="B6" i="109"/>
  <c r="B70" i="73"/>
  <c r="F22" i="46"/>
  <c r="G20" i="109" s="1"/>
  <c r="H20" i="109" s="1"/>
  <c r="F100" i="46"/>
  <c r="G19" i="108" s="1"/>
  <c r="H19" i="108" s="1"/>
  <c r="F65" i="46"/>
  <c r="G18" i="109" s="1"/>
  <c r="H18" i="109" s="1"/>
  <c r="F29" i="46"/>
  <c r="G16" i="108" s="1"/>
  <c r="H16" i="108" s="1"/>
  <c r="H45" i="108"/>
  <c r="D44" i="108"/>
  <c r="F44" i="108" s="1"/>
  <c r="D43" i="108"/>
  <c r="F43" i="108" s="1"/>
  <c r="G35" i="108"/>
  <c r="F35" i="108"/>
  <c r="E35" i="108"/>
  <c r="D35" i="108"/>
  <c r="G28" i="108"/>
  <c r="F28" i="108"/>
  <c r="G27" i="108"/>
  <c r="F27" i="108"/>
  <c r="E20" i="108"/>
  <c r="E19" i="108"/>
  <c r="E18" i="108"/>
  <c r="E17" i="108"/>
  <c r="E16" i="108"/>
  <c r="E15" i="108"/>
  <c r="F9" i="108"/>
  <c r="B6" i="108"/>
  <c r="F40" i="46"/>
  <c r="G16" i="168" s="1"/>
  <c r="H16" i="168" s="1"/>
  <c r="F122" i="46"/>
  <c r="F28" i="46"/>
  <c r="H45" i="107"/>
  <c r="D44" i="107"/>
  <c r="F44" i="107" s="1"/>
  <c r="D43" i="107"/>
  <c r="F43" i="107" s="1"/>
  <c r="G35" i="107"/>
  <c r="F35" i="107"/>
  <c r="E35" i="107"/>
  <c r="D35" i="107"/>
  <c r="G28" i="107"/>
  <c r="F28" i="107"/>
  <c r="H28" i="107" s="1"/>
  <c r="G27" i="107"/>
  <c r="F27" i="107"/>
  <c r="G20" i="107"/>
  <c r="H20" i="107" s="1"/>
  <c r="E20" i="107"/>
  <c r="G19" i="107"/>
  <c r="H19" i="107" s="1"/>
  <c r="E19" i="107"/>
  <c r="E18" i="107"/>
  <c r="E17" i="107"/>
  <c r="E16" i="107"/>
  <c r="E15" i="107"/>
  <c r="F9" i="107"/>
  <c r="B6" i="107"/>
  <c r="C68" i="73"/>
  <c r="B69" i="73"/>
  <c r="C71" i="73"/>
  <c r="B79" i="73"/>
  <c r="C80" i="73"/>
  <c r="C81" i="73"/>
  <c r="C82" i="73"/>
  <c r="B83" i="73"/>
  <c r="C85" i="73"/>
  <c r="C86" i="73"/>
  <c r="B87" i="73"/>
  <c r="C88" i="73"/>
  <c r="C89" i="73"/>
  <c r="C93" i="73"/>
  <c r="C97" i="73"/>
  <c r="C98" i="73"/>
  <c r="C99" i="73"/>
  <c r="C108" i="73"/>
  <c r="H68" i="73"/>
  <c r="G18" i="106"/>
  <c r="H18" i="106" s="1"/>
  <c r="E18" i="106"/>
  <c r="G17" i="106"/>
  <c r="H17" i="106" s="1"/>
  <c r="E17" i="106"/>
  <c r="E16" i="106"/>
  <c r="E15" i="106"/>
  <c r="H45" i="106"/>
  <c r="D44" i="106"/>
  <c r="F44" i="106" s="1"/>
  <c r="D43" i="106"/>
  <c r="F43" i="106" s="1"/>
  <c r="G35" i="106"/>
  <c r="E35" i="106"/>
  <c r="D35" i="106"/>
  <c r="G28" i="106"/>
  <c r="F28" i="106"/>
  <c r="H28" i="106" s="1"/>
  <c r="G27" i="106"/>
  <c r="F27" i="106"/>
  <c r="G20" i="106"/>
  <c r="H20" i="106" s="1"/>
  <c r="E20" i="106"/>
  <c r="G19" i="106"/>
  <c r="H19" i="106" s="1"/>
  <c r="E19" i="106"/>
  <c r="F9" i="106"/>
  <c r="B6" i="106"/>
  <c r="F137" i="46"/>
  <c r="G17" i="105" s="1"/>
  <c r="H17" i="105" s="1"/>
  <c r="H45" i="105"/>
  <c r="D44" i="105"/>
  <c r="F44" i="105" s="1"/>
  <c r="D43" i="105"/>
  <c r="F43" i="105" s="1"/>
  <c r="G35" i="105"/>
  <c r="E35" i="105"/>
  <c r="D35" i="105"/>
  <c r="G28" i="105"/>
  <c r="F28" i="105"/>
  <c r="G27" i="105"/>
  <c r="F27" i="105"/>
  <c r="G20" i="105"/>
  <c r="H20" i="105" s="1"/>
  <c r="E20" i="105"/>
  <c r="G19" i="105"/>
  <c r="H19" i="105" s="1"/>
  <c r="E19" i="105"/>
  <c r="G18" i="105"/>
  <c r="H18" i="105" s="1"/>
  <c r="E18" i="105"/>
  <c r="E17" i="105"/>
  <c r="E16" i="105"/>
  <c r="E15" i="105"/>
  <c r="F9" i="105"/>
  <c r="B6" i="105"/>
  <c r="G15" i="104"/>
  <c r="H15" i="104" s="1"/>
  <c r="B107" i="73"/>
  <c r="E15" i="104"/>
  <c r="F52" i="46"/>
  <c r="H45" i="104"/>
  <c r="D44" i="104"/>
  <c r="F44" i="104" s="1"/>
  <c r="D43" i="104"/>
  <c r="F43" i="104" s="1"/>
  <c r="G35" i="104"/>
  <c r="E35" i="104"/>
  <c r="D35" i="104"/>
  <c r="G28" i="104"/>
  <c r="F28" i="104"/>
  <c r="H28" i="104" s="1"/>
  <c r="G27" i="104"/>
  <c r="F27" i="104"/>
  <c r="G20" i="104"/>
  <c r="H20" i="104" s="1"/>
  <c r="E20" i="104"/>
  <c r="G19" i="104"/>
  <c r="H19" i="104" s="1"/>
  <c r="E19" i="104"/>
  <c r="G18" i="104"/>
  <c r="H18" i="104" s="1"/>
  <c r="E18" i="104"/>
  <c r="G17" i="104"/>
  <c r="H17" i="104" s="1"/>
  <c r="E17" i="104"/>
  <c r="E16" i="104"/>
  <c r="F9" i="104"/>
  <c r="B6" i="104"/>
  <c r="G27" i="103"/>
  <c r="F27" i="103"/>
  <c r="F123" i="46"/>
  <c r="G16" i="104" s="1"/>
  <c r="H16" i="104" s="1"/>
  <c r="H45" i="103"/>
  <c r="D44" i="103"/>
  <c r="F44" i="103" s="1"/>
  <c r="F43" i="103"/>
  <c r="D43" i="103"/>
  <c r="G35" i="103"/>
  <c r="E35" i="103"/>
  <c r="D35" i="103"/>
  <c r="G28" i="103"/>
  <c r="F28" i="103"/>
  <c r="G20" i="103"/>
  <c r="H20" i="103" s="1"/>
  <c r="E20" i="103"/>
  <c r="G19" i="103"/>
  <c r="H19" i="103" s="1"/>
  <c r="E19" i="103"/>
  <c r="G18" i="103"/>
  <c r="H18" i="103" s="1"/>
  <c r="E18" i="103"/>
  <c r="G17" i="103"/>
  <c r="H17" i="103" s="1"/>
  <c r="E17" i="103"/>
  <c r="E16" i="103"/>
  <c r="E15" i="103"/>
  <c r="F9" i="103"/>
  <c r="B6" i="103"/>
  <c r="F119" i="46"/>
  <c r="G15" i="103" s="1"/>
  <c r="F129" i="46"/>
  <c r="F120" i="46"/>
  <c r="G15" i="106" s="1"/>
  <c r="H15" i="106" s="1"/>
  <c r="B96" i="73"/>
  <c r="H45" i="102"/>
  <c r="F44" i="102"/>
  <c r="D44" i="102"/>
  <c r="D43" i="102"/>
  <c r="F43" i="102" s="1"/>
  <c r="G35" i="102"/>
  <c r="E35" i="102"/>
  <c r="D35" i="102"/>
  <c r="G28" i="102"/>
  <c r="F28" i="102"/>
  <c r="G27" i="102"/>
  <c r="F27" i="102"/>
  <c r="G20" i="102"/>
  <c r="H20" i="102" s="1"/>
  <c r="E20" i="102"/>
  <c r="G19" i="102"/>
  <c r="H19" i="102" s="1"/>
  <c r="E19" i="102"/>
  <c r="G18" i="102"/>
  <c r="H18" i="102" s="1"/>
  <c r="E18" i="102"/>
  <c r="G17" i="102"/>
  <c r="H17" i="102" s="1"/>
  <c r="E17" i="102"/>
  <c r="G16" i="102"/>
  <c r="H16" i="102" s="1"/>
  <c r="E16" i="102"/>
  <c r="F9" i="102"/>
  <c r="B6" i="102"/>
  <c r="F41" i="46"/>
  <c r="E16" i="101"/>
  <c r="H45" i="101"/>
  <c r="D44" i="101"/>
  <c r="F44" i="101" s="1"/>
  <c r="D43" i="101"/>
  <c r="F43" i="101" s="1"/>
  <c r="G35" i="101"/>
  <c r="E35" i="101"/>
  <c r="D35" i="101"/>
  <c r="G28" i="101"/>
  <c r="F28" i="101"/>
  <c r="G27" i="101"/>
  <c r="F27" i="101"/>
  <c r="G20" i="101"/>
  <c r="H20" i="101" s="1"/>
  <c r="E20" i="101"/>
  <c r="G19" i="101"/>
  <c r="H19" i="101" s="1"/>
  <c r="E19" i="101"/>
  <c r="G18" i="101"/>
  <c r="H18" i="101" s="1"/>
  <c r="E18" i="101"/>
  <c r="G17" i="101"/>
  <c r="H17" i="101" s="1"/>
  <c r="E17" i="101"/>
  <c r="E15" i="101"/>
  <c r="F9" i="101"/>
  <c r="B6" i="101"/>
  <c r="F77" i="46"/>
  <c r="G15" i="101" s="1"/>
  <c r="H15" i="101" s="1"/>
  <c r="H45" i="100"/>
  <c r="D44" i="100"/>
  <c r="F44" i="100" s="1"/>
  <c r="F43" i="100"/>
  <c r="D43" i="100"/>
  <c r="G35" i="100"/>
  <c r="E35" i="100"/>
  <c r="D35" i="100"/>
  <c r="G28" i="100"/>
  <c r="F28" i="100"/>
  <c r="G27" i="100"/>
  <c r="F27" i="100"/>
  <c r="G20" i="100"/>
  <c r="H20" i="100" s="1"/>
  <c r="E20" i="100"/>
  <c r="G19" i="100"/>
  <c r="H19" i="100" s="1"/>
  <c r="E19" i="100"/>
  <c r="G18" i="100"/>
  <c r="E18" i="100"/>
  <c r="G17" i="100"/>
  <c r="E17" i="100"/>
  <c r="G16" i="100"/>
  <c r="E16" i="100"/>
  <c r="E15" i="100"/>
  <c r="F9" i="100"/>
  <c r="B6" i="100"/>
  <c r="F15" i="99"/>
  <c r="F17" i="99"/>
  <c r="F16" i="99"/>
  <c r="F18" i="99"/>
  <c r="F14" i="46"/>
  <c r="G15" i="100"/>
  <c r="H45" i="99"/>
  <c r="D44" i="99"/>
  <c r="F44" i="99" s="1"/>
  <c r="D43" i="99"/>
  <c r="F43" i="99" s="1"/>
  <c r="G35" i="99"/>
  <c r="E35" i="99"/>
  <c r="D35" i="99"/>
  <c r="G28" i="99"/>
  <c r="F28" i="99"/>
  <c r="G27" i="99"/>
  <c r="F27" i="99"/>
  <c r="G20" i="99"/>
  <c r="H20" i="99" s="1"/>
  <c r="E20" i="99"/>
  <c r="E19" i="99"/>
  <c r="E18" i="99"/>
  <c r="E17" i="99"/>
  <c r="E15" i="99"/>
  <c r="F9" i="99"/>
  <c r="B6" i="99"/>
  <c r="H45" i="98"/>
  <c r="D44" i="98"/>
  <c r="F44" i="98" s="1"/>
  <c r="D43" i="98"/>
  <c r="F43" i="98" s="1"/>
  <c r="G35" i="98"/>
  <c r="E35" i="98"/>
  <c r="D35" i="98"/>
  <c r="G28" i="98"/>
  <c r="F28" i="98"/>
  <c r="H28" i="98" s="1"/>
  <c r="G27" i="98"/>
  <c r="F27" i="98"/>
  <c r="G20" i="98"/>
  <c r="H20" i="98" s="1"/>
  <c r="E20" i="98"/>
  <c r="G19" i="98"/>
  <c r="H19" i="98" s="1"/>
  <c r="E19" i="98"/>
  <c r="G18" i="98"/>
  <c r="H18" i="98" s="1"/>
  <c r="E18" i="98"/>
  <c r="E17" i="98"/>
  <c r="E16" i="98"/>
  <c r="E15" i="98"/>
  <c r="F9" i="98"/>
  <c r="B6" i="98"/>
  <c r="F114" i="46"/>
  <c r="G16" i="114" s="1"/>
  <c r="H16" i="114" s="1"/>
  <c r="F9" i="97"/>
  <c r="F76" i="46"/>
  <c r="H45" i="97"/>
  <c r="D44" i="97"/>
  <c r="F44" i="97" s="1"/>
  <c r="D43" i="97"/>
  <c r="F43" i="97" s="1"/>
  <c r="G35" i="97"/>
  <c r="E35" i="97"/>
  <c r="D35" i="97"/>
  <c r="G28" i="97"/>
  <c r="F28" i="97"/>
  <c r="G27" i="97"/>
  <c r="F27" i="97"/>
  <c r="G20" i="97"/>
  <c r="H20" i="97" s="1"/>
  <c r="E20" i="97"/>
  <c r="G19" i="97"/>
  <c r="H19" i="97" s="1"/>
  <c r="E19" i="97"/>
  <c r="E18" i="97"/>
  <c r="E17" i="97"/>
  <c r="E15" i="97"/>
  <c r="B6" i="97"/>
  <c r="F50" i="46"/>
  <c r="F75" i="46"/>
  <c r="G18" i="97" s="1"/>
  <c r="H18" i="97" s="1"/>
  <c r="F70" i="46"/>
  <c r="H45" i="96"/>
  <c r="D44" i="96"/>
  <c r="F44" i="96" s="1"/>
  <c r="D43" i="96"/>
  <c r="F43" i="96" s="1"/>
  <c r="G35" i="96"/>
  <c r="E35" i="96"/>
  <c r="D35" i="96"/>
  <c r="G28" i="96"/>
  <c r="F28" i="96"/>
  <c r="G27" i="96"/>
  <c r="F27" i="96"/>
  <c r="G20" i="96"/>
  <c r="H20" i="96" s="1"/>
  <c r="E20" i="96"/>
  <c r="E19" i="96"/>
  <c r="E18" i="96"/>
  <c r="E16" i="96"/>
  <c r="E15" i="96"/>
  <c r="F9" i="96"/>
  <c r="B6" i="96"/>
  <c r="F111" i="46"/>
  <c r="H45" i="95"/>
  <c r="D44" i="95"/>
  <c r="F44" i="95" s="1"/>
  <c r="F43" i="95"/>
  <c r="D43" i="95"/>
  <c r="G35" i="95"/>
  <c r="E35" i="95"/>
  <c r="D35" i="95"/>
  <c r="G28" i="95"/>
  <c r="F28" i="95"/>
  <c r="G27" i="95"/>
  <c r="F27" i="95"/>
  <c r="G20" i="95"/>
  <c r="H20" i="95" s="1"/>
  <c r="E20" i="95"/>
  <c r="E17" i="95"/>
  <c r="F9" i="95"/>
  <c r="B6" i="95"/>
  <c r="F82" i="46"/>
  <c r="G15" i="115" s="1"/>
  <c r="H15" i="115" s="1"/>
  <c r="F61" i="46"/>
  <c r="F24" i="46"/>
  <c r="F110" i="46"/>
  <c r="H45" i="94"/>
  <c r="D44" i="94"/>
  <c r="F44" i="94" s="1"/>
  <c r="D43" i="94"/>
  <c r="F43" i="94" s="1"/>
  <c r="G35" i="94"/>
  <c r="E35" i="94"/>
  <c r="D35" i="94"/>
  <c r="G28" i="94"/>
  <c r="F28" i="94"/>
  <c r="G27" i="94"/>
  <c r="F27" i="94"/>
  <c r="E20" i="94"/>
  <c r="E17" i="94"/>
  <c r="F9" i="94"/>
  <c r="B6" i="94"/>
  <c r="C84" i="73"/>
  <c r="B78" i="73"/>
  <c r="C67" i="73"/>
  <c r="C66" i="73"/>
  <c r="C65" i="73"/>
  <c r="B64" i="73"/>
  <c r="B52" i="73"/>
  <c r="C51" i="73"/>
  <c r="B50" i="73"/>
  <c r="H50" i="73"/>
  <c r="B49" i="73"/>
  <c r="C26" i="73"/>
  <c r="C27" i="73"/>
  <c r="B28" i="73"/>
  <c r="B29" i="73"/>
  <c r="B31" i="73"/>
  <c r="H45" i="93"/>
  <c r="D44" i="93"/>
  <c r="F44" i="93" s="1"/>
  <c r="D43" i="93"/>
  <c r="F43" i="93" s="1"/>
  <c r="G35" i="93"/>
  <c r="F35" i="93"/>
  <c r="E35" i="93"/>
  <c r="D35" i="93"/>
  <c r="G27" i="93"/>
  <c r="F27" i="93"/>
  <c r="G15" i="93"/>
  <c r="H15" i="93" s="1"/>
  <c r="E15" i="93"/>
  <c r="F9" i="93"/>
  <c r="B6" i="93"/>
  <c r="A4" i="73"/>
  <c r="A13" i="73"/>
  <c r="A2" i="73"/>
  <c r="A3" i="73"/>
  <c r="A5" i="73"/>
  <c r="C5" i="73" s="1"/>
  <c r="A6" i="73"/>
  <c r="B6" i="73" s="1"/>
  <c r="A7" i="73"/>
  <c r="B7" i="73" s="1"/>
  <c r="A8" i="73"/>
  <c r="C8" i="73" s="1"/>
  <c r="A9" i="73"/>
  <c r="B9" i="73" s="1"/>
  <c r="A10" i="73"/>
  <c r="B10" i="73" s="1"/>
  <c r="L18" i="92"/>
  <c r="G18" i="92"/>
  <c r="H18" i="92" s="1"/>
  <c r="E18" i="92"/>
  <c r="B3" i="73"/>
  <c r="F9" i="91"/>
  <c r="F9" i="89"/>
  <c r="F9" i="88"/>
  <c r="E14" i="1"/>
  <c r="D41" i="2"/>
  <c r="E13" i="1"/>
  <c r="D13" i="1"/>
  <c r="E12" i="1"/>
  <c r="D12" i="1"/>
  <c r="F9" i="87"/>
  <c r="F9" i="86"/>
  <c r="F9" i="92"/>
  <c r="F9" i="85"/>
  <c r="F9" i="84"/>
  <c r="F9" i="83"/>
  <c r="F9" i="78"/>
  <c r="F9" i="79"/>
  <c r="F9" i="80"/>
  <c r="F3" i="75"/>
  <c r="D7" i="1"/>
  <c r="L20" i="92"/>
  <c r="L15" i="92"/>
  <c r="K15" i="92"/>
  <c r="J15" i="92"/>
  <c r="M15" i="92" s="1"/>
  <c r="H45" i="92"/>
  <c r="G35" i="92"/>
  <c r="F35" i="92"/>
  <c r="E35" i="92"/>
  <c r="D35" i="92"/>
  <c r="G27" i="92"/>
  <c r="F27" i="92"/>
  <c r="G20" i="92"/>
  <c r="H20" i="92" s="1"/>
  <c r="E20" i="92"/>
  <c r="E17" i="92"/>
  <c r="J16" i="92"/>
  <c r="K16" i="92" s="1"/>
  <c r="E16" i="92"/>
  <c r="E15" i="92"/>
  <c r="B6" i="92"/>
  <c r="F134" i="46"/>
  <c r="F127" i="46"/>
  <c r="G18" i="91" s="1"/>
  <c r="H18" i="91" s="1"/>
  <c r="F27" i="46"/>
  <c r="H45" i="91"/>
  <c r="G35" i="91"/>
  <c r="F35" i="91"/>
  <c r="E35" i="91"/>
  <c r="D35" i="91"/>
  <c r="G28" i="91"/>
  <c r="F28" i="91"/>
  <c r="G27" i="91"/>
  <c r="F27" i="91"/>
  <c r="H27" i="91" s="1"/>
  <c r="G20" i="91"/>
  <c r="H20" i="91" s="1"/>
  <c r="E20" i="91"/>
  <c r="G19" i="91"/>
  <c r="H19" i="91" s="1"/>
  <c r="E19" i="91"/>
  <c r="E18" i="91"/>
  <c r="E17" i="91"/>
  <c r="E16" i="91"/>
  <c r="E15" i="91"/>
  <c r="B6" i="91"/>
  <c r="F7" i="51"/>
  <c r="F9" i="51"/>
  <c r="G22" i="1"/>
  <c r="L10" i="90"/>
  <c r="L8" i="90" s="1"/>
  <c r="M12" i="90"/>
  <c r="N12" i="90" s="1"/>
  <c r="J14" i="90"/>
  <c r="L14" i="90"/>
  <c r="E15" i="90"/>
  <c r="L15" i="90"/>
  <c r="L16" i="90"/>
  <c r="G17" i="90"/>
  <c r="L17" i="90"/>
  <c r="L28" i="90"/>
  <c r="J29" i="90"/>
  <c r="J30" i="90"/>
  <c r="J31" i="90"/>
  <c r="L32" i="90"/>
  <c r="L34" i="90"/>
  <c r="L36" i="90"/>
  <c r="L41" i="90"/>
  <c r="F35" i="89"/>
  <c r="E17" i="89"/>
  <c r="H45" i="89"/>
  <c r="G35" i="89"/>
  <c r="E35" i="89"/>
  <c r="D35" i="89"/>
  <c r="G28" i="89"/>
  <c r="F28" i="89"/>
  <c r="G27" i="89"/>
  <c r="F27" i="89"/>
  <c r="G20" i="89"/>
  <c r="H20" i="89" s="1"/>
  <c r="E20" i="89"/>
  <c r="G19" i="89"/>
  <c r="H19" i="89" s="1"/>
  <c r="E19" i="89"/>
  <c r="G18" i="89"/>
  <c r="H18" i="89" s="1"/>
  <c r="E18" i="89"/>
  <c r="G17" i="89"/>
  <c r="H17" i="89" s="1"/>
  <c r="E16" i="89"/>
  <c r="E15" i="89"/>
  <c r="B6" i="89"/>
  <c r="F35" i="81"/>
  <c r="G18" i="88"/>
  <c r="G28" i="88"/>
  <c r="G27" i="88"/>
  <c r="F28" i="88"/>
  <c r="F27" i="88"/>
  <c r="F35" i="88"/>
  <c r="D35" i="88"/>
  <c r="E18" i="88"/>
  <c r="H45" i="88"/>
  <c r="G35" i="88"/>
  <c r="E35" i="88"/>
  <c r="G20" i="88"/>
  <c r="H20" i="88" s="1"/>
  <c r="E20" i="88"/>
  <c r="E17" i="88"/>
  <c r="E15" i="88"/>
  <c r="B6" i="88"/>
  <c r="E15" i="81"/>
  <c r="F12" i="46"/>
  <c r="F13" i="46"/>
  <c r="F15" i="46"/>
  <c r="G16" i="150" s="1"/>
  <c r="H16" i="150" s="1"/>
  <c r="F16" i="46"/>
  <c r="F19" i="46"/>
  <c r="G15" i="166" s="1"/>
  <c r="H15" i="166" s="1"/>
  <c r="F21" i="46"/>
  <c r="G15" i="86" s="1"/>
  <c r="H15" i="86" s="1"/>
  <c r="F23" i="46"/>
  <c r="G17" i="95" s="1"/>
  <c r="H17" i="95" s="1"/>
  <c r="F25" i="46"/>
  <c r="F31" i="46"/>
  <c r="F32" i="46"/>
  <c r="F33" i="46"/>
  <c r="F34" i="46"/>
  <c r="F36" i="46"/>
  <c r="G15" i="134" s="1"/>
  <c r="H15" i="134" s="1"/>
  <c r="F43" i="46"/>
  <c r="F44" i="46"/>
  <c r="F45" i="46"/>
  <c r="G16" i="105" s="1"/>
  <c r="H16" i="105" s="1"/>
  <c r="F48" i="46"/>
  <c r="F53" i="46"/>
  <c r="F55" i="46"/>
  <c r="F60" i="46"/>
  <c r="F71" i="46"/>
  <c r="F72" i="46"/>
  <c r="F74" i="46"/>
  <c r="G15" i="123" s="1"/>
  <c r="H15" i="123" s="1"/>
  <c r="F81" i="46"/>
  <c r="F91" i="46"/>
  <c r="F93" i="46"/>
  <c r="F98" i="46"/>
  <c r="F101" i="46"/>
  <c r="F103" i="46"/>
  <c r="F106" i="46"/>
  <c r="G15" i="129" s="1"/>
  <c r="H15" i="129" s="1"/>
  <c r="F107" i="46"/>
  <c r="F115" i="46"/>
  <c r="F117" i="46"/>
  <c r="F124" i="46"/>
  <c r="F130" i="46"/>
  <c r="F131" i="46"/>
  <c r="F132" i="46"/>
  <c r="G15" i="105" s="1"/>
  <c r="H15" i="105" s="1"/>
  <c r="F136" i="46"/>
  <c r="H45" i="87"/>
  <c r="F35" i="87"/>
  <c r="E35" i="87"/>
  <c r="D35" i="87"/>
  <c r="G27" i="87"/>
  <c r="F27" i="87"/>
  <c r="E18" i="87"/>
  <c r="E17" i="87"/>
  <c r="E16" i="87"/>
  <c r="E15" i="87"/>
  <c r="B6" i="87"/>
  <c r="F35" i="86"/>
  <c r="H45" i="86"/>
  <c r="G35" i="86"/>
  <c r="E35" i="86"/>
  <c r="D35" i="86"/>
  <c r="G27" i="86"/>
  <c r="F27" i="86"/>
  <c r="E18" i="86"/>
  <c r="E17" i="86"/>
  <c r="E16" i="86"/>
  <c r="E15" i="86"/>
  <c r="B6" i="86"/>
  <c r="L18" i="85"/>
  <c r="K17" i="85"/>
  <c r="K16" i="85"/>
  <c r="J16" i="85"/>
  <c r="J15" i="85"/>
  <c r="H42" i="85"/>
  <c r="G32" i="85"/>
  <c r="F32" i="85"/>
  <c r="E32" i="85"/>
  <c r="D32" i="85"/>
  <c r="G25" i="85"/>
  <c r="F25" i="85"/>
  <c r="G18" i="85"/>
  <c r="H18" i="85" s="1"/>
  <c r="E18" i="85"/>
  <c r="E17" i="85"/>
  <c r="E16" i="85"/>
  <c r="E15" i="85"/>
  <c r="B6" i="85"/>
  <c r="B54" i="2" l="1"/>
  <c r="B48" i="2"/>
  <c r="G16" i="89"/>
  <c r="H16" i="89" s="1"/>
  <c r="G16" i="174"/>
  <c r="H16" i="174" s="1"/>
  <c r="G16" i="173"/>
  <c r="H16" i="173" s="1"/>
  <c r="G16" i="175"/>
  <c r="H16" i="175" s="1"/>
  <c r="G15" i="172"/>
  <c r="H15" i="172" s="1"/>
  <c r="G15" i="173"/>
  <c r="H15" i="173" s="1"/>
  <c r="G15" i="175"/>
  <c r="H15" i="175" s="1"/>
  <c r="G21" i="173"/>
  <c r="H21" i="173" s="1"/>
  <c r="G20" i="175"/>
  <c r="H20" i="175" s="1"/>
  <c r="D9" i="174"/>
  <c r="D9" i="175"/>
  <c r="B26" i="2"/>
  <c r="D9" i="173"/>
  <c r="B16" i="2"/>
  <c r="B21" i="2"/>
  <c r="D9" i="170"/>
  <c r="D9" i="171"/>
  <c r="D9" i="172"/>
  <c r="G21" i="172"/>
  <c r="H21" i="172" s="1"/>
  <c r="G22" i="172"/>
  <c r="H22" i="172" s="1"/>
  <c r="G16" i="88"/>
  <c r="G16" i="172"/>
  <c r="H16" i="172" s="1"/>
  <c r="D9" i="169"/>
  <c r="D9" i="168"/>
  <c r="G16" i="138"/>
  <c r="H16" i="138" s="1"/>
  <c r="G16" i="167"/>
  <c r="H16" i="167" s="1"/>
  <c r="D9" i="167"/>
  <c r="D9" i="165"/>
  <c r="D9" i="166"/>
  <c r="D9" i="161"/>
  <c r="D9" i="162"/>
  <c r="D9" i="160"/>
  <c r="D9" i="163"/>
  <c r="D9" i="158"/>
  <c r="D9" i="159"/>
  <c r="D9" i="157"/>
  <c r="G16" i="92"/>
  <c r="H16" i="92" s="1"/>
  <c r="G16" i="156"/>
  <c r="H16" i="156" s="1"/>
  <c r="D9" i="156"/>
  <c r="D9" i="155"/>
  <c r="D9" i="154"/>
  <c r="G16" i="123"/>
  <c r="H16" i="123" s="1"/>
  <c r="G17" i="154"/>
  <c r="H17" i="154" s="1"/>
  <c r="G17" i="153"/>
  <c r="H17" i="153" s="1"/>
  <c r="G17" i="155"/>
  <c r="H17" i="155" s="1"/>
  <c r="G15" i="88"/>
  <c r="H15" i="88" s="1"/>
  <c r="G16" i="149"/>
  <c r="H16" i="149" s="1"/>
  <c r="G15" i="150"/>
  <c r="H15" i="150" s="1"/>
  <c r="G16" i="155"/>
  <c r="H16" i="155" s="1"/>
  <c r="G16" i="152"/>
  <c r="H16" i="152" s="1"/>
  <c r="G16" i="154"/>
  <c r="H16" i="154" s="1"/>
  <c r="G16" i="153"/>
  <c r="H16" i="153" s="1"/>
  <c r="D9" i="153"/>
  <c r="D9" i="152"/>
  <c r="D9" i="150"/>
  <c r="D9" i="149"/>
  <c r="D9" i="148"/>
  <c r="G17" i="88"/>
  <c r="H17" i="88" s="1"/>
  <c r="G17" i="149"/>
  <c r="H17" i="149" s="1"/>
  <c r="G20" i="94"/>
  <c r="H20" i="94" s="1"/>
  <c r="D9" i="147"/>
  <c r="D9" i="144"/>
  <c r="D9" i="146"/>
  <c r="D9" i="145"/>
  <c r="D9" i="143"/>
  <c r="D9" i="141"/>
  <c r="D9" i="140"/>
  <c r="G16" i="130"/>
  <c r="H16" i="130" s="1"/>
  <c r="G16" i="140"/>
  <c r="H16" i="140" s="1"/>
  <c r="D9" i="139"/>
  <c r="G15" i="117"/>
  <c r="H15" i="117" s="1"/>
  <c r="G15" i="139"/>
  <c r="H15" i="139" s="1"/>
  <c r="D9" i="138"/>
  <c r="G17" i="108"/>
  <c r="H17" i="108" s="1"/>
  <c r="G16" i="137"/>
  <c r="H16" i="137" s="1"/>
  <c r="D9" i="137"/>
  <c r="D9" i="136"/>
  <c r="D9" i="135"/>
  <c r="G16" i="134"/>
  <c r="H16" i="134" s="1"/>
  <c r="G16" i="135"/>
  <c r="H16" i="135" s="1"/>
  <c r="D9" i="134"/>
  <c r="D9" i="132"/>
  <c r="D9" i="133"/>
  <c r="G15" i="92"/>
  <c r="H15" i="92" s="1"/>
  <c r="G15" i="132"/>
  <c r="H15" i="132" s="1"/>
  <c r="D9" i="131"/>
  <c r="D9" i="130"/>
  <c r="H28" i="95"/>
  <c r="H28" i="103"/>
  <c r="H28" i="110"/>
  <c r="H27" i="111"/>
  <c r="H28" i="112"/>
  <c r="H27" i="97"/>
  <c r="D9" i="129"/>
  <c r="H35" i="98"/>
  <c r="H39" i="98" s="1"/>
  <c r="D9" i="128"/>
  <c r="D9" i="127"/>
  <c r="H35" i="110"/>
  <c r="H39" i="110" s="1"/>
  <c r="H35" i="97"/>
  <c r="H39" i="97" s="1"/>
  <c r="H35" i="94"/>
  <c r="H39" i="94" s="1"/>
  <c r="H35" i="101"/>
  <c r="H39" i="101" s="1"/>
  <c r="H35" i="108"/>
  <c r="H39" i="108" s="1"/>
  <c r="H35" i="95"/>
  <c r="H39" i="95" s="1"/>
  <c r="H35" i="93"/>
  <c r="H39" i="93" s="1"/>
  <c r="H35" i="106"/>
  <c r="H39" i="106" s="1"/>
  <c r="H35" i="96"/>
  <c r="H39" i="96" s="1"/>
  <c r="H35" i="105"/>
  <c r="H39" i="105" s="1"/>
  <c r="H35" i="91"/>
  <c r="H39" i="91" s="1"/>
  <c r="H35" i="102"/>
  <c r="H39" i="102" s="1"/>
  <c r="H35" i="109"/>
  <c r="H39" i="109" s="1"/>
  <c r="H35" i="103"/>
  <c r="H39" i="103" s="1"/>
  <c r="H35" i="104"/>
  <c r="H39" i="104" s="1"/>
  <c r="H35" i="112"/>
  <c r="H39" i="112" s="1"/>
  <c r="H35" i="107"/>
  <c r="H39" i="107" s="1"/>
  <c r="G18" i="99"/>
  <c r="H18" i="99" s="1"/>
  <c r="G17" i="126"/>
  <c r="H17" i="126" s="1"/>
  <c r="G17" i="127"/>
  <c r="H17" i="127" s="1"/>
  <c r="G19" i="99"/>
  <c r="H19" i="99" s="1"/>
  <c r="G16" i="126"/>
  <c r="H16" i="126" s="1"/>
  <c r="G16" i="127"/>
  <c r="H16" i="127" s="1"/>
  <c r="D9" i="126"/>
  <c r="D9" i="125"/>
  <c r="C13" i="73"/>
  <c r="B13" i="73"/>
  <c r="D9" i="123"/>
  <c r="D9" i="124"/>
  <c r="H27" i="107"/>
  <c r="H27" i="96"/>
  <c r="H28" i="105"/>
  <c r="H27" i="112"/>
  <c r="H31" i="112" s="1"/>
  <c r="H27" i="95"/>
  <c r="H31" i="95" s="1"/>
  <c r="H27" i="101"/>
  <c r="H27" i="102"/>
  <c r="H27" i="108"/>
  <c r="H27" i="109"/>
  <c r="H28" i="111"/>
  <c r="H27" i="100"/>
  <c r="H27" i="98"/>
  <c r="H31" i="98" s="1"/>
  <c r="H28" i="101"/>
  <c r="H27" i="110"/>
  <c r="H31" i="110" s="1"/>
  <c r="H28" i="100"/>
  <c r="H28" i="102"/>
  <c r="H31" i="102" s="1"/>
  <c r="H27" i="104"/>
  <c r="H31" i="104" s="1"/>
  <c r="H28" i="108"/>
  <c r="H28" i="109"/>
  <c r="H27" i="106"/>
  <c r="H31" i="106" s="1"/>
  <c r="G17" i="92"/>
  <c r="H17" i="92" s="1"/>
  <c r="G15" i="122"/>
  <c r="H15" i="122" s="1"/>
  <c r="D9" i="121"/>
  <c r="G18" i="121"/>
  <c r="H18" i="121" s="1"/>
  <c r="G18" i="119"/>
  <c r="H18" i="119" s="1"/>
  <c r="G16" i="121"/>
  <c r="H16" i="121" s="1"/>
  <c r="G16" i="119"/>
  <c r="H16" i="119" s="1"/>
  <c r="G17" i="119"/>
  <c r="H17" i="119" s="1"/>
  <c r="G17" i="121"/>
  <c r="H17" i="121" s="1"/>
  <c r="D9" i="120"/>
  <c r="G18" i="120"/>
  <c r="H18" i="88"/>
  <c r="G15" i="81"/>
  <c r="G17" i="120"/>
  <c r="G16" i="120"/>
  <c r="D9" i="119"/>
  <c r="G20" i="112"/>
  <c r="H20" i="112" s="1"/>
  <c r="G20" i="118"/>
  <c r="H20" i="118" s="1"/>
  <c r="G17" i="112"/>
  <c r="H17" i="112" s="1"/>
  <c r="G17" i="118"/>
  <c r="H17" i="118" s="1"/>
  <c r="G19" i="112"/>
  <c r="H19" i="112" s="1"/>
  <c r="G19" i="118"/>
  <c r="H19" i="118" s="1"/>
  <c r="G15" i="108"/>
  <c r="H15" i="108" s="1"/>
  <c r="G21" i="118"/>
  <c r="H21" i="118" s="1"/>
  <c r="G16" i="112"/>
  <c r="H16" i="112" s="1"/>
  <c r="G16" i="118"/>
  <c r="H16" i="118" s="1"/>
  <c r="D9" i="118"/>
  <c r="D9" i="117"/>
  <c r="G15" i="98"/>
  <c r="H15" i="98" s="1"/>
  <c r="G15" i="114"/>
  <c r="H15" i="114" s="1"/>
  <c r="G15" i="112"/>
  <c r="H15" i="112" s="1"/>
  <c r="G17" i="98"/>
  <c r="H17" i="98" s="1"/>
  <c r="G16" i="115"/>
  <c r="H16" i="115" s="1"/>
  <c r="G17" i="114"/>
  <c r="H17" i="114" s="1"/>
  <c r="B102" i="73"/>
  <c r="C102" i="73"/>
  <c r="C101" i="73"/>
  <c r="B101" i="73"/>
  <c r="D9" i="116"/>
  <c r="D9" i="115"/>
  <c r="D9" i="114"/>
  <c r="G16" i="98"/>
  <c r="H16" i="98" s="1"/>
  <c r="G16" i="113"/>
  <c r="H16" i="113" s="1"/>
  <c r="D9" i="113"/>
  <c r="D9" i="112"/>
  <c r="G21" i="111"/>
  <c r="H21" i="111" s="1"/>
  <c r="B32" i="73"/>
  <c r="B71" i="73"/>
  <c r="D9" i="111"/>
  <c r="H35" i="111"/>
  <c r="H39" i="111" s="1"/>
  <c r="G15" i="111"/>
  <c r="H15" i="111" s="1"/>
  <c r="G19" i="111"/>
  <c r="H19" i="111" s="1"/>
  <c r="G18" i="108"/>
  <c r="H18" i="108" s="1"/>
  <c r="G16" i="111"/>
  <c r="H16" i="111" s="1"/>
  <c r="G18" i="111"/>
  <c r="H18" i="111" s="1"/>
  <c r="G17" i="111"/>
  <c r="H17" i="111" s="1"/>
  <c r="B100" i="73"/>
  <c r="D9" i="110"/>
  <c r="G16" i="109"/>
  <c r="H16" i="109" s="1"/>
  <c r="G15" i="110"/>
  <c r="H15" i="110" s="1"/>
  <c r="G16" i="110"/>
  <c r="H16" i="110" s="1"/>
  <c r="G20" i="108"/>
  <c r="H20" i="108" s="1"/>
  <c r="D9" i="109"/>
  <c r="C69" i="73"/>
  <c r="C70" i="73"/>
  <c r="D9" i="108"/>
  <c r="G17" i="109"/>
  <c r="H17" i="109" s="1"/>
  <c r="G15" i="109"/>
  <c r="H15" i="109" s="1"/>
  <c r="G15" i="107"/>
  <c r="H15" i="107" s="1"/>
  <c r="G17" i="107"/>
  <c r="H17" i="107" s="1"/>
  <c r="G16" i="107"/>
  <c r="H16" i="107" s="1"/>
  <c r="B68" i="73"/>
  <c r="D9" i="107"/>
  <c r="G16" i="106"/>
  <c r="H16" i="106" s="1"/>
  <c r="G18" i="107"/>
  <c r="H18" i="107" s="1"/>
  <c r="H31" i="107"/>
  <c r="B108" i="73"/>
  <c r="D9" i="105"/>
  <c r="D9" i="106"/>
  <c r="H15" i="103"/>
  <c r="H27" i="105"/>
  <c r="H31" i="105" s="1"/>
  <c r="H27" i="103"/>
  <c r="H31" i="103" s="1"/>
  <c r="D9" i="104"/>
  <c r="G16" i="103"/>
  <c r="H16" i="103" s="1"/>
  <c r="D9" i="103"/>
  <c r="G17" i="97"/>
  <c r="H17" i="97" s="1"/>
  <c r="F35" i="99"/>
  <c r="H35" i="99" s="1"/>
  <c r="H39" i="99" s="1"/>
  <c r="B97" i="73"/>
  <c r="B88" i="73"/>
  <c r="B98" i="73"/>
  <c r="B89" i="73"/>
  <c r="B99" i="73"/>
  <c r="B93" i="73"/>
  <c r="D9" i="100"/>
  <c r="D9" i="101"/>
  <c r="D9" i="95"/>
  <c r="D9" i="102"/>
  <c r="D9" i="98"/>
  <c r="D9" i="99"/>
  <c r="D9" i="97"/>
  <c r="D9" i="94"/>
  <c r="H16" i="100"/>
  <c r="G16" i="101"/>
  <c r="H16" i="101" s="1"/>
  <c r="H18" i="100"/>
  <c r="H17" i="100"/>
  <c r="H15" i="100"/>
  <c r="F35" i="100"/>
  <c r="H35" i="100" s="1"/>
  <c r="H39" i="100" s="1"/>
  <c r="G17" i="99"/>
  <c r="H17" i="99" s="1"/>
  <c r="G19" i="96"/>
  <c r="H19" i="96" s="1"/>
  <c r="G15" i="99"/>
  <c r="H15" i="99" s="1"/>
  <c r="H27" i="99"/>
  <c r="H28" i="91"/>
  <c r="H31" i="91" s="1"/>
  <c r="H27" i="94"/>
  <c r="H28" i="97"/>
  <c r="H31" i="97" s="1"/>
  <c r="H28" i="99"/>
  <c r="H28" i="89"/>
  <c r="H27" i="93"/>
  <c r="H31" i="93" s="1"/>
  <c r="H28" i="94"/>
  <c r="H28" i="96"/>
  <c r="H31" i="96" s="1"/>
  <c r="G15" i="97"/>
  <c r="H15" i="97" s="1"/>
  <c r="G15" i="96"/>
  <c r="H15" i="96" s="1"/>
  <c r="G18" i="96"/>
  <c r="H18" i="96" s="1"/>
  <c r="G16" i="96"/>
  <c r="H16" i="96" s="1"/>
  <c r="D9" i="96"/>
  <c r="G15" i="91"/>
  <c r="H15" i="91" s="1"/>
  <c r="G17" i="94"/>
  <c r="H17" i="94" s="1"/>
  <c r="G17" i="91"/>
  <c r="H17" i="91" s="1"/>
  <c r="C52" i="73"/>
  <c r="B67" i="73"/>
  <c r="C79" i="73"/>
  <c r="B80" i="73"/>
  <c r="C83" i="73"/>
  <c r="D9" i="86"/>
  <c r="C87" i="73"/>
  <c r="B84" i="73"/>
  <c r="D9" i="93"/>
  <c r="B51" i="73"/>
  <c r="B65" i="73"/>
  <c r="B81" i="73"/>
  <c r="B85" i="73"/>
  <c r="B66" i="73"/>
  <c r="B82" i="73"/>
  <c r="B86" i="73"/>
  <c r="B26" i="73"/>
  <c r="C9" i="73"/>
  <c r="B27" i="73"/>
  <c r="C10" i="73"/>
  <c r="B5" i="73"/>
  <c r="C6" i="73"/>
  <c r="C28" i="73"/>
  <c r="B8" i="73"/>
  <c r="C31" i="73"/>
  <c r="C4" i="73"/>
  <c r="B4" i="73"/>
  <c r="C29" i="73"/>
  <c r="C7" i="73"/>
  <c r="C30" i="73"/>
  <c r="B30" i="73"/>
  <c r="K17" i="92"/>
  <c r="H27" i="92"/>
  <c r="H31" i="92" s="1"/>
  <c r="H35" i="92"/>
  <c r="H39" i="92" s="1"/>
  <c r="B32" i="2"/>
  <c r="D42" i="2"/>
  <c r="E7" i="1"/>
  <c r="D9" i="78"/>
  <c r="D9" i="79"/>
  <c r="G16" i="91"/>
  <c r="H16" i="91" s="1"/>
  <c r="G15" i="89"/>
  <c r="H15" i="89" s="1"/>
  <c r="H27" i="89"/>
  <c r="L13" i="90"/>
  <c r="E16" i="90"/>
  <c r="J16" i="90" s="1"/>
  <c r="J13" i="90" s="1"/>
  <c r="J28" i="90"/>
  <c r="H35" i="89"/>
  <c r="H39" i="89" s="1"/>
  <c r="H35" i="87"/>
  <c r="H39" i="87" s="1"/>
  <c r="H28" i="88"/>
  <c r="H27" i="86"/>
  <c r="H31" i="86" s="1"/>
  <c r="H27" i="87"/>
  <c r="H31" i="87" s="1"/>
  <c r="H25" i="85"/>
  <c r="H28" i="85" s="1"/>
  <c r="H35" i="88"/>
  <c r="H39" i="88" s="1"/>
  <c r="H27" i="88"/>
  <c r="G15" i="87"/>
  <c r="H15" i="87" s="1"/>
  <c r="H35" i="86"/>
  <c r="H39" i="86" s="1"/>
  <c r="H32" i="85"/>
  <c r="H36" i="85" s="1"/>
  <c r="G43" i="169" l="1"/>
  <c r="H43" i="169" s="1"/>
  <c r="G44" i="169"/>
  <c r="H44" i="169" s="1"/>
  <c r="G44" i="157"/>
  <c r="H44" i="157" s="1"/>
  <c r="G43" i="157"/>
  <c r="H43" i="157" s="1"/>
  <c r="G44" i="147"/>
  <c r="H44" i="147" s="1"/>
  <c r="G43" i="147"/>
  <c r="H43" i="147" s="1"/>
  <c r="G43" i="131"/>
  <c r="H43" i="131" s="1"/>
  <c r="G44" i="131"/>
  <c r="H44" i="131" s="1"/>
  <c r="H31" i="111"/>
  <c r="H31" i="109"/>
  <c r="H31" i="99"/>
  <c r="G43" i="129"/>
  <c r="H43" i="129" s="1"/>
  <c r="G44" i="129"/>
  <c r="H44" i="129" s="1"/>
  <c r="G43" i="128"/>
  <c r="H43" i="128" s="1"/>
  <c r="G44" i="128"/>
  <c r="H44" i="128" s="1"/>
  <c r="G43" i="123"/>
  <c r="H43" i="123" s="1"/>
  <c r="G44" i="123"/>
  <c r="H44" i="123" s="1"/>
  <c r="H31" i="100"/>
  <c r="H31" i="101"/>
  <c r="H31" i="108"/>
  <c r="H31" i="94"/>
  <c r="H31" i="89"/>
  <c r="H31" i="88"/>
  <c r="G44" i="81"/>
  <c r="G44" i="78"/>
  <c r="G43" i="77"/>
  <c r="G44" i="77"/>
  <c r="G43" i="79"/>
  <c r="G44" i="79"/>
  <c r="G43" i="78"/>
  <c r="G43" i="81"/>
  <c r="G43" i="93"/>
  <c r="H43" i="93" s="1"/>
  <c r="G44" i="93"/>
  <c r="H44" i="93" s="1"/>
  <c r="D9" i="88"/>
  <c r="D9" i="91"/>
  <c r="D9" i="89"/>
  <c r="D9" i="83"/>
  <c r="D9" i="84"/>
  <c r="D9" i="81"/>
  <c r="D9" i="85"/>
  <c r="D9" i="80"/>
  <c r="D9" i="92"/>
  <c r="H46" i="169" l="1"/>
  <c r="G22" i="169" s="1"/>
  <c r="H22" i="169" s="1"/>
  <c r="H23" i="169" s="1"/>
  <c r="H48" i="169" s="1"/>
  <c r="H46" i="157"/>
  <c r="G22" i="157" s="1"/>
  <c r="H22" i="157" s="1"/>
  <c r="H23" i="157" s="1"/>
  <c r="H48" i="157" s="1"/>
  <c r="D17" i="75" s="1"/>
  <c r="H46" i="147"/>
  <c r="G22" i="147" s="1"/>
  <c r="H22" i="147" s="1"/>
  <c r="H23" i="147" s="1"/>
  <c r="H48" i="147" s="1"/>
  <c r="H46" i="131"/>
  <c r="G22" i="131" s="1"/>
  <c r="H22" i="131" s="1"/>
  <c r="H23" i="131" s="1"/>
  <c r="H48" i="131" s="1"/>
  <c r="H46" i="129"/>
  <c r="G22" i="129" s="1"/>
  <c r="H22" i="129" s="1"/>
  <c r="H23" i="129" s="1"/>
  <c r="H48" i="129" s="1"/>
  <c r="H46" i="128"/>
  <c r="G22" i="128" s="1"/>
  <c r="H22" i="128" s="1"/>
  <c r="H23" i="128" s="1"/>
  <c r="H48" i="128" s="1"/>
  <c r="H46" i="123"/>
  <c r="G22" i="123" s="1"/>
  <c r="H22" i="123" s="1"/>
  <c r="H23" i="123" s="1"/>
  <c r="H48" i="123" s="1"/>
  <c r="H46" i="93"/>
  <c r="G22" i="93" s="1"/>
  <c r="H22" i="93" s="1"/>
  <c r="H23" i="93" s="1"/>
  <c r="H48" i="93" s="1"/>
  <c r="F10" i="51"/>
  <c r="G15" i="85"/>
  <c r="H15" i="85" s="1"/>
  <c r="H42" i="84"/>
  <c r="G32" i="84"/>
  <c r="F32" i="84"/>
  <c r="E32" i="84"/>
  <c r="D32" i="84"/>
  <c r="G25" i="84"/>
  <c r="F25" i="84"/>
  <c r="G18" i="84"/>
  <c r="H18" i="84" s="1"/>
  <c r="E18" i="84"/>
  <c r="E17" i="84"/>
  <c r="E16" i="84"/>
  <c r="E15" i="84"/>
  <c r="B6" i="84"/>
  <c r="E32" i="83"/>
  <c r="F32" i="83"/>
  <c r="G18" i="83"/>
  <c r="H18" i="83" s="1"/>
  <c r="E18" i="83"/>
  <c r="E17" i="83"/>
  <c r="E16" i="83"/>
  <c r="E15" i="83"/>
  <c r="G15" i="83"/>
  <c r="H15" i="83" s="1"/>
  <c r="B25" i="73"/>
  <c r="H42" i="83"/>
  <c r="G32" i="83"/>
  <c r="D32" i="83"/>
  <c r="G25" i="83"/>
  <c r="F25" i="83"/>
  <c r="B6" i="83"/>
  <c r="J47" i="2"/>
  <c r="D36" i="2"/>
  <c r="D37" i="2" s="1"/>
  <c r="H52" i="128" l="1"/>
  <c r="H53" i="128" s="1"/>
  <c r="D18" i="75"/>
  <c r="H53" i="169"/>
  <c r="G44" i="176"/>
  <c r="H44" i="176" s="1"/>
  <c r="G43" i="174"/>
  <c r="H43" i="174" s="1"/>
  <c r="G43" i="176"/>
  <c r="H43" i="176" s="1"/>
  <c r="H46" i="176" s="1"/>
  <c r="G22" i="176" s="1"/>
  <c r="H22" i="176" s="1"/>
  <c r="G43" i="175"/>
  <c r="H43" i="175" s="1"/>
  <c r="G44" i="174"/>
  <c r="H44" i="174" s="1"/>
  <c r="G44" i="175"/>
  <c r="H44" i="175" s="1"/>
  <c r="G45" i="173"/>
  <c r="H45" i="173" s="1"/>
  <c r="G44" i="173"/>
  <c r="H44" i="173" s="1"/>
  <c r="G45" i="172"/>
  <c r="H45" i="172" s="1"/>
  <c r="G44" i="172"/>
  <c r="H44" i="172" s="1"/>
  <c r="G43" i="171"/>
  <c r="H43" i="171" s="1"/>
  <c r="G44" i="171"/>
  <c r="H44" i="171" s="1"/>
  <c r="G43" i="170"/>
  <c r="H43" i="170" s="1"/>
  <c r="G44" i="170"/>
  <c r="H44" i="170" s="1"/>
  <c r="G44" i="168"/>
  <c r="H44" i="168" s="1"/>
  <c r="G43" i="168"/>
  <c r="H43" i="168" s="1"/>
  <c r="G44" i="167"/>
  <c r="H44" i="167" s="1"/>
  <c r="G43" i="167"/>
  <c r="H43" i="167" s="1"/>
  <c r="G44" i="166"/>
  <c r="H44" i="166" s="1"/>
  <c r="G44" i="158"/>
  <c r="H44" i="158" s="1"/>
  <c r="G44" i="160"/>
  <c r="H44" i="160" s="1"/>
  <c r="G44" i="156"/>
  <c r="H44" i="156" s="1"/>
  <c r="G44" i="165"/>
  <c r="H44" i="165" s="1"/>
  <c r="G44" i="161"/>
  <c r="H44" i="161" s="1"/>
  <c r="G43" i="161"/>
  <c r="H43" i="161" s="1"/>
  <c r="G44" i="155"/>
  <c r="H44" i="155" s="1"/>
  <c r="G43" i="166"/>
  <c r="H43" i="166" s="1"/>
  <c r="G44" i="159"/>
  <c r="H44" i="159" s="1"/>
  <c r="G43" i="159"/>
  <c r="H43" i="159" s="1"/>
  <c r="G43" i="156"/>
  <c r="H43" i="156" s="1"/>
  <c r="G43" i="165"/>
  <c r="H43" i="165" s="1"/>
  <c r="G43" i="160"/>
  <c r="H43" i="160" s="1"/>
  <c r="G44" i="153"/>
  <c r="H44" i="153" s="1"/>
  <c r="G44" i="164"/>
  <c r="H44" i="164" s="1"/>
  <c r="G43" i="144"/>
  <c r="H43" i="144" s="1"/>
  <c r="G43" i="153"/>
  <c r="H43" i="153" s="1"/>
  <c r="G43" i="164"/>
  <c r="H43" i="164" s="1"/>
  <c r="G43" i="162"/>
  <c r="H43" i="162" s="1"/>
  <c r="G43" i="155"/>
  <c r="H43" i="155" s="1"/>
  <c r="G43" i="152"/>
  <c r="H43" i="152" s="1"/>
  <c r="G44" i="162"/>
  <c r="H44" i="162" s="1"/>
  <c r="G43" i="163"/>
  <c r="H43" i="163" s="1"/>
  <c r="G43" i="154"/>
  <c r="H43" i="154" s="1"/>
  <c r="G44" i="152"/>
  <c r="H44" i="152" s="1"/>
  <c r="G44" i="163"/>
  <c r="H44" i="163" s="1"/>
  <c r="G43" i="158"/>
  <c r="H43" i="158" s="1"/>
  <c r="G44" i="154"/>
  <c r="H44" i="154" s="1"/>
  <c r="D10" i="75"/>
  <c r="D14" i="75"/>
  <c r="G10" i="1" s="1"/>
  <c r="D15" i="75"/>
  <c r="D16" i="75"/>
  <c r="D13" i="75"/>
  <c r="G8" i="1" s="1"/>
  <c r="D9" i="75"/>
  <c r="G44" i="151"/>
  <c r="H44" i="151" s="1"/>
  <c r="G43" i="151"/>
  <c r="H43" i="151" s="1"/>
  <c r="G44" i="149"/>
  <c r="H44" i="149" s="1"/>
  <c r="G43" i="149"/>
  <c r="H43" i="149" s="1"/>
  <c r="G44" i="150"/>
  <c r="H44" i="150" s="1"/>
  <c r="G43" i="150"/>
  <c r="H43" i="150" s="1"/>
  <c r="G44" i="148"/>
  <c r="H44" i="148" s="1"/>
  <c r="G43" i="148"/>
  <c r="H43" i="148" s="1"/>
  <c r="G44" i="143"/>
  <c r="H44" i="143" s="1"/>
  <c r="G44" i="139"/>
  <c r="H44" i="139" s="1"/>
  <c r="G43" i="135"/>
  <c r="H43" i="135" s="1"/>
  <c r="G44" i="137"/>
  <c r="H44" i="137" s="1"/>
  <c r="G43" i="146"/>
  <c r="H43" i="146" s="1"/>
  <c r="G43" i="142"/>
  <c r="H43" i="142" s="1"/>
  <c r="G44" i="138"/>
  <c r="H44" i="138" s="1"/>
  <c r="G44" i="141"/>
  <c r="H44" i="141" s="1"/>
  <c r="G43" i="145"/>
  <c r="H43" i="145" s="1"/>
  <c r="G43" i="143"/>
  <c r="H43" i="143" s="1"/>
  <c r="G43" i="138"/>
  <c r="H43" i="138" s="1"/>
  <c r="G44" i="146"/>
  <c r="H44" i="146" s="1"/>
  <c r="G44" i="145"/>
  <c r="H44" i="145" s="1"/>
  <c r="G43" i="141"/>
  <c r="H43" i="141" s="1"/>
  <c r="G43" i="137"/>
  <c r="H43" i="137" s="1"/>
  <c r="G44" i="144"/>
  <c r="H44" i="144" s="1"/>
  <c r="G43" i="136"/>
  <c r="H43" i="136" s="1"/>
  <c r="G43" i="139"/>
  <c r="H43" i="139" s="1"/>
  <c r="G43" i="140"/>
  <c r="H43" i="140" s="1"/>
  <c r="G44" i="136"/>
  <c r="H44" i="136" s="1"/>
  <c r="G44" i="140"/>
  <c r="H44" i="140" s="1"/>
  <c r="G44" i="142"/>
  <c r="H44" i="142" s="1"/>
  <c r="G44" i="135"/>
  <c r="H44" i="135" s="1"/>
  <c r="G44" i="134"/>
  <c r="H44" i="134" s="1"/>
  <c r="G44" i="130"/>
  <c r="H44" i="130" s="1"/>
  <c r="G43" i="134"/>
  <c r="H43" i="134" s="1"/>
  <c r="G43" i="130"/>
  <c r="H43" i="130" s="1"/>
  <c r="G44" i="133"/>
  <c r="H44" i="133" s="1"/>
  <c r="G43" i="133"/>
  <c r="H43" i="133" s="1"/>
  <c r="G43" i="132"/>
  <c r="H43" i="132" s="1"/>
  <c r="G44" i="132"/>
  <c r="H44" i="132" s="1"/>
  <c r="G44" i="127"/>
  <c r="H44" i="127" s="1"/>
  <c r="G43" i="127"/>
  <c r="H43" i="127" s="1"/>
  <c r="G44" i="126"/>
  <c r="H44" i="126" s="1"/>
  <c r="G43" i="126"/>
  <c r="H43" i="126" s="1"/>
  <c r="G44" i="124"/>
  <c r="H44" i="124" s="1"/>
  <c r="G44" i="125"/>
  <c r="H44" i="125" s="1"/>
  <c r="G43" i="124"/>
  <c r="H43" i="124" s="1"/>
  <c r="G43" i="125"/>
  <c r="H43" i="125" s="1"/>
  <c r="G44" i="4"/>
  <c r="G43" i="4"/>
  <c r="G43" i="122"/>
  <c r="H43" i="122" s="1"/>
  <c r="G44" i="122"/>
  <c r="H44" i="122" s="1"/>
  <c r="G43" i="120"/>
  <c r="H43" i="120" s="1"/>
  <c r="G44" i="121"/>
  <c r="H44" i="121" s="1"/>
  <c r="G43" i="121"/>
  <c r="H43" i="121" s="1"/>
  <c r="G44" i="120"/>
  <c r="H44" i="120" s="1"/>
  <c r="G43" i="119"/>
  <c r="H43" i="119" s="1"/>
  <c r="G44" i="119"/>
  <c r="H44" i="119" s="1"/>
  <c r="G44" i="118"/>
  <c r="H44" i="118" s="1"/>
  <c r="G43" i="118"/>
  <c r="H43" i="118" s="1"/>
  <c r="G44" i="117"/>
  <c r="H44" i="117" s="1"/>
  <c r="G43" i="117"/>
  <c r="H43" i="117" s="1"/>
  <c r="G44" i="116"/>
  <c r="H44" i="116" s="1"/>
  <c r="G44" i="113"/>
  <c r="H44" i="113" s="1"/>
  <c r="G43" i="116"/>
  <c r="H43" i="116" s="1"/>
  <c r="G44" i="112"/>
  <c r="H44" i="112" s="1"/>
  <c r="G43" i="115"/>
  <c r="H43" i="115" s="1"/>
  <c r="G43" i="112"/>
  <c r="H43" i="112" s="1"/>
  <c r="G44" i="115"/>
  <c r="H44" i="115" s="1"/>
  <c r="G44" i="114"/>
  <c r="H44" i="114" s="1"/>
  <c r="G43" i="114"/>
  <c r="H43" i="114" s="1"/>
  <c r="G43" i="113"/>
  <c r="H43" i="113" s="1"/>
  <c r="G44" i="111"/>
  <c r="H44" i="111" s="1"/>
  <c r="G43" i="111"/>
  <c r="H43" i="111" s="1"/>
  <c r="G43" i="110"/>
  <c r="H43" i="110" s="1"/>
  <c r="G44" i="110"/>
  <c r="H44" i="110" s="1"/>
  <c r="G43" i="109"/>
  <c r="H43" i="109" s="1"/>
  <c r="G44" i="109"/>
  <c r="H44" i="109" s="1"/>
  <c r="G43" i="108"/>
  <c r="H43" i="108" s="1"/>
  <c r="G44" i="108"/>
  <c r="H44" i="108" s="1"/>
  <c r="G43" i="107"/>
  <c r="H43" i="107" s="1"/>
  <c r="G44" i="107"/>
  <c r="H44" i="107" s="1"/>
  <c r="G43" i="105"/>
  <c r="H43" i="105" s="1"/>
  <c r="G44" i="106"/>
  <c r="H44" i="106" s="1"/>
  <c r="G43" i="106"/>
  <c r="H43" i="106" s="1"/>
  <c r="G44" i="105"/>
  <c r="H44" i="105" s="1"/>
  <c r="G43" i="103"/>
  <c r="H43" i="103" s="1"/>
  <c r="G44" i="104"/>
  <c r="H44" i="104" s="1"/>
  <c r="G43" i="104"/>
  <c r="H43" i="104" s="1"/>
  <c r="G44" i="103"/>
  <c r="H44" i="103" s="1"/>
  <c r="G44" i="98"/>
  <c r="H44" i="98" s="1"/>
  <c r="G44" i="99"/>
  <c r="H44" i="99" s="1"/>
  <c r="G44" i="97"/>
  <c r="H44" i="97" s="1"/>
  <c r="G43" i="94"/>
  <c r="H43" i="94" s="1"/>
  <c r="G43" i="100"/>
  <c r="H43" i="100" s="1"/>
  <c r="G43" i="99"/>
  <c r="H43" i="99" s="1"/>
  <c r="G44" i="102"/>
  <c r="H44" i="102" s="1"/>
  <c r="G43" i="98"/>
  <c r="H43" i="98" s="1"/>
  <c r="G44" i="95"/>
  <c r="H44" i="95" s="1"/>
  <c r="G44" i="96"/>
  <c r="H44" i="96" s="1"/>
  <c r="G43" i="97"/>
  <c r="H43" i="97" s="1"/>
  <c r="G44" i="101"/>
  <c r="H44" i="101" s="1"/>
  <c r="G43" i="95"/>
  <c r="H43" i="95" s="1"/>
  <c r="G44" i="100"/>
  <c r="H44" i="100" s="1"/>
  <c r="G43" i="102"/>
  <c r="H43" i="102" s="1"/>
  <c r="G44" i="94"/>
  <c r="H44" i="94" s="1"/>
  <c r="G43" i="101"/>
  <c r="H43" i="101" s="1"/>
  <c r="G43" i="96"/>
  <c r="H43" i="96" s="1"/>
  <c r="G43" i="92"/>
  <c r="G43" i="87"/>
  <c r="G43" i="86"/>
  <c r="G44" i="86"/>
  <c r="G44" i="92"/>
  <c r="G44" i="87"/>
  <c r="G41" i="84"/>
  <c r="B42" i="2"/>
  <c r="B37" i="2"/>
  <c r="G41" i="83"/>
  <c r="G40" i="84"/>
  <c r="G40" i="85"/>
  <c r="G41" i="85"/>
  <c r="G40" i="83"/>
  <c r="H25" i="84"/>
  <c r="H28" i="84" s="1"/>
  <c r="H25" i="83"/>
  <c r="H28" i="83" s="1"/>
  <c r="H32" i="84"/>
  <c r="H36" i="84" s="1"/>
  <c r="G15" i="84"/>
  <c r="H15" i="84" s="1"/>
  <c r="H32" i="83"/>
  <c r="H36" i="83" s="1"/>
  <c r="D32" i="2"/>
  <c r="D31" i="2"/>
  <c r="B30" i="2"/>
  <c r="B4" i="2"/>
  <c r="G17" i="87"/>
  <c r="H17" i="87" s="1"/>
  <c r="G16" i="87"/>
  <c r="H16" i="87" s="1"/>
  <c r="H45" i="81"/>
  <c r="G35" i="81"/>
  <c r="E35" i="81"/>
  <c r="D35" i="81"/>
  <c r="G27" i="81"/>
  <c r="F27" i="81"/>
  <c r="F9" i="81"/>
  <c r="B6" i="81"/>
  <c r="G41" i="80"/>
  <c r="G40" i="80"/>
  <c r="H42" i="80"/>
  <c r="G32" i="80"/>
  <c r="E32" i="80"/>
  <c r="D32" i="80"/>
  <c r="G25" i="80"/>
  <c r="F25" i="80"/>
  <c r="B6" i="80"/>
  <c r="H45" i="79"/>
  <c r="G35" i="79"/>
  <c r="E35" i="79"/>
  <c r="D35" i="79"/>
  <c r="G27" i="79"/>
  <c r="F27" i="79"/>
  <c r="B6" i="79"/>
  <c r="H45" i="78"/>
  <c r="G35" i="78"/>
  <c r="E35" i="78"/>
  <c r="D35" i="78"/>
  <c r="G27" i="78"/>
  <c r="F27" i="78"/>
  <c r="B6" i="78"/>
  <c r="D35" i="77"/>
  <c r="G35" i="77"/>
  <c r="E35" i="77"/>
  <c r="G28" i="77"/>
  <c r="F28" i="77"/>
  <c r="H45" i="77"/>
  <c r="F9" i="77"/>
  <c r="B6" i="77"/>
  <c r="F9" i="4"/>
  <c r="H52" i="129" l="1"/>
  <c r="H53" i="129" s="1"/>
  <c r="H46" i="174"/>
  <c r="G22" i="174" s="1"/>
  <c r="H22" i="174" s="1"/>
  <c r="H23" i="174" s="1"/>
  <c r="H48" i="174" s="1"/>
  <c r="D133" i="75" s="1"/>
  <c r="H46" i="175"/>
  <c r="G22" i="175" s="1"/>
  <c r="H22" i="175" s="1"/>
  <c r="H23" i="175" s="1"/>
  <c r="H48" i="175" s="1"/>
  <c r="H46" i="165"/>
  <c r="G22" i="165" s="1"/>
  <c r="H22" i="165" s="1"/>
  <c r="H23" i="165" s="1"/>
  <c r="H48" i="165" s="1"/>
  <c r="D125" i="75" s="1"/>
  <c r="H46" i="166"/>
  <c r="G22" i="166" s="1"/>
  <c r="H22" i="166" s="1"/>
  <c r="H23" i="166" s="1"/>
  <c r="H48" i="166" s="1"/>
  <c r="D126" i="75" s="1"/>
  <c r="H47" i="173"/>
  <c r="G23" i="173" s="1"/>
  <c r="H23" i="173" s="1"/>
  <c r="H24" i="173" s="1"/>
  <c r="H49" i="173" s="1"/>
  <c r="H46" i="170"/>
  <c r="G22" i="170" s="1"/>
  <c r="H22" i="170" s="1"/>
  <c r="H23" i="170" s="1"/>
  <c r="H48" i="170" s="1"/>
  <c r="H46" i="171"/>
  <c r="G22" i="171" s="1"/>
  <c r="H22" i="171" s="1"/>
  <c r="H23" i="171" s="1"/>
  <c r="H48" i="171" s="1"/>
  <c r="H47" i="172"/>
  <c r="G23" i="172" s="1"/>
  <c r="H23" i="172" s="1"/>
  <c r="H24" i="172" s="1"/>
  <c r="H49" i="172" s="1"/>
  <c r="D132" i="75" s="1"/>
  <c r="H46" i="158"/>
  <c r="G22" i="158" s="1"/>
  <c r="H22" i="158" s="1"/>
  <c r="H46" i="167"/>
  <c r="G22" i="167" s="1"/>
  <c r="H22" i="167" s="1"/>
  <c r="H23" i="167" s="1"/>
  <c r="H48" i="167" s="1"/>
  <c r="D73" i="75" s="1"/>
  <c r="H46" i="156"/>
  <c r="G22" i="156" s="1"/>
  <c r="H22" i="156" s="1"/>
  <c r="H23" i="156" s="1"/>
  <c r="H48" i="156" s="1"/>
  <c r="D60" i="75" s="1"/>
  <c r="H46" i="160"/>
  <c r="G22" i="160" s="1"/>
  <c r="H22" i="160" s="1"/>
  <c r="H46" i="168"/>
  <c r="G22" i="168" s="1"/>
  <c r="H22" i="168" s="1"/>
  <c r="H23" i="168" s="1"/>
  <c r="H48" i="168" s="1"/>
  <c r="G6" i="1"/>
  <c r="H46" i="159"/>
  <c r="G22" i="159" s="1"/>
  <c r="H22" i="159" s="1"/>
  <c r="H46" i="154"/>
  <c r="G22" i="154" s="1"/>
  <c r="H22" i="154" s="1"/>
  <c r="H46" i="155"/>
  <c r="G22" i="155" s="1"/>
  <c r="H22" i="155" s="1"/>
  <c r="H46" i="164"/>
  <c r="G22" i="164" s="1"/>
  <c r="H22" i="164" s="1"/>
  <c r="H23" i="164" s="1"/>
  <c r="H48" i="164" s="1"/>
  <c r="D46" i="75" s="1"/>
  <c r="H46" i="153"/>
  <c r="G22" i="153" s="1"/>
  <c r="H22" i="153" s="1"/>
  <c r="H46" i="163"/>
  <c r="G22" i="163" s="1"/>
  <c r="H22" i="163" s="1"/>
  <c r="H46" i="161"/>
  <c r="G22" i="161" s="1"/>
  <c r="H22" i="161" s="1"/>
  <c r="H46" i="152"/>
  <c r="G22" i="152" s="1"/>
  <c r="H22" i="152" s="1"/>
  <c r="H46" i="162"/>
  <c r="G22" i="162" s="1"/>
  <c r="H22" i="162" s="1"/>
  <c r="H46" i="139"/>
  <c r="G22" i="139" s="1"/>
  <c r="H22" i="139" s="1"/>
  <c r="H23" i="139" s="1"/>
  <c r="H48" i="139" s="1"/>
  <c r="D103" i="75" s="1"/>
  <c r="H46" i="149"/>
  <c r="G22" i="149" s="1"/>
  <c r="H22" i="149" s="1"/>
  <c r="H23" i="149" s="1"/>
  <c r="H48" i="149" s="1"/>
  <c r="H46" i="150"/>
  <c r="G22" i="150" s="1"/>
  <c r="H22" i="150" s="1"/>
  <c r="H23" i="150" s="1"/>
  <c r="H48" i="150" s="1"/>
  <c r="H46" i="151"/>
  <c r="G22" i="151" s="1"/>
  <c r="H22" i="151" s="1"/>
  <c r="H23" i="151" s="1"/>
  <c r="H48" i="151" s="1"/>
  <c r="D45" i="75" s="1"/>
  <c r="H46" i="148"/>
  <c r="G22" i="148" s="1"/>
  <c r="H22" i="148" s="1"/>
  <c r="H23" i="148" s="1"/>
  <c r="H48" i="148" s="1"/>
  <c r="H46" i="143"/>
  <c r="G22" i="143" s="1"/>
  <c r="H22" i="143" s="1"/>
  <c r="H23" i="143" s="1"/>
  <c r="H48" i="143" s="1"/>
  <c r="H46" i="140"/>
  <c r="G22" i="140" s="1"/>
  <c r="H22" i="140" s="1"/>
  <c r="H46" i="136"/>
  <c r="G22" i="136" s="1"/>
  <c r="H22" i="136" s="1"/>
  <c r="H23" i="136" s="1"/>
  <c r="H48" i="136" s="1"/>
  <c r="H46" i="145"/>
  <c r="G22" i="145" s="1"/>
  <c r="H22" i="145" s="1"/>
  <c r="H23" i="145" s="1"/>
  <c r="H48" i="145" s="1"/>
  <c r="H46" i="137"/>
  <c r="G22" i="137" s="1"/>
  <c r="H22" i="137" s="1"/>
  <c r="H23" i="137" s="1"/>
  <c r="H48" i="137" s="1"/>
  <c r="H46" i="141"/>
  <c r="G22" i="141" s="1"/>
  <c r="H22" i="141" s="1"/>
  <c r="H23" i="141" s="1"/>
  <c r="H48" i="141" s="1"/>
  <c r="H46" i="142"/>
  <c r="G22" i="142" s="1"/>
  <c r="H22" i="142" s="1"/>
  <c r="H46" i="146"/>
  <c r="G22" i="146" s="1"/>
  <c r="H22" i="146" s="1"/>
  <c r="H23" i="146" s="1"/>
  <c r="H48" i="146" s="1"/>
  <c r="H46" i="144"/>
  <c r="G22" i="144" s="1"/>
  <c r="H22" i="144" s="1"/>
  <c r="H46" i="138"/>
  <c r="G22" i="138" s="1"/>
  <c r="H22" i="138" s="1"/>
  <c r="H23" i="138" s="1"/>
  <c r="H48" i="138" s="1"/>
  <c r="H46" i="135"/>
  <c r="G22" i="135" s="1"/>
  <c r="H22" i="135" s="1"/>
  <c r="H23" i="135" s="1"/>
  <c r="H48" i="135" s="1"/>
  <c r="H46" i="132"/>
  <c r="G22" i="132" s="1"/>
  <c r="H22" i="132" s="1"/>
  <c r="H23" i="132" s="1"/>
  <c r="H48" i="132" s="1"/>
  <c r="H46" i="133"/>
  <c r="G22" i="133" s="1"/>
  <c r="H22" i="133" s="1"/>
  <c r="H23" i="133" s="1"/>
  <c r="H48" i="133" s="1"/>
  <c r="H46" i="130"/>
  <c r="G22" i="130" s="1"/>
  <c r="H22" i="130" s="1"/>
  <c r="H46" i="134"/>
  <c r="G22" i="134" s="1"/>
  <c r="H22" i="134" s="1"/>
  <c r="H23" i="134" s="1"/>
  <c r="H48" i="134" s="1"/>
  <c r="H46" i="126"/>
  <c r="G22" i="126" s="1"/>
  <c r="H22" i="126" s="1"/>
  <c r="H46" i="127"/>
  <c r="G22" i="127" s="1"/>
  <c r="H22" i="127" s="1"/>
  <c r="H46" i="125"/>
  <c r="G22" i="125" s="1"/>
  <c r="H22" i="125" s="1"/>
  <c r="H23" i="125" s="1"/>
  <c r="H48" i="125" s="1"/>
  <c r="H46" i="124"/>
  <c r="G22" i="124" s="1"/>
  <c r="H22" i="124" s="1"/>
  <c r="H23" i="124" s="1"/>
  <c r="H48" i="124" s="1"/>
  <c r="H46" i="122"/>
  <c r="G22" i="122" s="1"/>
  <c r="H22" i="122" s="1"/>
  <c r="H23" i="122" s="1"/>
  <c r="H48" i="122" s="1"/>
  <c r="H46" i="121"/>
  <c r="G22" i="121" s="1"/>
  <c r="H22" i="121" s="1"/>
  <c r="H23" i="121" s="1"/>
  <c r="H48" i="121" s="1"/>
  <c r="H46" i="119"/>
  <c r="G22" i="119" s="1"/>
  <c r="H22" i="119" s="1"/>
  <c r="H23" i="119" s="1"/>
  <c r="H48" i="119" s="1"/>
  <c r="H46" i="120"/>
  <c r="G22" i="120" s="1"/>
  <c r="H22" i="120" s="1"/>
  <c r="H46" i="117"/>
  <c r="G22" i="117" s="1"/>
  <c r="H22" i="117" s="1"/>
  <c r="H23" i="117" s="1"/>
  <c r="H48" i="117" s="1"/>
  <c r="H46" i="113"/>
  <c r="G22" i="113" s="1"/>
  <c r="H22" i="113" s="1"/>
  <c r="H23" i="113" s="1"/>
  <c r="H48" i="113" s="1"/>
  <c r="H46" i="118"/>
  <c r="G22" i="118" s="1"/>
  <c r="H22" i="118" s="1"/>
  <c r="H23" i="118" s="1"/>
  <c r="H48" i="118" s="1"/>
  <c r="H46" i="116"/>
  <c r="G22" i="116" s="1"/>
  <c r="H22" i="116" s="1"/>
  <c r="H23" i="116" s="1"/>
  <c r="H48" i="116" s="1"/>
  <c r="H46" i="114"/>
  <c r="G22" i="114" s="1"/>
  <c r="H22" i="114" s="1"/>
  <c r="H23" i="114" s="1"/>
  <c r="H48" i="114" s="1"/>
  <c r="H46" i="112"/>
  <c r="G22" i="112" s="1"/>
  <c r="H22" i="112" s="1"/>
  <c r="H23" i="112" s="1"/>
  <c r="H48" i="112" s="1"/>
  <c r="H46" i="115"/>
  <c r="G22" i="115" s="1"/>
  <c r="H22" i="115" s="1"/>
  <c r="H23" i="115" s="1"/>
  <c r="H48" i="115" s="1"/>
  <c r="H46" i="111"/>
  <c r="G22" i="111" s="1"/>
  <c r="H22" i="111" s="1"/>
  <c r="H23" i="111" s="1"/>
  <c r="H48" i="111" s="1"/>
  <c r="H46" i="110"/>
  <c r="G22" i="110" s="1"/>
  <c r="H22" i="110" s="1"/>
  <c r="H23" i="110" s="1"/>
  <c r="H48" i="110" s="1"/>
  <c r="H46" i="109"/>
  <c r="G22" i="109" s="1"/>
  <c r="H22" i="109" s="1"/>
  <c r="H23" i="109" s="1"/>
  <c r="H48" i="109" s="1"/>
  <c r="H46" i="108"/>
  <c r="G22" i="108" s="1"/>
  <c r="H22" i="108" s="1"/>
  <c r="H23" i="108" s="1"/>
  <c r="H48" i="108" s="1"/>
  <c r="H46" i="107"/>
  <c r="G22" i="107" s="1"/>
  <c r="H22" i="107" s="1"/>
  <c r="H23" i="107" s="1"/>
  <c r="H48" i="107" s="1"/>
  <c r="H46" i="104"/>
  <c r="G22" i="104" s="1"/>
  <c r="H22" i="104" s="1"/>
  <c r="H23" i="104" s="1"/>
  <c r="H48" i="104" s="1"/>
  <c r="H46" i="105"/>
  <c r="G22" i="105" s="1"/>
  <c r="H22" i="105" s="1"/>
  <c r="H23" i="105" s="1"/>
  <c r="H48" i="105" s="1"/>
  <c r="H46" i="103"/>
  <c r="G22" i="103" s="1"/>
  <c r="H22" i="103" s="1"/>
  <c r="H23" i="103" s="1"/>
  <c r="H48" i="103" s="1"/>
  <c r="H46" i="106"/>
  <c r="G22" i="106" s="1"/>
  <c r="H22" i="106" s="1"/>
  <c r="H23" i="106" s="1"/>
  <c r="H48" i="106" s="1"/>
  <c r="H46" i="98"/>
  <c r="G22" i="98" s="1"/>
  <c r="H22" i="98" s="1"/>
  <c r="H23" i="98" s="1"/>
  <c r="H48" i="98" s="1"/>
  <c r="H46" i="96"/>
  <c r="G22" i="96" s="1"/>
  <c r="H22" i="96" s="1"/>
  <c r="H46" i="99"/>
  <c r="G22" i="99" s="1"/>
  <c r="H22" i="99" s="1"/>
  <c r="H46" i="102"/>
  <c r="G22" i="102" s="1"/>
  <c r="H22" i="102" s="1"/>
  <c r="H46" i="97"/>
  <c r="G22" i="97" s="1"/>
  <c r="H22" i="97" s="1"/>
  <c r="H46" i="95"/>
  <c r="G22" i="95" s="1"/>
  <c r="H22" i="95" s="1"/>
  <c r="H46" i="100"/>
  <c r="G22" i="100" s="1"/>
  <c r="H22" i="100" s="1"/>
  <c r="H23" i="100" s="1"/>
  <c r="H48" i="100" s="1"/>
  <c r="H46" i="94"/>
  <c r="G22" i="94" s="1"/>
  <c r="H22" i="94" s="1"/>
  <c r="H46" i="101"/>
  <c r="G22" i="101" s="1"/>
  <c r="H22" i="101" s="1"/>
  <c r="H23" i="101" s="1"/>
  <c r="H48" i="101" s="1"/>
  <c r="H27" i="79"/>
  <c r="H31" i="79" s="1"/>
  <c r="D9" i="87"/>
  <c r="H25" i="80"/>
  <c r="H28" i="80" s="1"/>
  <c r="H27" i="78"/>
  <c r="H31" i="78" s="1"/>
  <c r="H27" i="81"/>
  <c r="H31" i="81" s="1"/>
  <c r="G18" i="86"/>
  <c r="H18" i="86" s="1"/>
  <c r="G18" i="87"/>
  <c r="H18" i="87" s="1"/>
  <c r="G16" i="85"/>
  <c r="H16" i="85" s="1"/>
  <c r="G17" i="86"/>
  <c r="H17" i="86" s="1"/>
  <c r="G17" i="85"/>
  <c r="H17" i="85" s="1"/>
  <c r="G16" i="86"/>
  <c r="H16" i="86" s="1"/>
  <c r="G17" i="84"/>
  <c r="H17" i="84" s="1"/>
  <c r="G17" i="83"/>
  <c r="H17" i="83" s="1"/>
  <c r="H15" i="81"/>
  <c r="G16" i="83"/>
  <c r="H16" i="83" s="1"/>
  <c r="G16" i="84"/>
  <c r="H16" i="84" s="1"/>
  <c r="H35" i="81"/>
  <c r="H39" i="81" s="1"/>
  <c r="H32" i="80"/>
  <c r="H36" i="80" s="1"/>
  <c r="H35" i="79"/>
  <c r="H39" i="79" s="1"/>
  <c r="H35" i="78"/>
  <c r="H39" i="78" s="1"/>
  <c r="H35" i="77"/>
  <c r="H39" i="77" s="1"/>
  <c r="H28" i="77"/>
  <c r="H31" i="77" s="1"/>
  <c r="H31" i="73"/>
  <c r="F13" i="51"/>
  <c r="F6" i="51"/>
  <c r="D134" i="75" l="1"/>
  <c r="H52" i="175"/>
  <c r="H53" i="175" s="1"/>
  <c r="D136" i="75"/>
  <c r="H54" i="173"/>
  <c r="D131" i="75"/>
  <c r="H52" i="171"/>
  <c r="H53" i="171" s="1"/>
  <c r="D19" i="75"/>
  <c r="G7" i="1" s="1"/>
  <c r="D68" i="75"/>
  <c r="D70" i="75"/>
  <c r="D12" i="75"/>
  <c r="D116" i="75"/>
  <c r="D69" i="75"/>
  <c r="D85" i="75"/>
  <c r="D82" i="75"/>
  <c r="D99" i="75"/>
  <c r="D102" i="75"/>
  <c r="D41" i="75"/>
  <c r="D42" i="75"/>
  <c r="D117" i="75"/>
  <c r="D71" i="75"/>
  <c r="D37" i="75"/>
  <c r="D83" i="75"/>
  <c r="D96" i="75"/>
  <c r="D88" i="75"/>
  <c r="D32" i="75"/>
  <c r="D55" i="75"/>
  <c r="D44" i="75"/>
  <c r="D97" i="75"/>
  <c r="D31" i="75"/>
  <c r="D33" i="75"/>
  <c r="D36" i="75"/>
  <c r="D72" i="75"/>
  <c r="D43" i="75"/>
  <c r="D100" i="75"/>
  <c r="D98" i="75"/>
  <c r="D107" i="75"/>
  <c r="G9" i="1" s="1"/>
  <c r="D87" i="75"/>
  <c r="D34" i="75"/>
  <c r="D35" i="75"/>
  <c r="D40" i="75"/>
  <c r="D67" i="75"/>
  <c r="D101" i="75"/>
  <c r="D11" i="75"/>
  <c r="D38" i="75"/>
  <c r="D39" i="75"/>
  <c r="D10" i="2"/>
  <c r="F78" i="51"/>
  <c r="F77" i="51"/>
  <c r="F76" i="51"/>
  <c r="F75" i="51"/>
  <c r="F74" i="51"/>
  <c r="F73" i="51"/>
  <c r="F72" i="51"/>
  <c r="F71" i="51"/>
  <c r="F70" i="51"/>
  <c r="F69" i="51"/>
  <c r="F68" i="51"/>
  <c r="F67" i="51"/>
  <c r="F66" i="51"/>
  <c r="F65" i="51"/>
  <c r="F64" i="51"/>
  <c r="F63" i="51"/>
  <c r="F62" i="51"/>
  <c r="F61" i="51"/>
  <c r="F60" i="51"/>
  <c r="F59" i="51"/>
  <c r="F58" i="51"/>
  <c r="F57" i="51"/>
  <c r="F56" i="51"/>
  <c r="F55" i="51"/>
  <c r="F54" i="51"/>
  <c r="F53" i="51"/>
  <c r="F52" i="51"/>
  <c r="F51" i="51"/>
  <c r="F50" i="51"/>
  <c r="F49" i="51"/>
  <c r="F48" i="51"/>
  <c r="F47" i="51"/>
  <c r="F46" i="51"/>
  <c r="F45" i="51"/>
  <c r="F44" i="51"/>
  <c r="F43" i="51"/>
  <c r="F42" i="51"/>
  <c r="F41" i="51"/>
  <c r="F40" i="51"/>
  <c r="F39" i="51"/>
  <c r="F38" i="51"/>
  <c r="F37" i="51"/>
  <c r="F36" i="51"/>
  <c r="F35" i="51"/>
  <c r="F34" i="51"/>
  <c r="F33" i="51"/>
  <c r="F32" i="51"/>
  <c r="F31" i="51"/>
  <c r="F30" i="51"/>
  <c r="F29" i="51"/>
  <c r="F28" i="51"/>
  <c r="F27" i="51"/>
  <c r="F26" i="51"/>
  <c r="F25" i="51"/>
  <c r="F24" i="51"/>
  <c r="F23" i="51"/>
  <c r="F22" i="51"/>
  <c r="F21" i="51"/>
  <c r="F20" i="51"/>
  <c r="F19" i="51"/>
  <c r="F18" i="51"/>
  <c r="F17" i="51"/>
  <c r="F16" i="51"/>
  <c r="F15" i="51"/>
  <c r="F14" i="51"/>
  <c r="H27" i="4"/>
  <c r="H31" i="4" s="1"/>
  <c r="H45" i="4"/>
  <c r="B6" i="4"/>
  <c r="D2" i="2"/>
  <c r="H39" i="4"/>
  <c r="H52" i="104" l="1"/>
  <c r="H53" i="104" s="1"/>
  <c r="H52" i="170"/>
  <c r="H53" i="170" s="1"/>
  <c r="D11" i="2"/>
  <c r="F8" i="1" s="1"/>
  <c r="B11" i="2"/>
  <c r="F7" i="1"/>
  <c r="D44" i="92"/>
  <c r="F44" i="92" s="1"/>
  <c r="H44" i="92" s="1"/>
  <c r="D44" i="91"/>
  <c r="F44" i="91" s="1"/>
  <c r="D43" i="87"/>
  <c r="F43" i="87" s="1"/>
  <c r="H43" i="87" s="1"/>
  <c r="D43" i="91"/>
  <c r="F43" i="91" s="1"/>
  <c r="D43" i="86"/>
  <c r="F43" i="86" s="1"/>
  <c r="H43" i="86" s="1"/>
  <c r="D43" i="88"/>
  <c r="F43" i="88" s="1"/>
  <c r="D43" i="92"/>
  <c r="F43" i="92" s="1"/>
  <c r="H43" i="92" s="1"/>
  <c r="D43" i="89"/>
  <c r="F43" i="89" s="1"/>
  <c r="D40" i="85"/>
  <c r="F40" i="85" s="1"/>
  <c r="H40" i="85" s="1"/>
  <c r="D44" i="86"/>
  <c r="F44" i="86" s="1"/>
  <c r="H44" i="86" s="1"/>
  <c r="D44" i="89"/>
  <c r="F44" i="89" s="1"/>
  <c r="D41" i="85"/>
  <c r="F41" i="85" s="1"/>
  <c r="H41" i="85" s="1"/>
  <c r="D44" i="87"/>
  <c r="F44" i="87" s="1"/>
  <c r="H44" i="87" s="1"/>
  <c r="D44" i="88"/>
  <c r="F44" i="88" s="1"/>
  <c r="D40" i="84"/>
  <c r="F40" i="84" s="1"/>
  <c r="H40" i="84" s="1"/>
  <c r="D40" i="83"/>
  <c r="F40" i="83" s="1"/>
  <c r="H40" i="83" s="1"/>
  <c r="D43" i="78"/>
  <c r="F43" i="78" s="1"/>
  <c r="H43" i="78" s="1"/>
  <c r="D40" i="80"/>
  <c r="F40" i="80" s="1"/>
  <c r="H40" i="80" s="1"/>
  <c r="D43" i="77"/>
  <c r="F43" i="77" s="1"/>
  <c r="H43" i="77" s="1"/>
  <c r="D43" i="81"/>
  <c r="F43" i="81" s="1"/>
  <c r="H43" i="81" s="1"/>
  <c r="D43" i="79"/>
  <c r="F43" i="79" s="1"/>
  <c r="H43" i="79" s="1"/>
  <c r="D43" i="4"/>
  <c r="F43" i="4" s="1"/>
  <c r="H43" i="4" s="1"/>
  <c r="D44" i="4"/>
  <c r="F44" i="4" s="1"/>
  <c r="H44" i="4" s="1"/>
  <c r="D41" i="84"/>
  <c r="F41" i="84" s="1"/>
  <c r="H41" i="84" s="1"/>
  <c r="D41" i="83"/>
  <c r="F41" i="83" s="1"/>
  <c r="H41" i="83" s="1"/>
  <c r="D44" i="78"/>
  <c r="F44" i="78" s="1"/>
  <c r="H44" i="78" s="1"/>
  <c r="D41" i="80"/>
  <c r="F41" i="80" s="1"/>
  <c r="H41" i="80" s="1"/>
  <c r="D44" i="77"/>
  <c r="F44" i="77" s="1"/>
  <c r="H44" i="77" s="1"/>
  <c r="D44" i="79"/>
  <c r="F44" i="79" s="1"/>
  <c r="H44" i="79" s="1"/>
  <c r="D44" i="81"/>
  <c r="F44" i="81" s="1"/>
  <c r="H44" i="81" s="1"/>
  <c r="D9" i="77"/>
  <c r="D9" i="4"/>
  <c r="F17" i="1" l="1"/>
  <c r="F10" i="1"/>
  <c r="F9" i="1"/>
  <c r="F6" i="1"/>
  <c r="F14" i="1"/>
  <c r="F13" i="1"/>
  <c r="F15" i="1"/>
  <c r="F12" i="1"/>
  <c r="H46" i="86"/>
  <c r="G22" i="86" s="1"/>
  <c r="H22" i="86" s="1"/>
  <c r="H23" i="86" s="1"/>
  <c r="H48" i="86" s="1"/>
  <c r="H43" i="85"/>
  <c r="G20" i="85" s="1"/>
  <c r="H20" i="85" s="1"/>
  <c r="H21" i="85" s="1"/>
  <c r="H45" i="85" s="1"/>
  <c r="H46" i="87"/>
  <c r="G22" i="87" s="1"/>
  <c r="H22" i="87" s="1"/>
  <c r="H23" i="87" s="1"/>
  <c r="H48" i="87" s="1"/>
  <c r="H46" i="92"/>
  <c r="G22" i="92" s="1"/>
  <c r="H22" i="92" s="1"/>
  <c r="H23" i="92" s="1"/>
  <c r="H48" i="92" s="1"/>
  <c r="H43" i="84"/>
  <c r="G20" i="84" s="1"/>
  <c r="H20" i="84" s="1"/>
  <c r="H21" i="84" s="1"/>
  <c r="H45" i="84" s="1"/>
  <c r="H46" i="4"/>
  <c r="G22" i="4" s="1"/>
  <c r="H22" i="4" s="1"/>
  <c r="H23" i="4" s="1"/>
  <c r="H48" i="4" s="1"/>
  <c r="H46" i="79"/>
  <c r="G22" i="79" s="1"/>
  <c r="H22" i="79" s="1"/>
  <c r="H23" i="79" s="1"/>
  <c r="H48" i="79" s="1"/>
  <c r="H46" i="77"/>
  <c r="G23" i="77" s="1"/>
  <c r="H23" i="77" s="1"/>
  <c r="H24" i="77" s="1"/>
  <c r="H48" i="77" s="1"/>
  <c r="H46" i="78"/>
  <c r="G22" i="78" s="1"/>
  <c r="H22" i="78" s="1"/>
  <c r="H23" i="78" s="1"/>
  <c r="H48" i="78" s="1"/>
  <c r="H43" i="80"/>
  <c r="G20" i="80" s="1"/>
  <c r="H20" i="80" s="1"/>
  <c r="H21" i="80" s="1"/>
  <c r="H45" i="80" s="1"/>
  <c r="H43" i="83"/>
  <c r="G20" i="83" s="1"/>
  <c r="H20" i="83" s="1"/>
  <c r="H21" i="83" s="1"/>
  <c r="H45" i="83" s="1"/>
  <c r="H46" i="81"/>
  <c r="G22" i="81" s="1"/>
  <c r="H22" i="81" s="1"/>
  <c r="H23" i="81" s="1"/>
  <c r="H48" i="81" s="1"/>
  <c r="D30" i="75" l="1"/>
  <c r="D27" i="75"/>
  <c r="D28" i="75"/>
  <c r="D29" i="75"/>
  <c r="D26" i="75"/>
  <c r="D25" i="75"/>
  <c r="D8" i="75"/>
  <c r="D7" i="75"/>
  <c r="H5" i="1"/>
  <c r="D3" i="75"/>
  <c r="D5" i="75"/>
  <c r="D4" i="75"/>
  <c r="D6" i="75"/>
  <c r="G44" i="91" l="1"/>
  <c r="H44" i="91" s="1"/>
  <c r="G44" i="88"/>
  <c r="H44" i="88" s="1"/>
  <c r="G44" i="89"/>
  <c r="H44" i="89" s="1"/>
  <c r="G43" i="89"/>
  <c r="H43" i="89" s="1"/>
  <c r="G43" i="88"/>
  <c r="H43" i="88" s="1"/>
  <c r="G43" i="91"/>
  <c r="H43" i="91" s="1"/>
  <c r="H46" i="89" l="1"/>
  <c r="G22" i="89" s="1"/>
  <c r="H22" i="89" s="1"/>
  <c r="H23" i="89" s="1"/>
  <c r="H48" i="89" s="1"/>
  <c r="H46" i="88"/>
  <c r="G22" i="88" s="1"/>
  <c r="H22" i="88" s="1"/>
  <c r="H46" i="91"/>
  <c r="G22" i="91" s="1"/>
  <c r="H22" i="91" s="1"/>
  <c r="H23" i="91" s="1"/>
  <c r="H48" i="91" s="1"/>
  <c r="D66" i="75" l="1"/>
  <c r="D49" i="75"/>
  <c r="G13" i="1" s="1"/>
  <c r="H13" i="1" s="1"/>
  <c r="G16" i="95"/>
  <c r="H16" i="95" s="1"/>
  <c r="G15" i="95"/>
  <c r="H15" i="95" s="1"/>
  <c r="H19" i="88"/>
  <c r="G19" i="95"/>
  <c r="H19" i="95" s="1"/>
  <c r="G16" i="99"/>
  <c r="H16" i="99" s="1"/>
  <c r="H23" i="99" s="1"/>
  <c r="H48" i="99" s="1"/>
  <c r="H16" i="88"/>
  <c r="G16" i="94"/>
  <c r="H16" i="94" s="1"/>
  <c r="G18" i="94"/>
  <c r="H18" i="94" s="1"/>
  <c r="G15" i="102"/>
  <c r="H15" i="102" s="1"/>
  <c r="H23" i="102" s="1"/>
  <c r="H48" i="102" s="1"/>
  <c r="G18" i="95"/>
  <c r="H18" i="95" s="1"/>
  <c r="G19" i="94"/>
  <c r="H19" i="94" s="1"/>
  <c r="G17" i="96"/>
  <c r="H17" i="96" s="1"/>
  <c r="H23" i="96" s="1"/>
  <c r="H48" i="96" s="1"/>
  <c r="G16" i="97"/>
  <c r="H16" i="97" s="1"/>
  <c r="H23" i="97" s="1"/>
  <c r="H48" i="97" s="1"/>
  <c r="E17" i="96"/>
  <c r="E19" i="94"/>
  <c r="E18" i="95"/>
  <c r="E15" i="94"/>
  <c r="E15" i="102"/>
  <c r="E15" i="95"/>
  <c r="E18" i="94"/>
  <c r="E16" i="95"/>
  <c r="E16" i="88"/>
  <c r="E19" i="88"/>
  <c r="E16" i="97"/>
  <c r="E16" i="94"/>
  <c r="E16" i="99"/>
  <c r="E19" i="95"/>
  <c r="G15" i="94"/>
  <c r="H15" i="94" s="1"/>
  <c r="D80" i="75" l="1"/>
  <c r="D86" i="75"/>
  <c r="D81" i="75"/>
  <c r="D84" i="75"/>
  <c r="H23" i="88"/>
  <c r="H48" i="88" s="1"/>
  <c r="H23" i="95"/>
  <c r="H48" i="95" s="1"/>
  <c r="H23" i="94"/>
  <c r="H48" i="94" s="1"/>
  <c r="D79" i="75" l="1"/>
  <c r="D78" i="75"/>
  <c r="D50" i="75"/>
  <c r="C47" i="46" s="1"/>
  <c r="F47" i="46" s="1"/>
  <c r="G15" i="176" s="1"/>
  <c r="H15" i="176" s="1"/>
  <c r="H23" i="176" s="1"/>
  <c r="H48" i="176" s="1"/>
  <c r="G15" i="140"/>
  <c r="H15" i="140" s="1"/>
  <c r="H23" i="140" s="1"/>
  <c r="H48" i="140" s="1"/>
  <c r="G15" i="127"/>
  <c r="H15" i="127" s="1"/>
  <c r="H23" i="127" s="1"/>
  <c r="H48" i="127" s="1"/>
  <c r="H16" i="120"/>
  <c r="H35" i="120"/>
  <c r="H39" i="120" s="1"/>
  <c r="H17" i="120"/>
  <c r="H18" i="120"/>
  <c r="D92" i="75" l="1"/>
  <c r="G17" i="1" s="1"/>
  <c r="H17" i="1" s="1"/>
  <c r="H16" i="1" s="1"/>
  <c r="G16" i="163"/>
  <c r="H16" i="163" s="1"/>
  <c r="H23" i="163" s="1"/>
  <c r="H48" i="163" s="1"/>
  <c r="D124" i="75" s="1"/>
  <c r="G16" i="161"/>
  <c r="H16" i="161" s="1"/>
  <c r="H23" i="161" s="1"/>
  <c r="H48" i="161" s="1"/>
  <c r="D122" i="75" s="1"/>
  <c r="G16" i="162"/>
  <c r="H16" i="162" s="1"/>
  <c r="H23" i="162" s="1"/>
  <c r="H48" i="162" s="1"/>
  <c r="D123" i="75" s="1"/>
  <c r="G16" i="144"/>
  <c r="H16" i="144" s="1"/>
  <c r="H23" i="144" s="1"/>
  <c r="H48" i="144" s="1"/>
  <c r="D118" i="75" s="1"/>
  <c r="G16" i="160"/>
  <c r="H16" i="160" s="1"/>
  <c r="H23" i="160" s="1"/>
  <c r="H48" i="160" s="1"/>
  <c r="D121" i="75" s="1"/>
  <c r="G16" i="158"/>
  <c r="H16" i="158" s="1"/>
  <c r="H23" i="158" s="1"/>
  <c r="H48" i="158" s="1"/>
  <c r="D119" i="75" s="1"/>
  <c r="G16" i="159"/>
  <c r="H16" i="159" s="1"/>
  <c r="H23" i="159" s="1"/>
  <c r="H48" i="159" s="1"/>
  <c r="D120" i="75" s="1"/>
  <c r="G15" i="142"/>
  <c r="H15" i="142" s="1"/>
  <c r="H23" i="142" s="1"/>
  <c r="H48" i="142" s="1"/>
  <c r="D91" i="75" s="1"/>
  <c r="G15" i="1" s="1"/>
  <c r="H15" i="1" s="1"/>
  <c r="G15" i="153"/>
  <c r="H15" i="153" s="1"/>
  <c r="H23" i="153" s="1"/>
  <c r="H48" i="153" s="1"/>
  <c r="D57" i="75" s="1"/>
  <c r="G15" i="152"/>
  <c r="H15" i="152" s="1"/>
  <c r="H23" i="152" s="1"/>
  <c r="H48" i="152" s="1"/>
  <c r="D56" i="75" s="1"/>
  <c r="G15" i="155"/>
  <c r="H15" i="155" s="1"/>
  <c r="H23" i="155" s="1"/>
  <c r="H48" i="155" s="1"/>
  <c r="D59" i="75" s="1"/>
  <c r="G15" i="154"/>
  <c r="H15" i="154" s="1"/>
  <c r="H23" i="154" s="1"/>
  <c r="H48" i="154" s="1"/>
  <c r="D58" i="75" s="1"/>
  <c r="G15" i="120"/>
  <c r="H15" i="120" s="1"/>
  <c r="H23" i="120" s="1"/>
  <c r="H48" i="120" s="1"/>
  <c r="G15" i="126"/>
  <c r="H15" i="126" s="1"/>
  <c r="H23" i="126" s="1"/>
  <c r="H48" i="126" s="1"/>
  <c r="D89" i="75" s="1"/>
  <c r="G15" i="130"/>
  <c r="H15" i="130" s="1"/>
  <c r="H23" i="130" s="1"/>
  <c r="H48" i="130" s="1"/>
  <c r="D53" i="75" s="1"/>
  <c r="D90" i="75"/>
  <c r="D54" i="75"/>
  <c r="H52" i="176" l="1"/>
  <c r="H53" i="176" s="1"/>
  <c r="D52" i="75"/>
  <c r="G12" i="1" s="1"/>
  <c r="H12" i="1" s="1"/>
  <c r="G14" i="1"/>
  <c r="H14" i="1" s="1"/>
  <c r="H11" i="1" l="1"/>
  <c r="H18" i="1" s="1"/>
  <c r="J11" i="90" l="1"/>
  <c r="J25" i="90" l="1"/>
  <c r="I25" i="90" s="1"/>
  <c r="J22" i="90"/>
  <c r="I22" i="90" s="1"/>
  <c r="J36" i="90"/>
  <c r="J27" i="90"/>
  <c r="I27" i="90" s="1"/>
  <c r="I14" i="90"/>
  <c r="J26" i="90"/>
  <c r="I26" i="90" s="1"/>
  <c r="I30" i="90"/>
  <c r="J23" i="90"/>
  <c r="I23" i="90" s="1"/>
  <c r="L23" i="90" s="1"/>
  <c r="I29" i="90"/>
  <c r="I16" i="90"/>
  <c r="J19" i="90"/>
  <c r="I19" i="90" s="1"/>
  <c r="J24" i="90"/>
  <c r="I24" i="90" s="1"/>
  <c r="J34" i="90"/>
  <c r="J20" i="90"/>
  <c r="I20" i="90" s="1"/>
  <c r="I15" i="90"/>
  <c r="J18" i="90"/>
  <c r="J21" i="90"/>
  <c r="I21" i="90" s="1"/>
  <c r="I31" i="90"/>
  <c r="H22" i="1"/>
  <c r="H23" i="1" s="1"/>
  <c r="I13" i="90" l="1"/>
  <c r="I28" i="90"/>
  <c r="L29" i="90"/>
  <c r="J17" i="90"/>
  <c r="J32" i="90" s="1"/>
  <c r="I18" i="90"/>
  <c r="L18" i="90" l="1"/>
  <c r="I17" i="90"/>
  <c r="I32" i="90" s="1"/>
  <c r="I38" i="90" s="1"/>
  <c r="M32" i="90"/>
  <c r="J38" i="90"/>
  <c r="H52" i="174" l="1"/>
  <c r="H53" i="174" s="1"/>
</calcChain>
</file>

<file path=xl/sharedStrings.xml><?xml version="1.0" encoding="utf-8"?>
<sst xmlns="http://schemas.openxmlformats.org/spreadsheetml/2006/main" count="6489" uniqueCount="711">
  <si>
    <t xml:space="preserve">ALCALDÍA MUNICIPAL DE RIOBLANCO TOLIMA
NIT. 890.702.040 – 7
SECRETARIA DE PLANEACION E INFRAESTRUCTURA
</t>
  </si>
  <si>
    <t>PRESUPUESTO DE OBRA</t>
  </si>
  <si>
    <t xml:space="preserve">OBJETO: </t>
  </si>
  <si>
    <t>ITEM</t>
  </si>
  <si>
    <t>DESCRIPCION</t>
  </si>
  <si>
    <t>UND</t>
  </si>
  <si>
    <t>CANT.</t>
  </si>
  <si>
    <t>VR. UNIT</t>
  </si>
  <si>
    <t>VR.TOTAL</t>
  </si>
  <si>
    <t>M2</t>
  </si>
  <si>
    <t>M3</t>
  </si>
  <si>
    <t>KG</t>
  </si>
  <si>
    <t>MEMORIA DE CANTIDADES DE OBRA</t>
  </si>
  <si>
    <t>PROYECTO:</t>
  </si>
  <si>
    <t>ACTIVIDAD:</t>
  </si>
  <si>
    <t>TOTAL</t>
  </si>
  <si>
    <t>UNIDAD:</t>
  </si>
  <si>
    <t>LONG</t>
  </si>
  <si>
    <t>ANCHO</t>
  </si>
  <si>
    <t>ALTURA</t>
  </si>
  <si>
    <t>CANTIDAD</t>
  </si>
  <si>
    <t>ALTO</t>
  </si>
  <si>
    <t>ANALISIS DE PRECIOS UNITARIOS</t>
  </si>
  <si>
    <t>SECRETARIA DE PLANEACIÓN E INFRAESTRUCTURA</t>
  </si>
  <si>
    <t>ALCALDÍA MUNICIPAL DE RIOBLANCO - TOLIMA</t>
  </si>
  <si>
    <r>
      <rPr>
        <b/>
        <sz val="10"/>
        <color theme="1"/>
        <rFont val="Calibri"/>
        <family val="2"/>
        <scheme val="minor"/>
      </rPr>
      <t>OBJETO</t>
    </r>
    <r>
      <rPr>
        <sz val="10"/>
        <color theme="1"/>
        <rFont val="Calibri"/>
        <family val="2"/>
        <scheme val="minor"/>
      </rPr>
      <t xml:space="preserve">: </t>
    </r>
  </si>
  <si>
    <t>UNIDAD</t>
  </si>
  <si>
    <t>I. MATERIALES</t>
  </si>
  <si>
    <t>CANT</t>
  </si>
  <si>
    <t>V. UNITARIO</t>
  </si>
  <si>
    <t>V. PARCIAL</t>
  </si>
  <si>
    <t>Herramienta menor</t>
  </si>
  <si>
    <t>%M.O</t>
  </si>
  <si>
    <t>SUBTOTAL</t>
  </si>
  <si>
    <t>II. EQUIPO</t>
  </si>
  <si>
    <t>MARCA</t>
  </si>
  <si>
    <t>TARIFA/HORA</t>
  </si>
  <si>
    <t>RENDIMIENTO</t>
  </si>
  <si>
    <t>III. TRANSPORTE</t>
  </si>
  <si>
    <t>MATERIAL</t>
  </si>
  <si>
    <t>VOL. O PESO</t>
  </si>
  <si>
    <t>DISTANCIA (KM)</t>
  </si>
  <si>
    <t xml:space="preserve">CANT </t>
  </si>
  <si>
    <t>TARIFA</t>
  </si>
  <si>
    <t>IV. MANO DE OBRA</t>
  </si>
  <si>
    <t>V. HORA      +PRESTACIONES</t>
  </si>
  <si>
    <t>JORNAL TOTAL</t>
  </si>
  <si>
    <t>RENDIMIENTO HH</t>
  </si>
  <si>
    <t xml:space="preserve">OFICIAL A. </t>
  </si>
  <si>
    <t>AYUDANTE A.</t>
  </si>
  <si>
    <t>VALOR TOTAL</t>
  </si>
  <si>
    <t>Proyectó y elaboró</t>
  </si>
  <si>
    <t>BLT</t>
  </si>
  <si>
    <t>ARENA</t>
  </si>
  <si>
    <t>AGUA</t>
  </si>
  <si>
    <t>LT</t>
  </si>
  <si>
    <t>VIBRADOR DE CONCRETO</t>
  </si>
  <si>
    <t>CEMENTO 50 KG</t>
  </si>
  <si>
    <t>GLN</t>
  </si>
  <si>
    <t>ACERO DE REFUERZO 60.000 PSI</t>
  </si>
  <si>
    <t>ALAMBRE NEGRO N°18</t>
  </si>
  <si>
    <t>ADMINISTRACION</t>
  </si>
  <si>
    <t>IMPREVISTOS</t>
  </si>
  <si>
    <t>UTILIDAD</t>
  </si>
  <si>
    <t>TOTAL AIU</t>
  </si>
  <si>
    <t>VALOR TOTAL PRESUPUESTO DE OBRA</t>
  </si>
  <si>
    <t xml:space="preserve">       ___________________________________________</t>
  </si>
  <si>
    <t>________________________________________</t>
  </si>
  <si>
    <t xml:space="preserve">TALADRO DEMOLEDOR </t>
  </si>
  <si>
    <t>TALADRO DEMOLEDOR ELÉCTRICO</t>
  </si>
  <si>
    <t>LB</t>
  </si>
  <si>
    <t>RECEBO</t>
  </si>
  <si>
    <t xml:space="preserve">                            DESCRIPCIÓN</t>
  </si>
  <si>
    <t>PROMEDIO</t>
  </si>
  <si>
    <t>DISTANCIA KM</t>
  </si>
  <si>
    <t>TRITURADO 1/2"</t>
  </si>
  <si>
    <t>Puntilla de 2 1/2"</t>
  </si>
  <si>
    <t>ACERO W 60</t>
  </si>
  <si>
    <t>TABLA DE 3M X 0.25M</t>
  </si>
  <si>
    <t>DOCENA</t>
  </si>
  <si>
    <t>TUBO SANITARIO 4" TIPO PESADO X 6 METROS</t>
  </si>
  <si>
    <t>TUBO PRESIÓN DE 1/2" RDE 9 X 6M</t>
  </si>
  <si>
    <t>CODO PRESIÓN DE 1/2"</t>
  </si>
  <si>
    <t>ADAPTADOR MACHO DE 1/2"</t>
  </si>
  <si>
    <t>BOQUILLA PARA CERÁMICA</t>
  </si>
  <si>
    <t>CEMENTO BLANCO</t>
  </si>
  <si>
    <t>GRAVILLA No 3 (PARA ANDEN)</t>
  </si>
  <si>
    <t>ORINAL CON ACCESORIOS</t>
  </si>
  <si>
    <t>TUBO SANITARIO 2" SEMIPESADO</t>
  </si>
  <si>
    <t>ARENA PARA PAÑETE</t>
  </si>
  <si>
    <t>DIVISIÓN EN ACRILICO</t>
  </si>
  <si>
    <t>MALLA PLÁSTICA MULTIUSOS 7MM X 7MM H = 100CMM LONGITUD 30 M</t>
  </si>
  <si>
    <t>PORTÓN METÁLICO CALIBRE 18 CON ANTICORROSIVO</t>
  </si>
  <si>
    <t>CARCAMO METÁLICO DE 1.30 X 0.33M</t>
  </si>
  <si>
    <t>VALOR COSTO DIRECTO</t>
  </si>
  <si>
    <t>LISTADO DE MANO DE OBRA</t>
  </si>
  <si>
    <t>unidad</t>
  </si>
  <si>
    <t>Ítem</t>
  </si>
  <si>
    <t>VALOR ($ COP)</t>
  </si>
  <si>
    <t>OBSERVACIONES</t>
  </si>
  <si>
    <t>mes</t>
  </si>
  <si>
    <t>Salario mínimo legal mensual vigente - SMLMV básico 2025</t>
  </si>
  <si>
    <t>Subsidio de transporte 2025</t>
  </si>
  <si>
    <t>Salario mínimo legal mensual vigente - SMLMV 2025 + Subsidio de transporte 2025</t>
  </si>
  <si>
    <t>día</t>
  </si>
  <si>
    <t>Jornal + subsidio de transporte 2025</t>
  </si>
  <si>
    <t>%</t>
  </si>
  <si>
    <t>Factor prestacional INVIAS vigente</t>
  </si>
  <si>
    <t>Jornal básico con factor prestacional</t>
  </si>
  <si>
    <t>salario basico SMLMV 2025 con factor prestacional</t>
  </si>
  <si>
    <t>#</t>
  </si>
  <si>
    <t>Código</t>
  </si>
  <si>
    <t>Insumo</t>
  </si>
  <si>
    <t>Precio ($ COP)</t>
  </si>
  <si>
    <t>Factor de Jornal 2025</t>
  </si>
  <si>
    <t>A0100030</t>
  </si>
  <si>
    <t xml:space="preserve">Maestro </t>
  </si>
  <si>
    <t>A0100150</t>
  </si>
  <si>
    <t>Ayudante</t>
  </si>
  <si>
    <t>A0100190</t>
  </si>
  <si>
    <t>Almacenista</t>
  </si>
  <si>
    <t>A0030010</t>
  </si>
  <si>
    <t>Obrero</t>
  </si>
  <si>
    <t>A0030020</t>
  </si>
  <si>
    <t>Obrero (2)</t>
  </si>
  <si>
    <t>A0030030</t>
  </si>
  <si>
    <t>Obrero (3)</t>
  </si>
  <si>
    <t>A0030040</t>
  </si>
  <si>
    <t>Obrero (4)</t>
  </si>
  <si>
    <t>A0030050</t>
  </si>
  <si>
    <t>Obrero (5)</t>
  </si>
  <si>
    <t>A0030060</t>
  </si>
  <si>
    <t>Obrero (6)</t>
  </si>
  <si>
    <t>A0030070</t>
  </si>
  <si>
    <t>Obrero (7)</t>
  </si>
  <si>
    <t>A0030080</t>
  </si>
  <si>
    <t>Obrero (8)</t>
  </si>
  <si>
    <t>A0030090</t>
  </si>
  <si>
    <t>Obrero (9)</t>
  </si>
  <si>
    <t>A0030100</t>
  </si>
  <si>
    <t>Obrero (10)</t>
  </si>
  <si>
    <t>A0100060</t>
  </si>
  <si>
    <t>Obrero (prueba de carga)</t>
  </si>
  <si>
    <t>A0100200</t>
  </si>
  <si>
    <t xml:space="preserve">Obrero de hincado </t>
  </si>
  <si>
    <t>A0030120</t>
  </si>
  <si>
    <t>Obreros de hincado (2)</t>
  </si>
  <si>
    <t>A0100210</t>
  </si>
  <si>
    <t xml:space="preserve">Obrero de izado </t>
  </si>
  <si>
    <t>A0030110</t>
  </si>
  <si>
    <t>Obreros de izado (2)</t>
  </si>
  <si>
    <t>A0040010</t>
  </si>
  <si>
    <t>Oficial</t>
  </si>
  <si>
    <t>A0040020</t>
  </si>
  <si>
    <t>Oficial (2)</t>
  </si>
  <si>
    <t>A0040030</t>
  </si>
  <si>
    <t>Oficial (3)</t>
  </si>
  <si>
    <t>A0100050</t>
  </si>
  <si>
    <t>Oficial + 3 Ayudantes (armado e inyección de anclajes)</t>
  </si>
  <si>
    <t>A0041000</t>
  </si>
  <si>
    <t>Oficial experto en desmontaje</t>
  </si>
  <si>
    <t>A0041001</t>
  </si>
  <si>
    <t>Oficial experto en explosivos</t>
  </si>
  <si>
    <t>A0041002</t>
  </si>
  <si>
    <t xml:space="preserve">Oficial  Obrero (3) Cuadrilla de un oficial y 3 Obreros. </t>
  </si>
  <si>
    <t>A0041008</t>
  </si>
  <si>
    <t>1 Oficial y 1 Obrero.</t>
  </si>
  <si>
    <t>A0041004</t>
  </si>
  <si>
    <t>Cuadrilla de Un Oficial y (2) Obreros.</t>
  </si>
  <si>
    <t>A0041006</t>
  </si>
  <si>
    <t>Cuadrilla de un oficial y (4) Obreros.</t>
  </si>
  <si>
    <t>A0100010</t>
  </si>
  <si>
    <t>Cuadrilla de desmontaje (10 personas)</t>
  </si>
  <si>
    <t>A0100180</t>
  </si>
  <si>
    <t>Cuadrilla de fabricación</t>
  </si>
  <si>
    <t>A0010010</t>
  </si>
  <si>
    <t>Cadenero</t>
  </si>
  <si>
    <t>A0100240</t>
  </si>
  <si>
    <t>Cadeneros (2)</t>
  </si>
  <si>
    <t>A0100220</t>
  </si>
  <si>
    <t>Carpintero</t>
  </si>
  <si>
    <t>A0100130</t>
  </si>
  <si>
    <t>Armador</t>
  </si>
  <si>
    <t>A0050010</t>
  </si>
  <si>
    <t>Paletero</t>
  </si>
  <si>
    <t>A0050020</t>
  </si>
  <si>
    <t>Paletero (2)</t>
  </si>
  <si>
    <t>A0070010</t>
  </si>
  <si>
    <t>Rastrillero</t>
  </si>
  <si>
    <t>A0070020</t>
  </si>
  <si>
    <t>Rastrilleros (2)</t>
  </si>
  <si>
    <t>A0100140</t>
  </si>
  <si>
    <t>Cortador</t>
  </si>
  <si>
    <t>A0100092</t>
  </si>
  <si>
    <t>Operador prueba de integridad</t>
  </si>
  <si>
    <t>A0100280</t>
  </si>
  <si>
    <t xml:space="preserve">Operador de maquinaria pesada </t>
  </si>
  <si>
    <t>A0060010</t>
  </si>
  <si>
    <t>Perforador</t>
  </si>
  <si>
    <t>A0100040</t>
  </si>
  <si>
    <t>Perforador + Ayudante1 + Ayudante2</t>
  </si>
  <si>
    <t>A0080010</t>
  </si>
  <si>
    <t>Soldador</t>
  </si>
  <si>
    <t>A0010083</t>
  </si>
  <si>
    <t>Soldador (2)</t>
  </si>
  <si>
    <t>A0080012</t>
  </si>
  <si>
    <t>Soldador 1A</t>
  </si>
  <si>
    <t>A0100090</t>
  </si>
  <si>
    <t>Soldador experto en montaje y pruebas</t>
  </si>
  <si>
    <t>A0040110</t>
  </si>
  <si>
    <t>Celador</t>
  </si>
  <si>
    <t>A0100160</t>
  </si>
  <si>
    <t xml:space="preserve">Inspector </t>
  </si>
  <si>
    <t>A0020010</t>
  </si>
  <si>
    <t>Inspector de fabricación y montaje</t>
  </si>
  <si>
    <t>A0100260</t>
  </si>
  <si>
    <t>Técnico electricista</t>
  </si>
  <si>
    <t>A0100250</t>
  </si>
  <si>
    <t>Técnico y/o profesionale HSEQ para obra</t>
  </si>
  <si>
    <t>A0090010</t>
  </si>
  <si>
    <t>Topógrafo</t>
  </si>
  <si>
    <t>A0100181</t>
  </si>
  <si>
    <t>Calculista</t>
  </si>
  <si>
    <t>A0100170</t>
  </si>
  <si>
    <t>Dibujante</t>
  </si>
  <si>
    <t>A0100182</t>
  </si>
  <si>
    <t>Dibujante 2</t>
  </si>
  <si>
    <t>A0100270</t>
  </si>
  <si>
    <t xml:space="preserve">Técnico agricola, técnico en botánica y/o jardinero </t>
  </si>
  <si>
    <t>A0100070</t>
  </si>
  <si>
    <t>Ingeniero de montaje y prueba</t>
  </si>
  <si>
    <t>A0100069</t>
  </si>
  <si>
    <t>Ingeniero de Montaje y Prueba Pilote 1</t>
  </si>
  <si>
    <t>A0100082</t>
  </si>
  <si>
    <t>Ingeniero Especialista prueba de  integridad</t>
  </si>
  <si>
    <t>A0100071</t>
  </si>
  <si>
    <t xml:space="preserve">Ingeniero Geotecnista </t>
  </si>
  <si>
    <t>A0100020</t>
  </si>
  <si>
    <t>Ingeniero supervisor</t>
  </si>
  <si>
    <t>A0100080</t>
  </si>
  <si>
    <t>Ingeniero supervisor y director de prueba</t>
  </si>
  <si>
    <t>A0100081</t>
  </si>
  <si>
    <t>Ingeniero Supervisor y Director de Prueba Pilote</t>
  </si>
  <si>
    <t>A0100230</t>
  </si>
  <si>
    <t xml:space="preserve">Inspector de fabricacion montaje y pintura </t>
  </si>
  <si>
    <t>A0100294</t>
  </si>
  <si>
    <t xml:space="preserve">Operador de maquinaria liviana </t>
  </si>
  <si>
    <t>Secretaria de Planeación e Infraestructura</t>
  </si>
  <si>
    <t>VoBo ARQ. LINA MARITZA BOCANEGRA QUINTERO</t>
  </si>
  <si>
    <t>M</t>
  </si>
  <si>
    <t>GLOBAL</t>
  </si>
  <si>
    <t>HH</t>
  </si>
  <si>
    <t>1 OFC Y 1 AYUD</t>
  </si>
  <si>
    <t>1 OFC Y 2 AYUD</t>
  </si>
  <si>
    <t>HORA</t>
  </si>
  <si>
    <t>VALOR</t>
  </si>
  <si>
    <t>1 OFC Y 3 AYUD</t>
  </si>
  <si>
    <t>1 OFC Y 4 AYUD</t>
  </si>
  <si>
    <t>1 OFC Y 5 AYUD</t>
  </si>
  <si>
    <t>M3/KM</t>
  </si>
  <si>
    <t>DISTANCIA</t>
  </si>
  <si>
    <t>EXP</t>
  </si>
  <si>
    <t>VOL. O PESO (EXP)</t>
  </si>
  <si>
    <t>RETIRO DE MATERIAL HASTA 5 KM (ESCOMBRO)</t>
  </si>
  <si>
    <t>ING. MIGUEL ANDRES CAPERA HERNANDEZ</t>
  </si>
  <si>
    <t>TRABAJO</t>
  </si>
  <si>
    <t xml:space="preserve">RELLENO EN ARENA </t>
  </si>
  <si>
    <t>COTIZACION 3</t>
  </si>
  <si>
    <t>COTIZACION 2</t>
  </si>
  <si>
    <t>RETIRO DE ADOQUIN DEFECTUOSO Y EN MAL ESTADO</t>
  </si>
  <si>
    <t>DESMONTE DE MOTOBOMBAS, TABLEROS, Y ELEMENTOS ELECTRONICOS.</t>
  </si>
  <si>
    <t>ADOQUIN INDUPISO PIZARRA O SIMILAR COLOR ARENA (20X20X8)</t>
  </si>
  <si>
    <t>ALFAGIA PREFABRICADA DE ANCHO 25CMX100CM</t>
  </si>
  <si>
    <t>RED ELECTRICA EN CABLE N°12 Y TUBO EMT 1/2" PVC</t>
  </si>
  <si>
    <t>ADOQUIN RECTANGULAR GRIS (20X 10 X 8)</t>
  </si>
  <si>
    <t>UND/KM</t>
  </si>
  <si>
    <t>TRANSPORTE (ADOQUIN) - IBAGUE</t>
  </si>
  <si>
    <t>TRANSPORTE MATERIAL DE CANTERA (ARENA) - CUCUANA</t>
  </si>
  <si>
    <t>PINTURA TIPO 1 EXTERIOR SUPER ACRILICA PROTECCION SOL Y LLUVIA ANTI-HONGOS</t>
  </si>
  <si>
    <t>BROCHA 4"</t>
  </si>
  <si>
    <t>ESTUCO ACRILICO RESISTENTE A LA INTERPERIE DE ALTA ADEHERENCIA 30 KG</t>
  </si>
  <si>
    <t>25M2 X GLN</t>
  </si>
  <si>
    <t>2-6 M2 X GLN</t>
  </si>
  <si>
    <t>PINTURA DE SILLAS REDONDAS DIAMETRO 50CM H=60CM TIPO 1 EXTERIOR COLOR BLANCO (INCLUYE RESANE)</t>
  </si>
  <si>
    <t>BLOQUE ABUJARDADO 14X19X39 CM</t>
  </si>
  <si>
    <t>12 UND X M2</t>
  </si>
  <si>
    <t>TRANSPORTE (BLOQUE-LADRILLO) - IBAGUE</t>
  </si>
  <si>
    <t>ALFAJIA EN CONCRETO A=25CM L=1 M</t>
  </si>
  <si>
    <t>1 UND X 1 M</t>
  </si>
  <si>
    <t xml:space="preserve">CONCRETO 3.000 PSI </t>
  </si>
  <si>
    <t>MEZCLADORA DE CONCRETO 1 BLT</t>
  </si>
  <si>
    <t>TRANSPORTE (ACERO) - IBAGUE</t>
  </si>
  <si>
    <t>KG/KM</t>
  </si>
  <si>
    <t>TABLERO ELECTRICO PARA INSTALACIÓN PANTALLA BIFASICO</t>
  </si>
  <si>
    <t>Secretario de Planeación e Infraestructura</t>
  </si>
  <si>
    <t>TOTAL A.I.U.</t>
  </si>
  <si>
    <t>VALOR UTILIDAD</t>
  </si>
  <si>
    <t>VALOR IMPREVISTOS</t>
  </si>
  <si>
    <t>PORCENTAJE ADMINISTRACION</t>
  </si>
  <si>
    <t>Informes y papeleria</t>
  </si>
  <si>
    <t>Transporte</t>
  </si>
  <si>
    <t xml:space="preserve">Alquiler de oficina </t>
  </si>
  <si>
    <t>GASTOS DE LEGALIZACION Y PERFECCIONAMIENTO</t>
  </si>
  <si>
    <t>Estampilla de Electrificación rural</t>
  </si>
  <si>
    <t xml:space="preserve">Fondo de seguridad </t>
  </si>
  <si>
    <t>Estampilla Justicia Familiar</t>
  </si>
  <si>
    <t>Tasa Pro Deporte</t>
  </si>
  <si>
    <t>Estampilla Pro Cultura</t>
  </si>
  <si>
    <t>Estampilla Pro Adulto</t>
  </si>
  <si>
    <t>Responsabilidad civil extracontractual</t>
  </si>
  <si>
    <t>Estabilidad de obra</t>
  </si>
  <si>
    <t>Amparo de salarios y prest. Sociales</t>
  </si>
  <si>
    <t>Póliza de cumplimiento</t>
  </si>
  <si>
    <t>Especialista Ambiental</t>
  </si>
  <si>
    <t>Residente de Obra</t>
  </si>
  <si>
    <t>Director de Obra</t>
  </si>
  <si>
    <t>DEDICACION</t>
  </si>
  <si>
    <t>VALOR UNITARIO</t>
  </si>
  <si>
    <t>FACTOR PRESTACIONAL</t>
  </si>
  <si>
    <t>DURACION</t>
  </si>
  <si>
    <t>PERSONAL DE OBRA  (incl. Prestaciones)</t>
  </si>
  <si>
    <t>VALOR ADMINISTRACIÓN DE OBRA</t>
  </si>
  <si>
    <t>C. DIRECTO</t>
  </si>
  <si>
    <t xml:space="preserve">PORCENTAJE % Y CANTIDAD REAL </t>
  </si>
  <si>
    <t xml:space="preserve">PORCENTAJES % Y CANTIDADES ESTIMADAS </t>
  </si>
  <si>
    <t>DESCRIPCIÓN</t>
  </si>
  <si>
    <t>No</t>
  </si>
  <si>
    <t>Cálculo pormenorizado del factor Administración, Imprevistos y Utilidades. AIU</t>
  </si>
  <si>
    <t>DESGLOSE DEL A.I.U.</t>
  </si>
  <si>
    <t>ROLLO</t>
  </si>
  <si>
    <t>CABLE N°12 ENCAUCHETADOX100</t>
  </si>
  <si>
    <t>UNION EMT 1/2"</t>
  </si>
  <si>
    <t>CURVA EMT 1/2"</t>
  </si>
  <si>
    <t>TUBERIA EMT 1/2" X3 M</t>
  </si>
  <si>
    <t>PINTURA DE MATERA RECTANGULAR 40X60X30 TIPO 1 EXTERIOR COLOR BLANCO (INCLUYE RESANE)</t>
  </si>
  <si>
    <t>ID</t>
  </si>
  <si>
    <t>P-0001</t>
  </si>
  <si>
    <t>PRELIMINARES (P)</t>
  </si>
  <si>
    <t>PISOS CERAMICOS, TERMINADOS Y ACABADOS (PTA)</t>
  </si>
  <si>
    <t>P</t>
  </si>
  <si>
    <t>PTA</t>
  </si>
  <si>
    <t>CMR</t>
  </si>
  <si>
    <t>V/UNIT</t>
  </si>
  <si>
    <t>P-0002</t>
  </si>
  <si>
    <t>P-0003</t>
  </si>
  <si>
    <t>P-0004</t>
  </si>
  <si>
    <t>P-0005</t>
  </si>
  <si>
    <t>P-0006</t>
  </si>
  <si>
    <t>PTA-002</t>
  </si>
  <si>
    <t>PTA-001</t>
  </si>
  <si>
    <t>PTA-003</t>
  </si>
  <si>
    <t>PTA-004</t>
  </si>
  <si>
    <t>PTA-005</t>
  </si>
  <si>
    <t>ADOQUIN RECTANGULAR ADOP-A O SIMILAR COLOR GRIS (20 X10X 8)</t>
  </si>
  <si>
    <t>EXCAVACIÓN MANUAL EN MATERIAL COMÚN 0-2 MTS</t>
  </si>
  <si>
    <t>PTA-006</t>
  </si>
  <si>
    <t>ELC</t>
  </si>
  <si>
    <t>CONCRETOS, MORTEROS Y REFUERZOS (CMR)</t>
  </si>
  <si>
    <t>ELECTRICIDAD Y ACCESORIOS ELECTRICOS (ELC)</t>
  </si>
  <si>
    <t>HS</t>
  </si>
  <si>
    <t>SUMINISTRO E INSTALACION DE SANITARIO (INCLUYE GRIFERIA)</t>
  </si>
  <si>
    <t>SUMINISTRO E INSTALACION DE LAVAMOS DE EMPOTRAR (INCLUYE GRIFERIA)</t>
  </si>
  <si>
    <t>SUMINISTRO E INSTALACIÓN DE LLAVE LAVAMANOS TIPO PUSH</t>
  </si>
  <si>
    <t>SUMINISTRO E INSTALACIÓN DE DESAGUE PARA LAVAMOS</t>
  </si>
  <si>
    <t>CIE</t>
  </si>
  <si>
    <t>TEJA EN LAMINA GALVANIZADA CAL.28</t>
  </si>
  <si>
    <t>SUMINISTRO E INSTALACION DE SANITARIO INFANTIL (INCLUYE GRIFERIA)</t>
  </si>
  <si>
    <t>DESMONTE DE APARATOS SANITARIOS</t>
  </si>
  <si>
    <t>LF</t>
  </si>
  <si>
    <t>P-0007</t>
  </si>
  <si>
    <t>HS-001</t>
  </si>
  <si>
    <t>HS-002</t>
  </si>
  <si>
    <t>HS-003</t>
  </si>
  <si>
    <t>HS-004</t>
  </si>
  <si>
    <t>HS-005</t>
  </si>
  <si>
    <t>HS-006</t>
  </si>
  <si>
    <t>TAPA EN CONCRETO PARA CAJA DE INSPECCIÓN 1X1 M CON TERMINAL EN ANGULO 1/2"</t>
  </si>
  <si>
    <t>HS-007</t>
  </si>
  <si>
    <t>HIDRAULICO Y SANITARIO (HS)</t>
  </si>
  <si>
    <t>HS-008</t>
  </si>
  <si>
    <t>CMR-001</t>
  </si>
  <si>
    <t>CMR-002</t>
  </si>
  <si>
    <t>CMR-003</t>
  </si>
  <si>
    <t>ELC-001</t>
  </si>
  <si>
    <t>ELC-002</t>
  </si>
  <si>
    <t>ELC-003</t>
  </si>
  <si>
    <t>CIE-001</t>
  </si>
  <si>
    <t>CIE-002</t>
  </si>
  <si>
    <t>LF-001</t>
  </si>
  <si>
    <t>TUBERÍA PVC 4" SANITARIO BAJANTE AGUAS LLUVIAS</t>
  </si>
  <si>
    <t>HS-009</t>
  </si>
  <si>
    <t>SUMINISTRO E INSTALACIÓN DE GRIFERIA PARA SANITARIO</t>
  </si>
  <si>
    <t>MANTENIMIENTO RED SANITARIA (PUNTO OBSTRUIDO)</t>
  </si>
  <si>
    <t>SUMINISTRO E INSTALACIÓN DE LLAVE ORINAL TIPO PUSH</t>
  </si>
  <si>
    <t>CIE-003</t>
  </si>
  <si>
    <t>CUBIERTAS, IMPERMEABILIZANTE Y ELEMENTOS DE SOPORTE (CIE)</t>
  </si>
  <si>
    <t>LIMPIEZA Y FINALIZACIÓN DE OBRA (LF)</t>
  </si>
  <si>
    <t>RENDIMIENTO (1)</t>
  </si>
  <si>
    <t>RENDIMIENTO (2)</t>
  </si>
  <si>
    <t>RENDIMIENTO (3)</t>
  </si>
  <si>
    <t>RENDIMIENTO (4)</t>
  </si>
  <si>
    <t>RENDIMIENTO (5)</t>
  </si>
  <si>
    <t>MURO EN BLOQUE ABUJARDADO CON DOVELAS 14X19X39 PARA ALCORQUE DE ARBOL</t>
  </si>
  <si>
    <t>GRIFERIA PARA SANITARIO CON FLOTADOR</t>
  </si>
  <si>
    <t xml:space="preserve">MANGUERA ACOPLE 1/2" </t>
  </si>
  <si>
    <t>SANITARIO INFANTIL</t>
  </si>
  <si>
    <t>COTIZACION 1 (HOMECENTER)</t>
  </si>
  <si>
    <t>LLAVE TERMINAL LAVAMANOS SENCILLA 1/2"</t>
  </si>
  <si>
    <t>DESAGUE SIFON TIPO BOTELLA LAVAMANOS</t>
  </si>
  <si>
    <t>LLAVE TERMINAL LAVAMANOS TIPO PUSH</t>
  </si>
  <si>
    <t>SILICONA ANTIHONGOS BAÑOS Y COCINA 280 ML</t>
  </si>
  <si>
    <t>AGENTE QUIMICO PARA DESTAPAR CAÑERIA</t>
  </si>
  <si>
    <t>SONDA LIMPIADOR DE CAÑERIA 10 M</t>
  </si>
  <si>
    <t>ANGULO 6X1-1/2"X1/8"</t>
  </si>
  <si>
    <t>LLAVE TERMINAL ORINAL TIPO PUSH</t>
  </si>
  <si>
    <t>CINTA TEFLON 1/2"  X 10 M</t>
  </si>
  <si>
    <t xml:space="preserve">TEJA TERMOACISTICA ARQUITECTONICA CAL. 31 </t>
  </si>
  <si>
    <t>TUBERIA PVC CUADRADA 6CMX6CMX3M</t>
  </si>
  <si>
    <t>DIA</t>
  </si>
  <si>
    <t>SUMINISTRO E INSTALACION DE TUBERIA PETROLERA DE  20" y  10", INCLUYE ESCALERA DE ACCESO, ESTRUCTURA DE FIJACION DE LA PANTALLA Y TODOS LOS ELEMENTROS NECESARIOS PARA SU CORRECTO FUNCIONAMIENTO</t>
  </si>
  <si>
    <t>SUMINISTRO E INSTALACION DE PANTALLA EXTERIO  3,9 PICH CON 15 GRADO DE 7680 HZ #500 X1000 MM CON PROCESADOR Tb40 , INCLUYE CONEXIÓN ELECTRICA, CAJA DE CONTROL Y PUESTA EN FUNCIONAMIENTO.</t>
  </si>
  <si>
    <t>DISPOSICIÓN DE MATERIAL SOBRANTE</t>
  </si>
  <si>
    <t>RETIRO DE MATERIAL SOBRANTE HASTA 5 KM</t>
  </si>
  <si>
    <t>RETROEXCAVADORA DE LLANTA (ESCOMBROS)</t>
  </si>
  <si>
    <t>CODO SANITARIO DE 4" PVC</t>
  </si>
  <si>
    <t>CODO SANITARIO DE 2" PVC</t>
  </si>
  <si>
    <t>UNION PRESIÓN DE 1/2" PVC</t>
  </si>
  <si>
    <t>UNIÓN SANITARIA 4" PVC</t>
  </si>
  <si>
    <t>ABRAZADERA TIPO GRAPA TUBO 4" METALICA</t>
  </si>
  <si>
    <t>ANDAMIO CON TABLON (2 CUERPOS)</t>
  </si>
  <si>
    <t>PUNTO ELECTRICO DE CONEXIÓN DOBLE</t>
  </si>
  <si>
    <t>ELC-004</t>
  </si>
  <si>
    <t>CAJA 2X4 PLASTICA</t>
  </si>
  <si>
    <t>TOMA CORRIENTE DOBLE</t>
  </si>
  <si>
    <t>ELC-005</t>
  </si>
  <si>
    <t>ELC-006</t>
  </si>
  <si>
    <t>PUNTO DE ILUMINACIÓN INCLUYE INTERRUPTOR, PLAFON Y BOMBILLO 50 W</t>
  </si>
  <si>
    <t>PUNTO DE ILUMINACIÓN INCLUYE INTERRUPTOR Y LAMPARA 18W</t>
  </si>
  <si>
    <t>CAJA OCTOGONAL PLASTICA</t>
  </si>
  <si>
    <t>INTERRUPTOR SENCILLO</t>
  </si>
  <si>
    <t>PLAFON BOMBILLO PORCELANA</t>
  </si>
  <si>
    <t>BOMBILLO LED 50W</t>
  </si>
  <si>
    <t>LAMPARA LED 18W</t>
  </si>
  <si>
    <t>FLANCHE METALICO CUBIERTA CAL.26</t>
  </si>
  <si>
    <t>CIE-004</t>
  </si>
  <si>
    <t xml:space="preserve">FLANCHE METALICO CAL.26 20X2 </t>
  </si>
  <si>
    <t>ELC-007</t>
  </si>
  <si>
    <t>CANALETA ELECTRICA 12CMX20CMX2M</t>
  </si>
  <si>
    <t>CABLE DE RED CAT6 UTPX100</t>
  </si>
  <si>
    <t>CIELO RASO PVC 9 MM INCLUYE ESTRUCTURA</t>
  </si>
  <si>
    <t>PTA-007</t>
  </si>
  <si>
    <t>CIELO RASO PVC 9 MM CON ESTRUCTURA</t>
  </si>
  <si>
    <t>CIE-005</t>
  </si>
  <si>
    <t>IMPERMEABILIZANTE ACRILICO+FIBRAS 12 AÑOS</t>
  </si>
  <si>
    <t>4M2/GLN</t>
  </si>
  <si>
    <t>RODILLO DE FELPA 9"</t>
  </si>
  <si>
    <t>SELLADOR DE POLIURETANO 100% ALTO RENDIMIENTO 300ML</t>
  </si>
  <si>
    <t>TAPA GOTERAS CON SELLANTE, ACRILICO+FIBRA</t>
  </si>
  <si>
    <t>HS-010</t>
  </si>
  <si>
    <t>SUMINISTRO E INSTALACIÓN DE DESAGUE PARA LAVAPLATOS</t>
  </si>
  <si>
    <t>HS-011</t>
  </si>
  <si>
    <t>INSTALACIÓN MANGUERA DE ACOPLE 1/2"</t>
  </si>
  <si>
    <t>CIE-006</t>
  </si>
  <si>
    <t>IMPERMEABILIZANTE DE VIGACANALES EN CONCRETO</t>
  </si>
  <si>
    <t>CIE-007</t>
  </si>
  <si>
    <t>TUBERIA CUADRADA 6X6CM BAJANTE AGUAS LLUVIAS</t>
  </si>
  <si>
    <t>CODO TUBERIA CUADRADA 6X6 PVC</t>
  </si>
  <si>
    <t>ELC-008</t>
  </si>
  <si>
    <t>SUMINISTRO E INSTALACIÓN DE LAMPARA 18W</t>
  </si>
  <si>
    <t>PTA-008</t>
  </si>
  <si>
    <t xml:space="preserve">ENCHAPE EN GRES ROJO </t>
  </si>
  <si>
    <t>CERAMICA GRES 20X20 CALIDAD 1</t>
  </si>
  <si>
    <t>PEGANTE PARA CERÁMICA X25 KG</t>
  </si>
  <si>
    <t>CMR-004</t>
  </si>
  <si>
    <t>PLACA CONCRETO 3.000 PSI E=10CM</t>
  </si>
  <si>
    <t>CONCRETO 3.000 PSI</t>
  </si>
  <si>
    <t>PTA-009</t>
  </si>
  <si>
    <t>35M2XGLN</t>
  </si>
  <si>
    <t>PINTURA TIPO 1 INTERIOR, DOS MANOS</t>
  </si>
  <si>
    <t>PTA-010</t>
  </si>
  <si>
    <t>RESANE EN ESTUCO ACRILICO 100%</t>
  </si>
  <si>
    <t>ESPATULA 3"</t>
  </si>
  <si>
    <t>2-4 M2 X GLN</t>
  </si>
  <si>
    <t>P-0008</t>
  </si>
  <si>
    <t>LOCALIZACIÓN Y REPLANTEO (AREA)</t>
  </si>
  <si>
    <t>P-0009</t>
  </si>
  <si>
    <t>P-0010</t>
  </si>
  <si>
    <t>CORTADORA PARA PISO</t>
  </si>
  <si>
    <t>Columna1</t>
  </si>
  <si>
    <t>DEMOLICIÓN PLACA e= 0.10m INCLUYE TRANSPORTE</t>
  </si>
  <si>
    <t>DEMOLICIÓN DE PLACA CONCRETO e=0.15m INCLUYE TRANSPORTE</t>
  </si>
  <si>
    <t>DEMOLICIÓN DE MURO EN CONCRETO REFORZADO INCLUYE TRANSPORTE</t>
  </si>
  <si>
    <t>PULIDORA PARA PISO</t>
  </si>
  <si>
    <t>HS-012</t>
  </si>
  <si>
    <t>CAJA EN CONCRETO PARA CAJA DE INSPECCIÓN 1X1 M CON TERMINAL EN ANGULO 1/2"</t>
  </si>
  <si>
    <t>HS-013</t>
  </si>
  <si>
    <t xml:space="preserve">TUBERIA ANILLADA PVC DE 36" </t>
  </si>
  <si>
    <t>TRANSPORTE TUBERIA DE 36" - IBAGUE</t>
  </si>
  <si>
    <t>M/KM</t>
  </si>
  <si>
    <t>P-0011</t>
  </si>
  <si>
    <t>EXCAVACIÓN MECANICA EN MATERIAL COMÚN</t>
  </si>
  <si>
    <t>RETROEXCAVADORA DE LLANTA (EXCAVACIÓN)</t>
  </si>
  <si>
    <t>P-0012</t>
  </si>
  <si>
    <t>RELLENO EN RECEBO COMPACTADO</t>
  </si>
  <si>
    <t>SALTARIN COMPACTADOR (CANGURO)</t>
  </si>
  <si>
    <t>TRANSPORTE MATERIAL (RECEBO) - 10 KM</t>
  </si>
  <si>
    <t>CMR-005</t>
  </si>
  <si>
    <t>CONCRETO 3.000 PSI PARA CONSTRUCCIÓN DE CANAL EN CONCRETO</t>
  </si>
  <si>
    <t>P-0013</t>
  </si>
  <si>
    <t>DESCAPOTE MANUAL DE TERRENO E=0,15 CM, INCLUYE RETIRO</t>
  </si>
  <si>
    <t>PTA-011</t>
  </si>
  <si>
    <t>PINTURA TIPO 1 EXTERIOR 100% ACRILICA, DOS MANOS</t>
  </si>
  <si>
    <t>PTA-012</t>
  </si>
  <si>
    <t>Película Protección Uv 100% &amp; Irr 1.2x2m 2mm</t>
  </si>
  <si>
    <t>POLARIZADO PARA VENTANAS PELICULA PROTECCIÓN 100% UV 2 MM</t>
  </si>
  <si>
    <t>PTA-013</t>
  </si>
  <si>
    <t>ENCHAPE CERAMICO 20X30 CM COLOR BLANCO (PARED)</t>
  </si>
  <si>
    <t>TRANSPORTE ENCHAPE</t>
  </si>
  <si>
    <t>M2/KM</t>
  </si>
  <si>
    <t>CORTADORA DE BALDOSA</t>
  </si>
  <si>
    <t>SEPARADOR DE CERAMICA 2MM</t>
  </si>
  <si>
    <t>PTA-014</t>
  </si>
  <si>
    <t>DISOLVENTE</t>
  </si>
  <si>
    <t>COMPRESOR 50 LT</t>
  </si>
  <si>
    <t>PINTURA ESMALTE ELEMENTOS METALICOS (AREA)</t>
  </si>
  <si>
    <t>PINTURA ESMALTE ELEMENTOS METALICOS (LINEAL BARANDA)</t>
  </si>
  <si>
    <t>PTA-015</t>
  </si>
  <si>
    <t>ELC-009</t>
  </si>
  <si>
    <t>SUMINISTRO E INSTALACIÓN DE LUMINARIA EXTERIOR TIPO ROMBO SOLAR UF 20</t>
  </si>
  <si>
    <t>LAMPARA LED SOLAR TIPO ROMBO UFO 20</t>
  </si>
  <si>
    <t>MOBILIARIO Y ELEMENTOS DECORATIVOS (MED)</t>
  </si>
  <si>
    <t>MED</t>
  </si>
  <si>
    <t>MED-001</t>
  </si>
  <si>
    <t>SOPORTE PARED ORGANIZADOR DE GUITARRAS 2 MTS</t>
  </si>
  <si>
    <t>SOPORTE ORGANIZADOR DE GUITARRAS DE PARED 2 M</t>
  </si>
  <si>
    <t xml:space="preserve">CHAZO EXPANSIVO CONCRETO 1/2" </t>
  </si>
  <si>
    <t>PTA-016</t>
  </si>
  <si>
    <t>HORA TOTAL</t>
  </si>
  <si>
    <t>CIE-008</t>
  </si>
  <si>
    <t>IMPERMEABILIZANTE PARA MUROS CON RESINA ACUOSA DE IMPREGNACIÓN</t>
  </si>
  <si>
    <t>MURAL DECORATIVO CON IDENTIFICACIÓN CULTURAL</t>
  </si>
  <si>
    <t>CMR-006</t>
  </si>
  <si>
    <t>MED-002</t>
  </si>
  <si>
    <t>MED-003</t>
  </si>
  <si>
    <t>PARQUE INFANTIL DE  PLATAFORMAS CON TUNEL COMUNICANTE, RODADERO CERRADO, ESPIRAL Y DOBLE, ESCALERAS METALICAS DE ACCESO, COLUMPIOS, DOS TECHOS Y ACCESORIOS. AREA (9X6,40MTS)</t>
  </si>
  <si>
    <t>MED-004</t>
  </si>
  <si>
    <t>MED-005</t>
  </si>
  <si>
    <t>MED-006</t>
  </si>
  <si>
    <t>MED-007</t>
  </si>
  <si>
    <t>MED-008</t>
  </si>
  <si>
    <t>PIEDRA PARA GAVION</t>
  </si>
  <si>
    <t>TRANSPORTE PIEDRA</t>
  </si>
  <si>
    <t>ALAMBRE GALVANIZADO CAL.12</t>
  </si>
  <si>
    <t>MALLA PARA GAVION CAL.13 DOBLE TORSION 2X1X1</t>
  </si>
  <si>
    <t>MURO EN GAVIÓN CON MALLA DOBLE TORSIÓN CAL. 13</t>
  </si>
  <si>
    <t>CMR-007</t>
  </si>
  <si>
    <t xml:space="preserve">SUMINISTRO E INSTALACIÓN DE GEOTEXTIL NT1600S </t>
  </si>
  <si>
    <t>GEOTEXTIL NO TEJIDO NT1600S 1MX3,5M</t>
  </si>
  <si>
    <t>HS-014</t>
  </si>
  <si>
    <t>CANAL EN CONCRETO 3.000 PSI SECCIÓN TRAPEZOIDAL A1=50CM, A2=30CM Y H=15 CM, ESPESOR 10 CM</t>
  </si>
  <si>
    <t>MALLA ELECTROSOLDADA 6 MM 6X2,35M2</t>
  </si>
  <si>
    <t>TRANSPORTE PARQUE INFANTIL (9*6,4)</t>
  </si>
  <si>
    <t>UN/KM</t>
  </si>
  <si>
    <t>TRANSPORTE EQUIPO BIOSALUDABLE</t>
  </si>
  <si>
    <t>RECUBRIMIENTO DE TRUFLEX ANTIDESLIZANTE DE 3 CAPAS  (UNA BASE DE CUARZO Y DOS CAPAS DE COLOR) PARA ZONA EQUIPOS BIOSALUDABLES Y PARQUE INFANTIL.</t>
  </si>
  <si>
    <t>PTA-017</t>
  </si>
  <si>
    <t>TRUFLEX A BASE DE CUARZO + 2 CAPAS DE COLOR</t>
  </si>
  <si>
    <t>CMR-008</t>
  </si>
  <si>
    <t>DESMONTE DE CUBIERTA EXISTENTE</t>
  </si>
  <si>
    <t>P-0014</t>
  </si>
  <si>
    <t>PTA-018</t>
  </si>
  <si>
    <t>MAQUINA BIOSALUDABLE BANCO DOBLE ABDOMINAL DE 1.9x1.2x0,7 CON CERTIFICADO TUV GS, ISO 9000 Y DEMAS NORMAS APLICABLES - INCLUYE TODO PARA SU CORRECTO FUNCIONAMIENTO.</t>
  </si>
  <si>
    <t>BRIDA 4" PARA INSTALACIÓN SANITARIO</t>
  </si>
  <si>
    <t>BARANDA METÁLICA TUBO PETROLERO 2" TRES LINEAS</t>
  </si>
  <si>
    <t>CERÁMICA PARA PISO 51X51 O SUPERIOR</t>
  </si>
  <si>
    <t>CERÁMICA PARA PARED 20X30 O  SUPERIOR</t>
  </si>
  <si>
    <t>Chazo Doble Aleta 3/8  Con Tornillo 12 x 2´ x 50</t>
  </si>
  <si>
    <t>CINTA AISLANTE 20M X 19MM</t>
  </si>
  <si>
    <t>CUARTON DE 5CM X 10CM X 3M</t>
  </si>
  <si>
    <t>CANECA</t>
  </si>
  <si>
    <t>ESTUCO PLASTICO INTERIOR Y EXTERIOR 30 KG</t>
  </si>
  <si>
    <t>IMPERMEABILIZANTE DE RESINA ACUROSA SIKA IMPERMUR O SIMILAR 1KG</t>
  </si>
  <si>
    <t>LAVAMANOS SIN GRIFERIA</t>
  </si>
  <si>
    <t>LAVAMANO DE EMPOTRAR SENCILLO SIN FRIFERIA</t>
  </si>
  <si>
    <t>LIMPIADOR PVC 12 ONZAS</t>
  </si>
  <si>
    <t>20 UNIONES/12 ONZ</t>
  </si>
  <si>
    <t>LISTON DE 4CM X 4CM X 3M</t>
  </si>
  <si>
    <t>PINTURA ESMALTE 3 EN 1</t>
  </si>
  <si>
    <t>PINTURA TIPO 1 INTERIOR LAVABLE X 5 GLN</t>
  </si>
  <si>
    <t>Jack Datos Rj45 Cat6 Simple</t>
  </si>
  <si>
    <t xml:space="preserve">REJILLA METÁLICA 4" A 2" </t>
  </si>
  <si>
    <t>SANITARIO ECONOMICO 2 PIEZAS</t>
  </si>
  <si>
    <t>SOLDADURA PVC  1/4 GLN</t>
  </si>
  <si>
    <t>100 UND</t>
  </si>
  <si>
    <t>TORNILLO CUBIERTA 2" CON ARANDELA DE NEOPRENO</t>
  </si>
  <si>
    <t>TUBERIA PVC ANILLADA DE 36"x6,5m</t>
  </si>
  <si>
    <t>UNION TUBO CUADRADO 6X6 PVC</t>
  </si>
  <si>
    <t>TRANSPORTE CANECA - IBAGUE</t>
  </si>
  <si>
    <t>TRANSPORTE GALON - IBAGUE</t>
  </si>
  <si>
    <t>TRANSPORTE SANITARIO - IBAGUE</t>
  </si>
  <si>
    <t>TRANSPORTE LAVAMANOS - IBAGUE</t>
  </si>
  <si>
    <t>PTA-019</t>
  </si>
  <si>
    <t>SUMINISTRO E INSTALACIÓN DE LADRILLO TOLETE 25X12X6CM</t>
  </si>
  <si>
    <t>PTA-020</t>
  </si>
  <si>
    <t>PAÑETE MURO 1:4   E=0.02M</t>
  </si>
  <si>
    <t>IMPRIMANTE EPOXICO A BASE DE DOS DISOLVENTES PARA MEJORAR ADHERENCIA</t>
  </si>
  <si>
    <t>18M2/GLN</t>
  </si>
  <si>
    <t>PINTURA PARA CANCHA</t>
  </si>
  <si>
    <t>15M2 XGLN (2MANOS)</t>
  </si>
  <si>
    <t>PINTURA ACRILICA PARA TRAFICO PESADO TIPO CANCHA Y/O PISOS SOBRE UNA BASE EN IMPRIMANTE EPOXICO DE DOS COMPONENTES, PARA DEMARCACION DE CANCHA MULTIPLE (VOLEIBOL, MICROFUTBOL Y BALONCESTO) (2 MANOS)</t>
  </si>
  <si>
    <t>LADRILLO MACIZO DE 23 X 12 X 6CM</t>
  </si>
  <si>
    <t>PTA-021</t>
  </si>
  <si>
    <t>PINTURA TIPO 1 INTERIOR, TRES MANOS</t>
  </si>
  <si>
    <t>CMR-009</t>
  </si>
  <si>
    <t>CMR-010</t>
  </si>
  <si>
    <t>CMR-011</t>
  </si>
  <si>
    <t>COLUMNA CONCRETO 3.000 PSI 20X12 CM</t>
  </si>
  <si>
    <t>ZAPATA CONCRETO 3.000 PSI 120X70X30 CM</t>
  </si>
  <si>
    <t>COLUMNA CONCRETO 3.000 PSI 30X30 CM</t>
  </si>
  <si>
    <t>ADHESIVO EPOXICO DE CONCRETO FRESCO CON CONCRETO ANTIGUO (USO ESTRUCTURAL)</t>
  </si>
  <si>
    <t>CONSTRUCCIÓN DE SARDINEL INSITU E=0,15 M H=0,45M, CONCRETO 3.000 PSI (INCLUYE REFUERZO)</t>
  </si>
  <si>
    <t>CMR-012</t>
  </si>
  <si>
    <t>ADHESIVO EPOXICO DE UNION CONCRETO FRESCO CON ANTIGUO 1 KG</t>
  </si>
  <si>
    <t>0,5KGXM2</t>
  </si>
  <si>
    <t>DEMOLICIÓN MURO LADRILLO HASTA 15 CM ANCHO, INCLUYE RETIRO DE ESCOMBROS A 5 KM</t>
  </si>
  <si>
    <t>ARENA DE PLANTA</t>
  </si>
  <si>
    <t>LAVADO DE SUPERFICIE DE CANCHA CON ACIDO MURIATICO 10%</t>
  </si>
  <si>
    <t>P-0015</t>
  </si>
  <si>
    <t>ACIDO MURIATICO X3,7LT</t>
  </si>
  <si>
    <t>MAQUINA BIOSALUDABLE REMO DE 1.5x1.0x1,0 CON CERTIFICADO TUV GS, ISO 9000 Y DEMAS NORMAS APLICABLES - INCLUYE TODO PARA SU CORRECTO FUNCIONAMIENTO.</t>
  </si>
  <si>
    <t>MAQUINA BIOSALUDABLE ELIPTICA DE 1.0x0.5x1.7 CON CERTIFICADO TUV GS, ISO 9000 Y DEMAS NORMAS APLICABLES - INCLUYE TODO PARA SU CORRECTO FUNCIONAMIENTO.</t>
  </si>
  <si>
    <t>MAQUINA BIOSALUDABLE COLUMPIO DOBLE DE 1.9x0.5x1.6 CON CERTIFICADO TUV GS, ISO 9000 Y DEMAS NORMAS APLICABLES - INCLUYE TODO PARA SU CORRECTO FUNCIONAMIENTO.</t>
  </si>
  <si>
    <t>MAQUINA BIOSALUDABLE SURF DOBLE DE 1.1x0.9x1.3 CON CERTIFICADO TUV GS, ISO 9000 Y DEMAS NORMAS APLICABLES - INCLUYE TODO PARA SU CORRECTO FUNCIONAMIENTO.</t>
  </si>
  <si>
    <t>MAQUINA BIOSALUDABLE BICICLETA DE 0.9x0.6x1.5 CON CERTIFICADO TUV GS, ISO 9000 Y DEMAS NORMAS APLICABLES - INCLUYE TODO PARA SU CORRECTO FUNCIONAMIENTO.</t>
  </si>
  <si>
    <t>MAQUINA BIOSALUDABLE PONY DE 1X0.6X1.5 CON CERTIFICADO TUV GS, ISO 9000 Y DEMAS NORMAS APLICABLES - INCLUYE TODO PARA SU CORRECTO FUNCIONAMIENTO.</t>
  </si>
  <si>
    <t>SUMINISTRO E INSTALACION DE MAQUINA BIOSALUDABLE DOBLE ABDOMINAL DE 1.5x1.0x1.0  CON CERTIFICADO TUV GS, ISO 9000 Y DEMAS NORMAS APLICABLES - INCLUYE TODO PARA SU CORRECTO FUNCIONAMIENTO.</t>
  </si>
  <si>
    <t>SUMINISTRO E INSTALACION DE MAQUINA BIOSALUDABLE REMO DE 1.5x1.0x1,0 CON CERTIFICADO TUV GS, ISO 9000 Y DEMAS NORMAS APLICABLES - INCLUYE TODO PARA SU CORRECTO FUNCIONAMIENTO.</t>
  </si>
  <si>
    <t>SUMINISTRO E INSTALACION DE MAQUINA BIOSALUDABLE ELIPTICA DE 1.0x0.5x1.7 CON CERTIFICADO TUV GS, ISO 9000 Y DEMAS NORMAS APLICABLES - INCLUYE TODO PARA SU CORRECTO FUNCIONAMIENTO.</t>
  </si>
  <si>
    <t xml:space="preserve">SUMINISTRO E INSTALACION DE MAQUINA BIOSALUDABLE COLUMPIO DOBLE DE 1.9x0.5x1.6 CON CERTIFICADO TUV GS, ISO 9000 Y DEMAS NORMAS APLICABLES - INCLUYE TODO PARA SU CORRECTO FUNCIONAMIENTO </t>
  </si>
  <si>
    <t>SUMINISTRO E INSTALACION DE MAQUINA BIOSALUDABLE SURF DOBLE DE 1.1x0.9x1.3 M. CON CERTIFICADO TUV GS, ISO 9000 Y DEMAS NORMAS APLICABLES - INCLUYE TODO PARA SU CORRECTO FUNCIONAMIENTO</t>
  </si>
  <si>
    <t xml:space="preserve">SUMINISTRO E INSTALACION DE MAQUINA BIOSALUDABLE BICICLETA DE 0.9x0.6x1.5 M. CON CERTIFICADO TUV GS, ISO 9000 Y DEMAS NORMAS APLICABLES - INCLUYE TODO PARA SU CORRECTO FUNCIONAMIENTO </t>
  </si>
  <si>
    <t xml:space="preserve">SUMINISTRO E INSTALACION DE MAQUINA BIOSALUDABLE PONY DE 1X0.6X1.5 M. CON CERTIFICADO TUV GS, ISO 9000 Y DEMAS NORMAS APLICABLES - INCLUYE TODO PARA SU CORRECTO FUNCIONAMIENTO </t>
  </si>
  <si>
    <t>MED-009</t>
  </si>
  <si>
    <t>PTA-022</t>
  </si>
  <si>
    <t>GRAMA NATURAL</t>
  </si>
  <si>
    <t xml:space="preserve">GRAMA NATURAL, INCLUYE TIERRA </t>
  </si>
  <si>
    <t>BARANDA EN ALUIMINIO 5 LINEAS, INCLUYE 2 POSTES L=2M</t>
  </si>
  <si>
    <t>MED-010</t>
  </si>
  <si>
    <t>MED-011</t>
  </si>
  <si>
    <t>BARANDA METÁLICA TUBO PETROLERO 2" TRES LINEAS (INCLUYE PINTURA)</t>
  </si>
  <si>
    <t>TIERRA NEGRA</t>
  </si>
  <si>
    <t>ELC-010</t>
  </si>
  <si>
    <t>SUMINISTRO E INSTALACION DE REFLECTOR 200W IP65, LUZ BLANCA 20.000 LM</t>
  </si>
  <si>
    <t>REFLECTOR 200W LUZ BLANCA IP65 20.000LM</t>
  </si>
  <si>
    <t>BARANDA EN ALUMINIO 5 TUBOS, INCLUYE POSTES Y ACCESORIOS</t>
  </si>
  <si>
    <t>LAMPARA LED DE 8.100 LM - 60W EXTERIOR TIPO FAROL</t>
  </si>
  <si>
    <t>ELC-011</t>
  </si>
  <si>
    <t>SUMINISTRO E INSTALACIÓN DE LUMINARIA EXTERIOR LED TIPO FAROL DE 8.100 LM Y 60W</t>
  </si>
  <si>
    <t>.2</t>
  </si>
  <si>
    <t>PAVIMENTACIÓN SECTORIAL DE LA CARRERA 5 ENTRE CALLES 2 Y 3 DEL MUNICIPIO DE RIOBLANCO TOLIMA</t>
  </si>
  <si>
    <t>FECHA: 1 DE JUNIO DEL 2026</t>
  </si>
  <si>
    <t>P-0016</t>
  </si>
  <si>
    <t>P-0017</t>
  </si>
  <si>
    <t>PAV</t>
  </si>
  <si>
    <t>PAVIMENTOS Y VIAS</t>
  </si>
  <si>
    <t>PAV-001</t>
  </si>
  <si>
    <t>SUMINISTRO, INSTALACION Y COMPACTACIÓN DE SUBBASE GRANULAR CLASE C</t>
  </si>
  <si>
    <t>PAV-002</t>
  </si>
  <si>
    <t>PAV-003</t>
  </si>
  <si>
    <t>ACERO DE REFUERZO FIGURADO ƒ'y= 4200 GRADO 60 (PAVIMENTO)</t>
  </si>
  <si>
    <t>PAV-004</t>
  </si>
  <si>
    <t xml:space="preserve">BORDILLO FUNDIDO EN SITIO DE 15X40 CM  EN CONCRETO 3000 PSI </t>
  </si>
  <si>
    <t>CERRAMIENTO EN LONA VERDE PROVISIONAL H:2 METROS</t>
  </si>
  <si>
    <t>LISTON DE MADERA 4CM X 4CM X 3M</t>
  </si>
  <si>
    <t>LISTON DE MADERA DE BAJA CALIDAD 10CM X 10CM X 2,5M</t>
  </si>
  <si>
    <t>Tela Verde 50m x 2.10m Ancho 48g/m2 (ROLLO)</t>
  </si>
  <si>
    <t>Puntilla de 2"</t>
  </si>
  <si>
    <t>LONGITUD</t>
  </si>
  <si>
    <t>CARREA 5 ENTRE CALLE 2 Y 3 (SECTOR UN CARRIL)</t>
  </si>
  <si>
    <t>CARREA 5 ENTRE CALLE 2 Y 3 (SECTOR POZO)</t>
  </si>
  <si>
    <t>PAV-005</t>
  </si>
  <si>
    <t>RELLENO EN AFIRMADO EN CAPAS COMPACTADAS DE NO MAS DE 20 CM</t>
  </si>
  <si>
    <t>SUBBASE GRANULAR CLASE C</t>
  </si>
  <si>
    <t>MOTONIVELADORA</t>
  </si>
  <si>
    <t>VIBROCOMPACTADOR DE RODILLO (1TON)</t>
  </si>
  <si>
    <t>ANTISOL</t>
  </si>
  <si>
    <t>200 G/M2</t>
  </si>
  <si>
    <t>POLIURETANO PARA JUNTAS DE PAVIMENTO</t>
  </si>
  <si>
    <t>100 M X 1 G</t>
  </si>
  <si>
    <t>CORTADORA PARA PAVIMENTO</t>
  </si>
  <si>
    <t>VIBRADOR DE CONCRETO (PAVIMENTO</t>
  </si>
  <si>
    <t>CORDON DE POLIURETANO ROLLO 1097 METROS</t>
  </si>
  <si>
    <t>DEMOLICIÓN DE PAVIMENTO EN CONCRETO RIGIDO, INCLUYE RETIRO</t>
  </si>
  <si>
    <t>CONCRETO PARA PAVIMENTO RÍGIDO MR-38, INCLUYE SELLADO DE JUNTAS</t>
  </si>
  <si>
    <t>CONCRETO PARA PAVIMENTO RÍGIDO MR-40, INCLUYE SELLADO DE JUNTAS</t>
  </si>
  <si>
    <t>PAV-006</t>
  </si>
  <si>
    <t>CARREA 5 ENTRE CALLE 2 Y 3 (DOVELA)</t>
  </si>
  <si>
    <t>N°</t>
  </si>
  <si>
    <t>PESO</t>
  </si>
  <si>
    <t>CANT. LINEA</t>
  </si>
  <si>
    <t>REP</t>
  </si>
  <si>
    <t>CARREA 5 ENTRE CALLE 2 Y 3 (AMARRE)</t>
  </si>
  <si>
    <t>LOZA DE POZO</t>
  </si>
  <si>
    <t>PAVIMENTACION</t>
  </si>
  <si>
    <t>HIDRAULICA Y SANITARIA</t>
  </si>
  <si>
    <t>HS-015</t>
  </si>
  <si>
    <t>MANGUERA PF 1/2" RDE 21 ROLLO 90 MTS</t>
  </si>
  <si>
    <t>MANGUERA POLIURETANO DE ALTA PRESIÓN 1/2" RDE 9</t>
  </si>
  <si>
    <t>UNION PF + UAD 1/2"</t>
  </si>
  <si>
    <t>ARQ. LINA MARITZA BOCANEGRA QUINTERO</t>
  </si>
  <si>
    <t>VALOR 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</si>
</sst>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5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_(&quot;$&quot;\ * #,##0.00_);_(&quot;$&quot;\ * \(#,##0.00\);_(&quot;$&quot;\ * &quot;-&quot;??_);_(@_)"/>
    <numFmt numFmtId="167" formatCode="&quot;$&quot;\ #,##0.00"/>
    <numFmt numFmtId="168" formatCode="_-&quot;$&quot;* #,##0.00_-;\-&quot;$&quot;* #,##0.00_-;_-&quot;$&quot;* &quot;-&quot;_-;_-@_-"/>
    <numFmt numFmtId="169" formatCode="_ &quot;$&quot;\ * #,##0.00_ ;_ &quot;$&quot;\ * \-#,##0.00_ ;_ &quot;$&quot;\ * &quot;-&quot;??_ ;_ @_ 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0.000"/>
    <numFmt numFmtId="173" formatCode="_ [$€-2]\ * #,##0.00_ ;_ [$€-2]\ * \-#,##0.00_ ;_ [$€-2]\ * &quot;-&quot;??_ "/>
    <numFmt numFmtId="174" formatCode="_-&quot;$&quot;\ * #,##0.00_-;\-&quot;$&quot;\ * #,##0.00_-;_-&quot;$&quot;\ * &quot;-&quot;_-;_-@_-"/>
    <numFmt numFmtId="175" formatCode="&quot;$&quot;\ #,##0"/>
    <numFmt numFmtId="176" formatCode="_-&quot;$&quot;\ * #,##0_-;\-&quot;$&quot;\ * #,##0_-;_-&quot;$&quot;\ * &quot;-&quot;??_-;_-@_-"/>
    <numFmt numFmtId="177" formatCode="&quot;$&quot;#,##0.0"/>
    <numFmt numFmtId="178" formatCode="[$$-240A]\ #,##0.0"/>
    <numFmt numFmtId="179" formatCode="&quot;$&quot;\ #,##0.0"/>
    <numFmt numFmtId="180" formatCode="_-* #,##0.00\ &quot;€&quot;_-;\-* #,##0.00\ &quot;€&quot;_-;_-* &quot;-&quot;??\ &quot;€&quot;_-;_-@_-"/>
    <numFmt numFmtId="181" formatCode="&quot;$&quot;\ #,##0.00;[Red]&quot;$&quot;\ \-#,##0.00"/>
    <numFmt numFmtId="182" formatCode="_ &quot;$&quot;\ * #,##0_ ;_ &quot;$&quot;\ * \-#,##0_ ;_ &quot;$&quot;\ * &quot;-&quot;_ ;_ @_ "/>
    <numFmt numFmtId="183" formatCode="#,##0.000"/>
    <numFmt numFmtId="184" formatCode="#,##0.0"/>
    <numFmt numFmtId="185" formatCode="_-* #,##0.00\ &quot;Pts&quot;_-;\-* #,##0.00\ &quot;Pts&quot;_-;_-* &quot;-&quot;??\ &quot;Pts&quot;_-;_-@_-"/>
    <numFmt numFmtId="186" formatCode="#,##0.0000"/>
    <numFmt numFmtId="187" formatCode="_-* #,##0.00\ [$€]_-;\-* #,##0.00\ [$€]_-;_-* &quot;-&quot;??\ [$€]_-;_-@_-"/>
    <numFmt numFmtId="188" formatCode="##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_-* #,##0.00\ _€_-;\-* #,##0.00\ _€_-;_-* &quot;-&quot;??\ _€_-;_-@_-"/>
    <numFmt numFmtId="204" formatCode="0.000000000000000"/>
    <numFmt numFmtId="205" formatCode="0.0000%"/>
    <numFmt numFmtId="206" formatCode="_ * #,##0.00_ ;_ * \-#,##0.00_ ;_ * \-??_ ;_ @_ "/>
    <numFmt numFmtId="207" formatCode="_-* #,##0.0000\ _€_-;\-* #,##0.0000\ _€_-;_-* &quot;-&quot;??\ _€_-;_-@_-"/>
    <numFmt numFmtId="208" formatCode="0.000000%"/>
    <numFmt numFmtId="209" formatCode="0.0000000000%"/>
    <numFmt numFmtId="210" formatCode="0.00000"/>
    <numFmt numFmtId="211" formatCode="0.000%"/>
    <numFmt numFmtId="212" formatCode="_-&quot;$&quot;\ * #,##0.0000_-;\-&quot;$&quot;\ * #,##0.0000_-;_-&quot;$&quot;\ * &quot;-&quot;??_-;_-@_-"/>
    <numFmt numFmtId="213" formatCode="_(* #,##0.00_);_(* \(#,##0.00\);_(* &quot;-&quot;??_);_(@_)"/>
    <numFmt numFmtId="214" formatCode="_-* #,##0.0000_-;\-* #,##0.0000_-;_-* &quot;-&quot;??_-;_-@_-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name val="Calibri"/>
      <family val="2"/>
      <scheme val="minor"/>
    </font>
    <font>
      <sz val="10"/>
      <name val="Arial"/>
      <family val="2"/>
    </font>
    <font>
      <b/>
      <sz val="10.5"/>
      <color theme="1"/>
      <name val="Calibri"/>
      <family val="2"/>
      <scheme val="minor"/>
    </font>
    <font>
      <sz val="8"/>
      <color theme="1"/>
      <name val="Tahoma"/>
      <family val="2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indexed="8"/>
      <name val="Calibri"/>
      <family val="2"/>
    </font>
    <font>
      <sz val="10.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color theme="1"/>
      <name val="Fuente de cuerpo"/>
      <family val="2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Arial Narrow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theme="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23919D"/>
      </left>
      <right/>
      <top style="thin">
        <color rgb="FF23919D"/>
      </top>
      <bottom style="thin">
        <color rgb="FF23919D"/>
      </bottom>
      <diagonal/>
    </border>
    <border>
      <left/>
      <right/>
      <top style="thin">
        <color rgb="FF23919D"/>
      </top>
      <bottom style="thin">
        <color rgb="FF23919D"/>
      </bottom>
      <diagonal/>
    </border>
    <border>
      <left/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 style="thin">
        <color rgb="FF23919D"/>
      </top>
      <bottom/>
      <diagonal/>
    </border>
    <border>
      <left style="thin">
        <color rgb="FF23919D"/>
      </left>
      <right style="thin">
        <color rgb="FF23919D"/>
      </right>
      <top style="thin">
        <color rgb="FF23919D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02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164" fontId="5" fillId="0" borderId="0" applyFont="0" applyFill="0" applyBorder="0" applyAlignment="0" applyProtection="0"/>
    <xf numFmtId="0" fontId="7" fillId="0" borderId="0"/>
    <xf numFmtId="166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170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5" fillId="0" borderId="0"/>
    <xf numFmtId="166" fontId="1" fillId="0" borderId="0" applyFont="0" applyFill="0" applyBorder="0" applyAlignment="0" applyProtection="0"/>
    <xf numFmtId="0" fontId="15" fillId="0" borderId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3" fillId="14" borderId="0" applyNumberFormat="0" applyBorder="0" applyAlignment="0" applyProtection="0"/>
    <xf numFmtId="0" fontId="2" fillId="0" borderId="30" applyNumberFormat="0" applyFill="0" applyAlignment="0" applyProtection="0"/>
    <xf numFmtId="0" fontId="24" fillId="0" borderId="0"/>
    <xf numFmtId="0" fontId="1" fillId="0" borderId="0"/>
    <xf numFmtId="44" fontId="1" fillId="0" borderId="0" applyFont="0" applyFill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19" borderId="0" applyNumberFormat="0" applyBorder="0" applyAlignment="0" applyProtection="0"/>
    <xf numFmtId="0" fontId="29" fillId="22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1" fillId="18" borderId="0" applyNumberFormat="0" applyBorder="0" applyAlignment="0" applyProtection="0"/>
    <xf numFmtId="0" fontId="32" fillId="30" borderId="38" applyNumberFormat="0" applyAlignment="0" applyProtection="0"/>
    <xf numFmtId="0" fontId="33" fillId="31" borderId="39" applyNumberFormat="0" applyAlignment="0" applyProtection="0"/>
    <xf numFmtId="0" fontId="34" fillId="0" borderId="40" applyNumberFormat="0" applyFill="0" applyAlignment="0" applyProtection="0"/>
    <xf numFmtId="0" fontId="35" fillId="0" borderId="0" applyNumberFormat="0" applyFill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36" fillId="21" borderId="38" applyNumberFormat="0" applyAlignment="0" applyProtection="0"/>
    <xf numFmtId="0" fontId="46" fillId="0" borderId="0">
      <alignment vertical="top"/>
    </xf>
    <xf numFmtId="187" fontId="5" fillId="0" borderId="0" applyFont="0" applyFill="0" applyBorder="0" applyAlignment="0" applyProtection="0"/>
    <xf numFmtId="0" fontId="37" fillId="17" borderId="0" applyNumberFormat="0" applyBorder="0" applyAlignment="0" applyProtection="0"/>
    <xf numFmtId="2" fontId="27" fillId="0" borderId="41" applyFont="0" applyBorder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18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29" fillId="0" borderId="0" applyFont="0" applyFill="0" applyBorder="0" applyAlignment="0" applyProtection="0"/>
    <xf numFmtId="181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37" borderId="42" applyNumberFormat="0" applyFont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9" fillId="30" borderId="43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44" applyNumberFormat="0" applyFill="0" applyAlignment="0" applyProtection="0"/>
    <xf numFmtId="0" fontId="44" fillId="0" borderId="45" applyNumberFormat="0" applyFill="0" applyAlignment="0" applyProtection="0"/>
    <xf numFmtId="0" fontId="35" fillId="0" borderId="46" applyNumberFormat="0" applyFill="0" applyAlignment="0" applyProtection="0"/>
    <xf numFmtId="0" fontId="42" fillId="0" borderId="0" applyNumberFormat="0" applyFill="0" applyBorder="0" applyAlignment="0" applyProtection="0"/>
    <xf numFmtId="0" fontId="45" fillId="0" borderId="47" applyNumberFormat="0" applyFill="0" applyAlignment="0" applyProtection="0"/>
    <xf numFmtId="0" fontId="45" fillId="0" borderId="47" applyNumberFormat="0" applyFill="0" applyAlignment="0" applyProtection="0"/>
    <xf numFmtId="16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85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19" borderId="0" applyNumberFormat="0" applyBorder="0" applyAlignment="0" applyProtection="0"/>
    <xf numFmtId="0" fontId="29" fillId="22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1" fillId="18" borderId="0" applyNumberFormat="0" applyBorder="0" applyAlignment="0" applyProtection="0"/>
    <xf numFmtId="0" fontId="32" fillId="30" borderId="38" applyNumberFormat="0" applyAlignment="0" applyProtection="0"/>
    <xf numFmtId="0" fontId="5" fillId="0" borderId="0"/>
    <xf numFmtId="0" fontId="33" fillId="31" borderId="39" applyNumberFormat="0" applyAlignment="0" applyProtection="0"/>
    <xf numFmtId="0" fontId="34" fillId="0" borderId="40" applyNumberFormat="0" applyFill="0" applyAlignment="0" applyProtection="0"/>
    <xf numFmtId="188" fontId="27" fillId="0" borderId="37">
      <alignment horizontal="right"/>
    </xf>
    <xf numFmtId="188" fontId="27" fillId="0" borderId="37">
      <alignment horizontal="right"/>
    </xf>
    <xf numFmtId="2" fontId="27" fillId="0" borderId="0"/>
    <xf numFmtId="2" fontId="27" fillId="0" borderId="0"/>
    <xf numFmtId="2" fontId="27" fillId="0" borderId="0"/>
    <xf numFmtId="172" fontId="27" fillId="0" borderId="0"/>
    <xf numFmtId="172" fontId="27" fillId="0" borderId="0"/>
    <xf numFmtId="172" fontId="27" fillId="0" borderId="0"/>
    <xf numFmtId="189" fontId="28" fillId="0" borderId="0"/>
    <xf numFmtId="189" fontId="28" fillId="0" borderId="0"/>
    <xf numFmtId="189" fontId="28" fillId="0" borderId="0"/>
    <xf numFmtId="188" fontId="27" fillId="0" borderId="37">
      <alignment horizontal="right"/>
    </xf>
    <xf numFmtId="190" fontId="5" fillId="0" borderId="0">
      <protection locked="0"/>
    </xf>
    <xf numFmtId="3" fontId="47" fillId="0" borderId="0" applyFont="0" applyFill="0" applyBorder="0" applyAlignment="0" applyProtection="0"/>
    <xf numFmtId="191" fontId="5" fillId="0" borderId="0">
      <protection locked="0"/>
    </xf>
    <xf numFmtId="192" fontId="47" fillId="0" borderId="0" applyFont="0" applyFill="0" applyBorder="0" applyAlignment="0" applyProtection="0"/>
    <xf numFmtId="193" fontId="5" fillId="0" borderId="0">
      <protection locked="0"/>
    </xf>
    <xf numFmtId="0" fontId="35" fillId="0" borderId="0" applyNumberFormat="0" applyFill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36" fillId="21" borderId="38" applyNumberFormat="0" applyAlignment="0" applyProtection="0"/>
    <xf numFmtId="194" fontId="48" fillId="0" borderId="0">
      <protection locked="0"/>
    </xf>
    <xf numFmtId="194" fontId="48" fillId="0" borderId="0">
      <protection locked="0"/>
    </xf>
    <xf numFmtId="194" fontId="48" fillId="0" borderId="0">
      <protection locked="0"/>
    </xf>
    <xf numFmtId="194" fontId="48" fillId="0" borderId="0">
      <protection locked="0"/>
    </xf>
    <xf numFmtId="194" fontId="48" fillId="0" borderId="0">
      <protection locked="0"/>
    </xf>
    <xf numFmtId="194" fontId="48" fillId="0" borderId="0">
      <protection locked="0"/>
    </xf>
    <xf numFmtId="194" fontId="48" fillId="0" borderId="0">
      <protection locked="0"/>
    </xf>
    <xf numFmtId="195" fontId="5" fillId="0" borderId="0">
      <protection locked="0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37" fillId="17" borderId="0" applyNumberFormat="0" applyBorder="0" applyAlignment="0" applyProtection="0"/>
    <xf numFmtId="197" fontId="27" fillId="0" borderId="0">
      <alignment horizontal="right"/>
    </xf>
    <xf numFmtId="197" fontId="27" fillId="0" borderId="0">
      <alignment horizontal="right"/>
    </xf>
    <xf numFmtId="197" fontId="27" fillId="0" borderId="0">
      <alignment horizontal="right"/>
    </xf>
    <xf numFmtId="198" fontId="27" fillId="0" borderId="0" applyFont="0" applyFill="0" applyBorder="0" applyAlignment="0">
      <alignment horizontal="center"/>
    </xf>
    <xf numFmtId="198" fontId="27" fillId="0" borderId="0" applyFont="0" applyFill="0" applyBorder="0" applyAlignment="0">
      <alignment horizontal="center"/>
    </xf>
    <xf numFmtId="2" fontId="27" fillId="0" borderId="41" applyFont="0" applyBorder="0"/>
    <xf numFmtId="43" fontId="29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99" fontId="27" fillId="0" borderId="0">
      <alignment horizontal="right"/>
    </xf>
    <xf numFmtId="199" fontId="27" fillId="0" borderId="0">
      <alignment horizontal="right"/>
    </xf>
    <xf numFmtId="199" fontId="2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29" fillId="0" borderId="0" applyFont="0" applyFill="0" applyBorder="0" applyAlignment="0" applyProtection="0"/>
    <xf numFmtId="192" fontId="51" fillId="0" borderId="0" applyFont="0" applyFill="0" applyBorder="0" applyAlignment="0" applyProtection="0"/>
    <xf numFmtId="0" fontId="38" fillId="36" borderId="0" applyNumberFormat="0" applyBorder="0" applyAlignment="0" applyProtection="0"/>
    <xf numFmtId="201" fontId="27" fillId="0" borderId="0" applyFont="0" applyFill="0" applyBorder="0" applyAlignment="0">
      <alignment horizontal="center"/>
    </xf>
    <xf numFmtId="201" fontId="2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20" fillId="0" borderId="0"/>
    <xf numFmtId="0" fontId="1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2" fillId="0" borderId="0"/>
    <xf numFmtId="0" fontId="5" fillId="0" borderId="0"/>
    <xf numFmtId="0" fontId="5" fillId="37" borderId="42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53" fillId="0" borderId="0">
      <alignment vertical="top"/>
    </xf>
    <xf numFmtId="0" fontId="39" fillId="30" borderId="43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44" applyNumberFormat="0" applyFill="0" applyAlignment="0" applyProtection="0"/>
    <xf numFmtId="0" fontId="44" fillId="0" borderId="45" applyNumberFormat="0" applyFill="0" applyAlignment="0" applyProtection="0"/>
    <xf numFmtId="0" fontId="35" fillId="0" borderId="46" applyNumberFormat="0" applyFill="0" applyAlignment="0" applyProtection="0"/>
    <xf numFmtId="0" fontId="42" fillId="0" borderId="0" applyNumberFormat="0" applyFill="0" applyBorder="0" applyAlignment="0" applyProtection="0"/>
    <xf numFmtId="196" fontId="5" fillId="0" borderId="48">
      <protection locked="0"/>
    </xf>
    <xf numFmtId="44" fontId="5" fillId="0" borderId="0" applyFont="0" applyFill="0" applyBorder="0" applyAlignment="0" applyProtection="0"/>
    <xf numFmtId="0" fontId="1" fillId="0" borderId="0"/>
    <xf numFmtId="42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4" fillId="0" borderId="0"/>
    <xf numFmtId="43" fontId="5" fillId="0" borderId="0" applyFont="0" applyFill="0" applyBorder="0" applyAlignment="0" applyProtection="0"/>
    <xf numFmtId="170" fontId="15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206" fontId="5" fillId="0" borderId="0"/>
    <xf numFmtId="43" fontId="5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1" fillId="0" borderId="0"/>
  </cellStyleXfs>
  <cellXfs count="582">
    <xf numFmtId="0" fontId="0" fillId="0" borderId="0" xfId="0"/>
    <xf numFmtId="0" fontId="1" fillId="0" borderId="0" xfId="3" applyAlignment="1">
      <alignment horizontal="center" vertical="center"/>
    </xf>
    <xf numFmtId="167" fontId="1" fillId="0" borderId="0" xfId="5" applyNumberFormat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7" borderId="15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2" fontId="10" fillId="0" borderId="1" xfId="0" applyNumberFormat="1" applyFont="1" applyBorder="1" applyAlignment="1">
      <alignment horizontal="center" wrapText="1"/>
    </xf>
    <xf numFmtId="2" fontId="12" fillId="8" borderId="19" xfId="0" applyNumberFormat="1" applyFont="1" applyFill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4" fillId="0" borderId="1" xfId="0" applyFont="1" applyBorder="1" applyAlignment="1">
      <alignment vertical="justify" wrapText="1"/>
    </xf>
    <xf numFmtId="2" fontId="14" fillId="0" borderId="20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 vertical="justify" wrapText="1"/>
    </xf>
    <xf numFmtId="2" fontId="14" fillId="0" borderId="19" xfId="0" applyNumberFormat="1" applyFont="1" applyBorder="1" applyAlignment="1">
      <alignment horizontal="center" vertical="justify" wrapText="1"/>
    </xf>
    <xf numFmtId="0" fontId="10" fillId="0" borderId="1" xfId="0" applyFont="1" applyBorder="1" applyAlignment="1">
      <alignment horizontal="center"/>
    </xf>
    <xf numFmtId="0" fontId="16" fillId="2" borderId="26" xfId="10" applyFont="1" applyFill="1" applyBorder="1"/>
    <xf numFmtId="0" fontId="16" fillId="2" borderId="0" xfId="10" applyFont="1" applyFill="1"/>
    <xf numFmtId="0" fontId="16" fillId="2" borderId="6" xfId="10" applyFont="1" applyFill="1" applyBorder="1" applyAlignment="1">
      <alignment horizontal="center" vertical="center"/>
    </xf>
    <xf numFmtId="0" fontId="16" fillId="0" borderId="1" xfId="10" applyFont="1" applyBorder="1" applyAlignment="1">
      <alignment horizontal="center"/>
    </xf>
    <xf numFmtId="0" fontId="17" fillId="0" borderId="1" xfId="10" applyFont="1" applyBorder="1" applyAlignment="1">
      <alignment horizontal="center"/>
    </xf>
    <xf numFmtId="2" fontId="16" fillId="0" borderId="1" xfId="10" applyNumberFormat="1" applyFont="1" applyBorder="1" applyAlignment="1">
      <alignment horizontal="center" vertical="center"/>
    </xf>
    <xf numFmtId="0" fontId="17" fillId="0" borderId="1" xfId="10" applyFont="1" applyBorder="1" applyAlignment="1">
      <alignment horizontal="center" vertical="center"/>
    </xf>
    <xf numFmtId="2" fontId="16" fillId="0" borderId="1" xfId="10" applyNumberFormat="1" applyFont="1" applyBorder="1" applyAlignment="1">
      <alignment horizontal="center"/>
    </xf>
    <xf numFmtId="168" fontId="16" fillId="0" borderId="1" xfId="11" applyNumberFormat="1" applyFont="1" applyBorder="1"/>
    <xf numFmtId="168" fontId="16" fillId="0" borderId="1" xfId="11" applyNumberFormat="1" applyFont="1" applyBorder="1" applyAlignment="1">
      <alignment horizontal="center" vertical="center"/>
    </xf>
    <xf numFmtId="2" fontId="16" fillId="0" borderId="1" xfId="12" applyNumberFormat="1" applyFont="1" applyBorder="1" applyAlignment="1">
      <alignment horizontal="center"/>
    </xf>
    <xf numFmtId="0" fontId="16" fillId="0" borderId="27" xfId="10" applyFont="1" applyBorder="1" applyAlignment="1">
      <alignment horizontal="center"/>
    </xf>
    <xf numFmtId="2" fontId="16" fillId="0" borderId="27" xfId="10" applyNumberFormat="1" applyFont="1" applyBorder="1" applyAlignment="1">
      <alignment horizontal="center"/>
    </xf>
    <xf numFmtId="168" fontId="16" fillId="0" borderId="27" xfId="11" applyNumberFormat="1" applyFont="1" applyBorder="1"/>
    <xf numFmtId="0" fontId="18" fillId="0" borderId="1" xfId="0" applyFont="1" applyBorder="1" applyAlignment="1">
      <alignment horizontal="center" vertical="center"/>
    </xf>
    <xf numFmtId="9" fontId="16" fillId="0" borderId="1" xfId="0" applyNumberFormat="1" applyFont="1" applyBorder="1" applyAlignment="1">
      <alignment horizontal="center"/>
    </xf>
    <xf numFmtId="168" fontId="18" fillId="0" borderId="1" xfId="9" applyNumberFormat="1" applyFont="1" applyBorder="1" applyAlignment="1">
      <alignment horizontal="center" vertical="center"/>
    </xf>
    <xf numFmtId="0" fontId="17" fillId="2" borderId="20" xfId="10" applyFont="1" applyFill="1" applyBorder="1" applyAlignment="1">
      <alignment horizontal="center"/>
    </xf>
    <xf numFmtId="168" fontId="16" fillId="2" borderId="1" xfId="11" applyNumberFormat="1" applyFont="1" applyFill="1" applyBorder="1" applyAlignment="1">
      <alignment horizontal="center" vertical="center"/>
    </xf>
    <xf numFmtId="171" fontId="16" fillId="0" borderId="1" xfId="13" applyFont="1" applyBorder="1"/>
    <xf numFmtId="0" fontId="16" fillId="0" borderId="1" xfId="10" applyFont="1" applyBorder="1"/>
    <xf numFmtId="170" fontId="16" fillId="0" borderId="1" xfId="11" applyFont="1" applyBorder="1" applyAlignment="1">
      <alignment horizontal="center" vertical="center"/>
    </xf>
    <xf numFmtId="0" fontId="17" fillId="2" borderId="1" xfId="10" applyFont="1" applyFill="1" applyBorder="1" applyAlignment="1">
      <alignment horizontal="center"/>
    </xf>
    <xf numFmtId="0" fontId="17" fillId="2" borderId="18" xfId="10" applyFont="1" applyFill="1" applyBorder="1" applyAlignment="1">
      <alignment horizontal="center"/>
    </xf>
    <xf numFmtId="170" fontId="16" fillId="2" borderId="16" xfId="11" applyFont="1" applyFill="1" applyBorder="1" applyAlignment="1">
      <alignment horizontal="center" vertical="center"/>
    </xf>
    <xf numFmtId="172" fontId="16" fillId="0" borderId="16" xfId="10" applyNumberFormat="1" applyFont="1" applyBorder="1" applyAlignment="1">
      <alignment horizontal="center"/>
    </xf>
    <xf numFmtId="0" fontId="16" fillId="2" borderId="1" xfId="10" applyFont="1" applyFill="1" applyBorder="1" applyAlignment="1">
      <alignment horizontal="center"/>
    </xf>
    <xf numFmtId="168" fontId="16" fillId="0" borderId="1" xfId="11" applyNumberFormat="1" applyFont="1" applyBorder="1" applyAlignment="1">
      <alignment horizontal="center"/>
    </xf>
    <xf numFmtId="172" fontId="16" fillId="0" borderId="1" xfId="10" applyNumberFormat="1" applyFont="1" applyBorder="1" applyAlignment="1">
      <alignment horizontal="center"/>
    </xf>
    <xf numFmtId="171" fontId="16" fillId="0" borderId="1" xfId="14" applyFont="1" applyBorder="1"/>
    <xf numFmtId="0" fontId="17" fillId="2" borderId="27" xfId="10" applyFont="1" applyFill="1" applyBorder="1" applyAlignment="1">
      <alignment horizontal="center"/>
    </xf>
    <xf numFmtId="0" fontId="17" fillId="0" borderId="27" xfId="10" applyFont="1" applyBorder="1" applyAlignment="1">
      <alignment horizontal="center" vertical="justify"/>
    </xf>
    <xf numFmtId="168" fontId="19" fillId="0" borderId="1" xfId="15" applyNumberFormat="1" applyFont="1" applyBorder="1"/>
    <xf numFmtId="168" fontId="16" fillId="0" borderId="1" xfId="10" applyNumberFormat="1" applyFont="1" applyBorder="1" applyAlignment="1">
      <alignment horizontal="center" vertical="center"/>
    </xf>
    <xf numFmtId="170" fontId="16" fillId="0" borderId="1" xfId="11" applyFont="1" applyBorder="1"/>
    <xf numFmtId="0" fontId="16" fillId="2" borderId="26" xfId="5" applyFont="1" applyFill="1" applyBorder="1"/>
    <xf numFmtId="0" fontId="16" fillId="2" borderId="0" xfId="5" applyFont="1" applyFill="1"/>
    <xf numFmtId="0" fontId="16" fillId="2" borderId="6" xfId="5" applyFont="1" applyFill="1" applyBorder="1" applyAlignment="1">
      <alignment horizontal="center" vertical="center"/>
    </xf>
    <xf numFmtId="0" fontId="16" fillId="2" borderId="26" xfId="0" applyFont="1" applyFill="1" applyBorder="1"/>
    <xf numFmtId="0" fontId="16" fillId="2" borderId="0" xfId="0" applyFont="1" applyFill="1"/>
    <xf numFmtId="0" fontId="16" fillId="2" borderId="6" xfId="0" applyFont="1" applyFill="1" applyBorder="1" applyAlignment="1">
      <alignment horizontal="center" vertical="center"/>
    </xf>
    <xf numFmtId="0" fontId="16" fillId="2" borderId="23" xfId="0" applyFont="1" applyFill="1" applyBorder="1"/>
    <xf numFmtId="0" fontId="16" fillId="2" borderId="29" xfId="0" applyFont="1" applyFill="1" applyBorder="1"/>
    <xf numFmtId="0" fontId="16" fillId="2" borderId="24" xfId="0" applyFont="1" applyFill="1" applyBorder="1" applyAlignment="1">
      <alignment horizontal="center" vertical="center"/>
    </xf>
    <xf numFmtId="174" fontId="16" fillId="0" borderId="1" xfId="8" applyNumberFormat="1" applyFont="1" applyBorder="1" applyAlignment="1">
      <alignment horizontal="center"/>
    </xf>
    <xf numFmtId="2" fontId="16" fillId="0" borderId="16" xfId="10" applyNumberFormat="1" applyFont="1" applyBorder="1" applyAlignment="1">
      <alignment horizontal="center"/>
    </xf>
    <xf numFmtId="166" fontId="6" fillId="11" borderId="1" xfId="20" applyNumberFormat="1" applyFont="1" applyFill="1" applyBorder="1" applyAlignment="1">
      <alignment vertical="center"/>
    </xf>
    <xf numFmtId="9" fontId="4" fillId="0" borderId="1" xfId="9" applyFont="1" applyBorder="1" applyAlignment="1" applyProtection="1">
      <alignment horizontal="center" vertical="center"/>
      <protection hidden="1"/>
    </xf>
    <xf numFmtId="167" fontId="4" fillId="0" borderId="1" xfId="7" applyNumberFormat="1" applyFont="1" applyBorder="1" applyAlignment="1" applyProtection="1">
      <alignment horizontal="right" vertical="center"/>
      <protection hidden="1"/>
    </xf>
    <xf numFmtId="0" fontId="21" fillId="0" borderId="26" xfId="3" applyFont="1" applyBorder="1"/>
    <xf numFmtId="0" fontId="21" fillId="0" borderId="23" xfId="3" applyFont="1" applyBorder="1"/>
    <xf numFmtId="0" fontId="21" fillId="0" borderId="29" xfId="3" applyFont="1" applyBorder="1" applyAlignment="1">
      <alignment horizontal="left"/>
    </xf>
    <xf numFmtId="170" fontId="4" fillId="2" borderId="26" xfId="21" applyFont="1" applyFill="1" applyBorder="1" applyAlignment="1" applyProtection="1">
      <alignment horizontal="center" vertical="center" wrapText="1"/>
      <protection hidden="1"/>
    </xf>
    <xf numFmtId="170" fontId="4" fillId="2" borderId="0" xfId="21" applyFont="1" applyFill="1" applyBorder="1" applyAlignment="1" applyProtection="1">
      <alignment horizontal="center" vertical="center" wrapText="1"/>
      <protection hidden="1"/>
    </xf>
    <xf numFmtId="167" fontId="4" fillId="2" borderId="6" xfId="7" applyNumberFormat="1" applyFont="1" applyFill="1" applyBorder="1" applyAlignment="1" applyProtection="1">
      <alignment horizontal="right" vertical="center"/>
      <protection hidden="1"/>
    </xf>
    <xf numFmtId="0" fontId="3" fillId="0" borderId="1" xfId="0" applyFont="1" applyBorder="1"/>
    <xf numFmtId="0" fontId="3" fillId="0" borderId="0" xfId="0" applyFont="1"/>
    <xf numFmtId="0" fontId="22" fillId="13" borderId="1" xfId="0" applyFont="1" applyFill="1" applyBorder="1"/>
    <xf numFmtId="0" fontId="22" fillId="1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176" fontId="0" fillId="0" borderId="1" xfId="22" applyNumberFormat="1" applyFont="1" applyBorder="1" applyAlignment="1">
      <alignment horizontal="center" vertical="center"/>
    </xf>
    <xf numFmtId="175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2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1" fillId="0" borderId="29" xfId="3" applyFont="1" applyBorder="1" applyAlignment="1">
      <alignment horizontal="center"/>
    </xf>
    <xf numFmtId="0" fontId="21" fillId="0" borderId="24" xfId="3" applyFont="1" applyBorder="1" applyAlignment="1">
      <alignment horizontal="center"/>
    </xf>
    <xf numFmtId="0" fontId="24" fillId="0" borderId="0" xfId="25"/>
    <xf numFmtId="3" fontId="11" fillId="15" borderId="34" xfId="23" applyNumberFormat="1" applyFont="1" applyFill="1" applyBorder="1" applyAlignment="1">
      <alignment horizontal="center" vertical="center"/>
    </xf>
    <xf numFmtId="177" fontId="11" fillId="15" borderId="34" xfId="24" applyNumberFormat="1" applyFont="1" applyFill="1" applyBorder="1" applyAlignment="1">
      <alignment vertical="center"/>
    </xf>
    <xf numFmtId="177" fontId="25" fillId="15" borderId="34" xfId="24" applyNumberFormat="1" applyFont="1" applyFill="1" applyBorder="1" applyAlignment="1" applyProtection="1">
      <alignment vertical="center"/>
    </xf>
    <xf numFmtId="0" fontId="11" fillId="15" borderId="34" xfId="24" applyNumberFormat="1" applyFont="1" applyFill="1" applyBorder="1" applyAlignment="1">
      <alignment vertical="center"/>
    </xf>
    <xf numFmtId="0" fontId="10" fillId="15" borderId="34" xfId="26" applyFont="1" applyFill="1" applyBorder="1" applyAlignment="1">
      <alignment horizontal="center" vertical="center"/>
    </xf>
    <xf numFmtId="0" fontId="11" fillId="15" borderId="34" xfId="24" applyFont="1" applyFill="1" applyBorder="1" applyAlignment="1" applyProtection="1">
      <alignment horizontal="center" vertical="center"/>
    </xf>
    <xf numFmtId="3" fontId="11" fillId="15" borderId="34" xfId="23" applyNumberFormat="1" applyFont="1" applyFill="1" applyBorder="1" applyAlignment="1" applyProtection="1">
      <alignment horizontal="center" vertical="center"/>
    </xf>
    <xf numFmtId="0" fontId="11" fillId="15" borderId="34" xfId="24" applyFont="1" applyFill="1" applyBorder="1" applyAlignment="1" applyProtection="1">
      <alignment horizontal="center" vertical="center" wrapText="1"/>
    </xf>
    <xf numFmtId="0" fontId="11" fillId="15" borderId="35" xfId="24" applyFont="1" applyFill="1" applyBorder="1" applyAlignment="1" applyProtection="1">
      <alignment horizontal="center" vertical="center" wrapText="1"/>
    </xf>
    <xf numFmtId="0" fontId="14" fillId="2" borderId="34" xfId="26" applyFont="1" applyFill="1" applyBorder="1" applyAlignment="1">
      <alignment horizontal="center" vertical="center"/>
    </xf>
    <xf numFmtId="0" fontId="14" fillId="2" borderId="34" xfId="24" applyFont="1" applyFill="1" applyBorder="1" applyAlignment="1" applyProtection="1">
      <alignment horizontal="center" vertical="center"/>
    </xf>
    <xf numFmtId="0" fontId="14" fillId="2" borderId="34" xfId="24" applyFont="1" applyFill="1" applyBorder="1" applyAlignment="1" applyProtection="1">
      <alignment horizontal="left" vertical="center" wrapText="1"/>
    </xf>
    <xf numFmtId="178" fontId="26" fillId="15" borderId="36" xfId="23" applyNumberFormat="1" applyFont="1" applyFill="1" applyBorder="1" applyAlignment="1" applyProtection="1">
      <alignment vertical="center"/>
    </xf>
    <xf numFmtId="0" fontId="14" fillId="2" borderId="34" xfId="24" applyFont="1" applyFill="1" applyBorder="1" applyAlignment="1" applyProtection="1">
      <alignment horizontal="center" vertical="center" wrapText="1"/>
    </xf>
    <xf numFmtId="0" fontId="14" fillId="2" borderId="34" xfId="24" applyFont="1" applyFill="1" applyBorder="1" applyAlignment="1">
      <alignment horizontal="center" vertical="center" wrapText="1"/>
    </xf>
    <xf numFmtId="44" fontId="14" fillId="2" borderId="34" xfId="27" applyFont="1" applyFill="1" applyBorder="1" applyAlignment="1">
      <alignment horizontal="center" vertical="center" wrapText="1"/>
    </xf>
    <xf numFmtId="178" fontId="14" fillId="2" borderId="34" xfId="24" applyNumberFormat="1" applyFont="1" applyFill="1" applyBorder="1" applyAlignment="1">
      <alignment horizontal="center" vertical="center" wrapText="1"/>
    </xf>
    <xf numFmtId="0" fontId="14" fillId="2" borderId="34" xfId="24" applyFont="1" applyFill="1" applyBorder="1" applyAlignment="1">
      <alignment horizontal="center" vertical="center"/>
    </xf>
    <xf numFmtId="0" fontId="1" fillId="0" borderId="0" xfId="26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4" fontId="0" fillId="0" borderId="0" xfId="22" applyFont="1"/>
    <xf numFmtId="0" fontId="0" fillId="0" borderId="16" xfId="0" applyBorder="1" applyAlignment="1">
      <alignment horizontal="left"/>
    </xf>
    <xf numFmtId="0" fontId="10" fillId="7" borderId="1" xfId="0" applyFont="1" applyFill="1" applyBorder="1" applyAlignment="1">
      <alignment horizontal="center" wrapText="1"/>
    </xf>
    <xf numFmtId="0" fontId="10" fillId="7" borderId="1" xfId="0" applyFont="1" applyFill="1" applyBorder="1" applyAlignment="1">
      <alignment horizontal="center" vertical="justify" wrapText="1"/>
    </xf>
    <xf numFmtId="0" fontId="3" fillId="2" borderId="1" xfId="2" applyFont="1" applyFill="1" applyBorder="1" applyAlignment="1">
      <alignment horizontal="justify" vertical="justify"/>
    </xf>
    <xf numFmtId="43" fontId="22" fillId="13" borderId="1" xfId="1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43" fontId="3" fillId="0" borderId="1" xfId="1" applyFont="1" applyBorder="1"/>
    <xf numFmtId="43" fontId="3" fillId="0" borderId="0" xfId="1" applyFont="1"/>
    <xf numFmtId="43" fontId="0" fillId="0" borderId="0" xfId="1" applyFont="1"/>
    <xf numFmtId="43" fontId="0" fillId="0" borderId="1" xfId="1" applyFont="1" applyBorder="1" applyAlignment="1">
      <alignment vertical="center"/>
    </xf>
    <xf numFmtId="43" fontId="16" fillId="0" borderId="1" xfId="1" applyFont="1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0" borderId="0" xfId="0" applyAlignment="1">
      <alignment wrapText="1"/>
    </xf>
    <xf numFmtId="44" fontId="16" fillId="2" borderId="1" xfId="22" applyFont="1" applyFill="1" applyBorder="1" applyAlignment="1">
      <alignment horizontal="center"/>
    </xf>
    <xf numFmtId="43" fontId="16" fillId="2" borderId="1" xfId="1" applyFont="1" applyFill="1" applyBorder="1" applyAlignment="1">
      <alignment horizontal="center"/>
    </xf>
    <xf numFmtId="0" fontId="22" fillId="1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6" xfId="0" applyFont="1" applyBorder="1"/>
    <xf numFmtId="0" fontId="0" fillId="0" borderId="16" xfId="0" applyBorder="1" applyAlignment="1">
      <alignment horizontal="left" vertical="top"/>
    </xf>
    <xf numFmtId="0" fontId="3" fillId="0" borderId="16" xfId="0" applyFont="1" applyBorder="1" applyAlignment="1">
      <alignment wrapText="1"/>
    </xf>
    <xf numFmtId="1" fontId="0" fillId="0" borderId="17" xfId="0" applyNumberFormat="1" applyBorder="1" applyAlignment="1">
      <alignment horizontal="center"/>
    </xf>
    <xf numFmtId="0" fontId="3" fillId="0" borderId="17" xfId="0" applyFont="1" applyBorder="1"/>
    <xf numFmtId="1" fontId="0" fillId="0" borderId="17" xfId="0" applyNumberFormat="1" applyBorder="1" applyAlignment="1">
      <alignment horizontal="center" vertical="center"/>
    </xf>
    <xf numFmtId="0" fontId="22" fillId="13" borderId="20" xfId="0" applyFont="1" applyFill="1" applyBorder="1" applyAlignment="1">
      <alignment horizontal="center" vertical="center"/>
    </xf>
    <xf numFmtId="0" fontId="22" fillId="13" borderId="20" xfId="0" applyFont="1" applyFill="1" applyBorder="1" applyAlignment="1">
      <alignment horizontal="center" vertical="center" wrapText="1"/>
    </xf>
    <xf numFmtId="175" fontId="22" fillId="13" borderId="20" xfId="0" applyNumberFormat="1" applyFont="1" applyFill="1" applyBorder="1" applyAlignment="1">
      <alignment horizontal="center" vertical="center"/>
    </xf>
    <xf numFmtId="1" fontId="22" fillId="13" borderId="23" xfId="0" applyNumberFormat="1" applyFont="1" applyFill="1" applyBorder="1" applyAlignment="1">
      <alignment horizontal="center" vertical="center"/>
    </xf>
    <xf numFmtId="0" fontId="3" fillId="0" borderId="22" xfId="0" applyFont="1" applyBorder="1"/>
    <xf numFmtId="0" fontId="3" fillId="0" borderId="27" xfId="0" applyFont="1" applyBorder="1"/>
    <xf numFmtId="176" fontId="0" fillId="0" borderId="27" xfId="22" applyNumberFormat="1" applyFont="1" applyBorder="1" applyAlignment="1">
      <alignment horizontal="center" vertical="center"/>
    </xf>
    <xf numFmtId="175" fontId="0" fillId="0" borderId="27" xfId="0" applyNumberFormat="1" applyBorder="1" applyAlignment="1">
      <alignment horizontal="center" vertical="center"/>
    </xf>
    <xf numFmtId="0" fontId="3" fillId="0" borderId="21" xfId="0" applyFont="1" applyBorder="1"/>
    <xf numFmtId="0" fontId="0" fillId="0" borderId="29" xfId="0" applyBorder="1"/>
    <xf numFmtId="44" fontId="3" fillId="0" borderId="1" xfId="22" applyFont="1" applyBorder="1"/>
    <xf numFmtId="44" fontId="0" fillId="0" borderId="1" xfId="22" applyFon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43" fontId="16" fillId="0" borderId="1" xfId="10" applyNumberFormat="1" applyFont="1" applyBorder="1" applyAlignment="1">
      <alignment horizontal="center"/>
    </xf>
    <xf numFmtId="44" fontId="0" fillId="0" borderId="1" xfId="22" applyFont="1" applyBorder="1" applyAlignment="1">
      <alignment vertical="center"/>
    </xf>
    <xf numFmtId="0" fontId="16" fillId="0" borderId="1" xfId="8" applyNumberFormat="1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176" fontId="3" fillId="0" borderId="1" xfId="22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/>
    </xf>
    <xf numFmtId="0" fontId="3" fillId="0" borderId="16" xfId="0" applyFont="1" applyBorder="1" applyAlignment="1">
      <alignment horizontal="left" wrapText="1"/>
    </xf>
    <xf numFmtId="179" fontId="24" fillId="0" borderId="0" xfId="25" applyNumberFormat="1"/>
    <xf numFmtId="0" fontId="22" fillId="0" borderId="0" xfId="294" applyFont="1"/>
    <xf numFmtId="0" fontId="14" fillId="0" borderId="0" xfId="294" applyFont="1"/>
    <xf numFmtId="0" fontId="22" fillId="38" borderId="0" xfId="294" applyFont="1" applyFill="1"/>
    <xf numFmtId="0" fontId="1" fillId="0" borderId="0" xfId="294" applyAlignment="1">
      <alignment horizontal="center"/>
    </xf>
    <xf numFmtId="0" fontId="1" fillId="0" borderId="0" xfId="294"/>
    <xf numFmtId="0" fontId="15" fillId="0" borderId="0" xfId="0" applyFont="1"/>
    <xf numFmtId="0" fontId="56" fillId="2" borderId="0" xfId="0" applyFont="1" applyFill="1"/>
    <xf numFmtId="0" fontId="11" fillId="2" borderId="0" xfId="0" applyFont="1" applyFill="1"/>
    <xf numFmtId="0" fontId="22" fillId="2" borderId="0" xfId="294" applyFont="1" applyFill="1"/>
    <xf numFmtId="0" fontId="1" fillId="2" borderId="0" xfId="294" applyFill="1" applyAlignment="1">
      <alignment horizontal="center"/>
    </xf>
    <xf numFmtId="0" fontId="1" fillId="2" borderId="0" xfId="294" applyFill="1"/>
    <xf numFmtId="0" fontId="0" fillId="2" borderId="0" xfId="0" applyFill="1"/>
    <xf numFmtId="203" fontId="22" fillId="38" borderId="0" xfId="294" applyNumberFormat="1" applyFont="1" applyFill="1"/>
    <xf numFmtId="0" fontId="57" fillId="2" borderId="0" xfId="294" applyFont="1" applyFill="1"/>
    <xf numFmtId="44" fontId="14" fillId="0" borderId="0" xfId="294" applyNumberFormat="1" applyFont="1"/>
    <xf numFmtId="43" fontId="59" fillId="2" borderId="0" xfId="1" applyFont="1" applyFill="1" applyBorder="1" applyAlignment="1">
      <alignment vertical="center"/>
    </xf>
    <xf numFmtId="203" fontId="57" fillId="2" borderId="0" xfId="294" applyNumberFormat="1" applyFont="1" applyFill="1"/>
    <xf numFmtId="171" fontId="58" fillId="2" borderId="7" xfId="295" applyFont="1" applyFill="1" applyBorder="1" applyAlignment="1">
      <alignment horizontal="center"/>
    </xf>
    <xf numFmtId="0" fontId="58" fillId="2" borderId="0" xfId="294" applyFont="1" applyFill="1" applyAlignment="1">
      <alignment horizontal="center"/>
    </xf>
    <xf numFmtId="0" fontId="58" fillId="2" borderId="0" xfId="294" applyFont="1" applyFill="1"/>
    <xf numFmtId="0" fontId="58" fillId="2" borderId="5" xfId="294" applyFont="1" applyFill="1" applyBorder="1" applyAlignment="1">
      <alignment horizontal="left" vertical="center"/>
    </xf>
    <xf numFmtId="171" fontId="60" fillId="0" borderId="0" xfId="295" applyFont="1" applyFill="1" applyAlignment="1">
      <alignment vertical="center" wrapText="1"/>
    </xf>
    <xf numFmtId="43" fontId="22" fillId="38" borderId="0" xfId="1" applyFont="1" applyFill="1"/>
    <xf numFmtId="43" fontId="57" fillId="38" borderId="0" xfId="294" applyNumberFormat="1" applyFont="1" applyFill="1"/>
    <xf numFmtId="171" fontId="61" fillId="39" borderId="14" xfId="296" applyNumberFormat="1" applyFont="1" applyFill="1" applyBorder="1" applyAlignment="1">
      <alignment horizontal="center"/>
    </xf>
    <xf numFmtId="10" fontId="61" fillId="39" borderId="14" xfId="296" applyNumberFormat="1" applyFont="1" applyFill="1" applyBorder="1" applyAlignment="1">
      <alignment horizontal="center"/>
    </xf>
    <xf numFmtId="0" fontId="61" fillId="39" borderId="13" xfId="294" applyFont="1" applyFill="1" applyBorder="1" applyAlignment="1">
      <alignment horizontal="center"/>
    </xf>
    <xf numFmtId="0" fontId="61" fillId="39" borderId="12" xfId="294" applyFont="1" applyFill="1" applyBorder="1" applyAlignment="1">
      <alignment horizontal="center"/>
    </xf>
    <xf numFmtId="171" fontId="14" fillId="0" borderId="0" xfId="294" applyNumberFormat="1" applyFont="1"/>
    <xf numFmtId="0" fontId="57" fillId="38" borderId="0" xfId="294" applyFont="1" applyFill="1"/>
    <xf numFmtId="171" fontId="58" fillId="0" borderId="7" xfId="294" applyNumberFormat="1" applyFont="1" applyBorder="1" applyAlignment="1">
      <alignment horizontal="center"/>
    </xf>
    <xf numFmtId="10" fontId="58" fillId="0" borderId="7" xfId="294" applyNumberFormat="1" applyFont="1" applyBorder="1" applyAlignment="1">
      <alignment horizontal="center"/>
    </xf>
    <xf numFmtId="0" fontId="58" fillId="0" borderId="0" xfId="294" applyFont="1"/>
    <xf numFmtId="0" fontId="58" fillId="0" borderId="5" xfId="294" applyFont="1" applyBorder="1" applyAlignment="1">
      <alignment horizontal="center"/>
    </xf>
    <xf numFmtId="204" fontId="0" fillId="0" borderId="0" xfId="0" applyNumberFormat="1"/>
    <xf numFmtId="42" fontId="14" fillId="0" borderId="0" xfId="8" applyFont="1"/>
    <xf numFmtId="171" fontId="61" fillId="39" borderId="14" xfId="297" applyFont="1" applyFill="1" applyBorder="1" applyAlignment="1">
      <alignment horizontal="center"/>
    </xf>
    <xf numFmtId="9" fontId="61" fillId="39" borderId="13" xfId="296" applyFont="1" applyFill="1" applyBorder="1" applyAlignment="1">
      <alignment horizontal="left"/>
    </xf>
    <xf numFmtId="0" fontId="61" fillId="39" borderId="13" xfId="294" applyFont="1" applyFill="1" applyBorder="1" applyAlignment="1">
      <alignment horizontal="left"/>
    </xf>
    <xf numFmtId="205" fontId="0" fillId="0" borderId="0" xfId="0" applyNumberFormat="1"/>
    <xf numFmtId="174" fontId="14" fillId="0" borderId="0" xfId="294" applyNumberFormat="1" applyFont="1"/>
    <xf numFmtId="44" fontId="57" fillId="38" borderId="0" xfId="294" applyNumberFormat="1" applyFont="1" applyFill="1"/>
    <xf numFmtId="171" fontId="58" fillId="0" borderId="7" xfId="297" applyFont="1" applyFill="1" applyBorder="1" applyAlignment="1">
      <alignment horizontal="center"/>
    </xf>
    <xf numFmtId="10" fontId="58" fillId="0" borderId="7" xfId="296" applyNumberFormat="1" applyFont="1" applyFill="1" applyBorder="1" applyAlignment="1">
      <alignment horizontal="center"/>
    </xf>
    <xf numFmtId="174" fontId="14" fillId="0" borderId="0" xfId="8" applyNumberFormat="1" applyFont="1"/>
    <xf numFmtId="171" fontId="58" fillId="0" borderId="7" xfId="8" applyNumberFormat="1" applyFont="1" applyFill="1" applyBorder="1" applyAlignment="1">
      <alignment horizontal="center"/>
    </xf>
    <xf numFmtId="10" fontId="58" fillId="2" borderId="7" xfId="294" applyNumberFormat="1" applyFont="1" applyFill="1" applyBorder="1" applyAlignment="1">
      <alignment horizontal="center"/>
    </xf>
    <xf numFmtId="0" fontId="61" fillId="2" borderId="49" xfId="298" applyNumberFormat="1" applyFont="1" applyFill="1" applyBorder="1" applyAlignment="1">
      <alignment vertical="center" wrapText="1"/>
    </xf>
    <xf numFmtId="0" fontId="61" fillId="2" borderId="0" xfId="294" applyFont="1" applyFill="1" applyAlignment="1">
      <alignment horizontal="right"/>
    </xf>
    <xf numFmtId="0" fontId="58" fillId="2" borderId="5" xfId="294" applyFont="1" applyFill="1" applyBorder="1" applyAlignment="1">
      <alignment horizontal="center"/>
    </xf>
    <xf numFmtId="44" fontId="55" fillId="0" borderId="0" xfId="294" applyNumberFormat="1" applyFont="1"/>
    <xf numFmtId="207" fontId="22" fillId="38" borderId="0" xfId="294" applyNumberFormat="1" applyFont="1" applyFill="1"/>
    <xf numFmtId="208" fontId="57" fillId="38" borderId="0" xfId="294" applyNumberFormat="1" applyFont="1" applyFill="1"/>
    <xf numFmtId="44" fontId="0" fillId="0" borderId="0" xfId="0" applyNumberFormat="1"/>
    <xf numFmtId="42" fontId="14" fillId="0" borderId="0" xfId="294" applyNumberFormat="1" applyFont="1"/>
    <xf numFmtId="43" fontId="22" fillId="38" borderId="0" xfId="294" applyNumberFormat="1" applyFont="1" applyFill="1"/>
    <xf numFmtId="171" fontId="58" fillId="0" borderId="7" xfId="297" applyFont="1" applyBorder="1" applyAlignment="1">
      <alignment horizontal="center"/>
    </xf>
    <xf numFmtId="10" fontId="58" fillId="0" borderId="7" xfId="296" applyNumberFormat="1" applyFont="1" applyBorder="1" applyAlignment="1">
      <alignment horizontal="center"/>
    </xf>
    <xf numFmtId="0" fontId="61" fillId="0" borderId="0" xfId="294" applyFont="1" applyAlignment="1">
      <alignment horizontal="center"/>
    </xf>
    <xf numFmtId="10" fontId="58" fillId="0" borderId="0" xfId="296" applyNumberFormat="1" applyFont="1" applyBorder="1" applyAlignment="1">
      <alignment horizontal="center"/>
    </xf>
    <xf numFmtId="44" fontId="58" fillId="0" borderId="0" xfId="22" applyFont="1" applyAlignment="1">
      <alignment horizontal="left"/>
    </xf>
    <xf numFmtId="0" fontId="58" fillId="0" borderId="0" xfId="294" applyFont="1" applyAlignment="1">
      <alignment horizontal="left"/>
    </xf>
    <xf numFmtId="0" fontId="58" fillId="0" borderId="0" xfId="294" applyFont="1" applyAlignment="1">
      <alignment horizontal="center"/>
    </xf>
    <xf numFmtId="167" fontId="0" fillId="0" borderId="0" xfId="0" applyNumberFormat="1"/>
    <xf numFmtId="209" fontId="14" fillId="0" borderId="0" xfId="9" applyNumberFormat="1" applyFont="1"/>
    <xf numFmtId="43" fontId="57" fillId="38" borderId="0" xfId="1" applyFont="1" applyFill="1"/>
    <xf numFmtId="10" fontId="61" fillId="39" borderId="13" xfId="296" applyNumberFormat="1" applyFont="1" applyFill="1" applyBorder="1" applyAlignment="1">
      <alignment horizontal="center"/>
    </xf>
    <xf numFmtId="9" fontId="58" fillId="0" borderId="0" xfId="296" applyFont="1" applyBorder="1" applyAlignment="1">
      <alignment horizontal="center"/>
    </xf>
    <xf numFmtId="10" fontId="14" fillId="0" borderId="0" xfId="294" applyNumberFormat="1" applyFont="1"/>
    <xf numFmtId="2" fontId="58" fillId="0" borderId="0" xfId="294" applyNumberFormat="1" applyFont="1" applyAlignment="1">
      <alignment horizontal="left"/>
    </xf>
    <xf numFmtId="210" fontId="0" fillId="0" borderId="0" xfId="0" applyNumberFormat="1"/>
    <xf numFmtId="42" fontId="0" fillId="0" borderId="0" xfId="0" applyNumberFormat="1"/>
    <xf numFmtId="211" fontId="22" fillId="38" borderId="0" xfId="1" applyNumberFormat="1" applyFont="1" applyFill="1"/>
    <xf numFmtId="42" fontId="58" fillId="0" borderId="0" xfId="8" applyFont="1" applyBorder="1" applyAlignment="1">
      <alignment horizontal="left"/>
    </xf>
    <xf numFmtId="4" fontId="58" fillId="0" borderId="0" xfId="294" applyNumberFormat="1" applyFont="1" applyAlignment="1">
      <alignment horizontal="center" vertical="center"/>
    </xf>
    <xf numFmtId="0" fontId="58" fillId="0" borderId="0" xfId="294" applyFont="1" applyAlignment="1">
      <alignment horizontal="center" vertical="center"/>
    </xf>
    <xf numFmtId="211" fontId="22" fillId="38" borderId="0" xfId="294" applyNumberFormat="1" applyFont="1" applyFill="1"/>
    <xf numFmtId="0" fontId="61" fillId="39" borderId="50" xfId="294" applyFont="1" applyFill="1" applyBorder="1" applyAlignment="1">
      <alignment horizontal="center"/>
    </xf>
    <xf numFmtId="9" fontId="61" fillId="39" borderId="50" xfId="296" applyFont="1" applyFill="1" applyBorder="1" applyAlignment="1">
      <alignment horizontal="center" vertical="center"/>
    </xf>
    <xf numFmtId="0" fontId="61" fillId="39" borderId="50" xfId="294" applyFont="1" applyFill="1" applyBorder="1" applyAlignment="1">
      <alignment horizontal="center" vertical="center"/>
    </xf>
    <xf numFmtId="0" fontId="61" fillId="39" borderId="50" xfId="294" applyFont="1" applyFill="1" applyBorder="1" applyAlignment="1">
      <alignment horizontal="center" vertical="center" wrapText="1"/>
    </xf>
    <xf numFmtId="0" fontId="61" fillId="39" borderId="13" xfId="294" applyFont="1" applyFill="1" applyBorder="1" applyAlignment="1">
      <alignment horizontal="left" wrapText="1"/>
    </xf>
    <xf numFmtId="212" fontId="14" fillId="0" borderId="0" xfId="294" applyNumberFormat="1" applyFont="1"/>
    <xf numFmtId="213" fontId="22" fillId="0" borderId="0" xfId="294" applyNumberFormat="1" applyFont="1"/>
    <xf numFmtId="183" fontId="22" fillId="38" borderId="0" xfId="1" applyNumberFormat="1" applyFont="1" applyFill="1"/>
    <xf numFmtId="171" fontId="14" fillId="0" borderId="0" xfId="295" applyFont="1"/>
    <xf numFmtId="42" fontId="61" fillId="4" borderId="4" xfId="8" applyFont="1" applyFill="1" applyBorder="1" applyAlignment="1">
      <alignment horizontal="center" vertical="center" wrapText="1"/>
    </xf>
    <xf numFmtId="0" fontId="61" fillId="4" borderId="50" xfId="294" applyFont="1" applyFill="1" applyBorder="1" applyAlignment="1">
      <alignment horizontal="center" vertical="center" wrapText="1"/>
    </xf>
    <xf numFmtId="0" fontId="61" fillId="40" borderId="51" xfId="294" applyFont="1" applyFill="1" applyBorder="1" applyAlignment="1">
      <alignment horizontal="center" vertical="center"/>
    </xf>
    <xf numFmtId="0" fontId="61" fillId="40" borderId="52" xfId="294" applyFont="1" applyFill="1" applyBorder="1" applyAlignment="1">
      <alignment horizontal="center" vertical="center"/>
    </xf>
    <xf numFmtId="0" fontId="58" fillId="0" borderId="7" xfId="294" applyFont="1" applyBorder="1" applyAlignment="1">
      <alignment horizontal="center"/>
    </xf>
    <xf numFmtId="0" fontId="14" fillId="0" borderId="0" xfId="294" applyFont="1" applyAlignment="1">
      <alignment wrapText="1"/>
    </xf>
    <xf numFmtId="0" fontId="22" fillId="0" borderId="0" xfId="294" applyFont="1" applyAlignment="1">
      <alignment wrapText="1"/>
    </xf>
    <xf numFmtId="0" fontId="22" fillId="38" borderId="0" xfId="294" applyFont="1" applyFill="1" applyAlignment="1">
      <alignment wrapText="1"/>
    </xf>
    <xf numFmtId="2" fontId="22" fillId="38" borderId="0" xfId="294" applyNumberFormat="1" applyFont="1" applyFill="1" applyAlignment="1">
      <alignment horizontal="center" wrapText="1"/>
    </xf>
    <xf numFmtId="0" fontId="57" fillId="38" borderId="0" xfId="294" applyFont="1" applyFill="1" applyAlignment="1">
      <alignment wrapText="1"/>
    </xf>
    <xf numFmtId="0" fontId="62" fillId="2" borderId="11" xfId="0" applyFont="1" applyFill="1" applyBorder="1" applyAlignment="1">
      <alignment vertical="center" wrapText="1"/>
    </xf>
    <xf numFmtId="0" fontId="62" fillId="2" borderId="10" xfId="0" applyFont="1" applyFill="1" applyBorder="1" applyAlignment="1">
      <alignment vertical="center" wrapText="1"/>
    </xf>
    <xf numFmtId="0" fontId="62" fillId="2" borderId="8" xfId="0" applyFont="1" applyFill="1" applyBorder="1" applyAlignment="1">
      <alignment vertical="center" wrapText="1"/>
    </xf>
    <xf numFmtId="0" fontId="62" fillId="38" borderId="0" xfId="0" applyFont="1" applyFill="1" applyAlignment="1">
      <alignment wrapText="1"/>
    </xf>
    <xf numFmtId="0" fontId="62" fillId="2" borderId="7" xfId="0" applyFont="1" applyFill="1" applyBorder="1" applyAlignment="1">
      <alignment vertical="center" wrapText="1"/>
    </xf>
    <xf numFmtId="0" fontId="62" fillId="2" borderId="5" xfId="0" applyFont="1" applyFill="1" applyBorder="1" applyAlignment="1">
      <alignment vertical="center" wrapText="1"/>
    </xf>
    <xf numFmtId="43" fontId="11" fillId="38" borderId="0" xfId="299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43" fontId="22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63" fillId="0" borderId="0" xfId="300" applyFill="1" applyBorder="1" applyAlignment="1">
      <alignment horizontal="center"/>
    </xf>
    <xf numFmtId="0" fontId="3" fillId="0" borderId="0" xfId="2" applyFont="1" applyAlignment="1">
      <alignment horizontal="justify" vertical="justify"/>
    </xf>
    <xf numFmtId="0" fontId="3" fillId="0" borderId="0" xfId="2" applyFont="1" applyAlignment="1">
      <alignment horizontal="center" vertical="center"/>
    </xf>
    <xf numFmtId="0" fontId="3" fillId="0" borderId="0" xfId="2" applyFont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2" fontId="3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63" fillId="0" borderId="0" xfId="300" applyBorder="1" applyAlignment="1">
      <alignment horizontal="center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3" borderId="1" xfId="2" applyFont="1" applyFill="1" applyBorder="1" applyAlignment="1" applyProtection="1">
      <alignment horizontal="center" vertical="center"/>
      <protection hidden="1"/>
    </xf>
    <xf numFmtId="2" fontId="10" fillId="3" borderId="1" xfId="2" applyNumberFormat="1" applyFont="1" applyFill="1" applyBorder="1" applyAlignment="1" applyProtection="1">
      <alignment horizontal="center" vertical="center"/>
      <protection hidden="1"/>
    </xf>
    <xf numFmtId="165" fontId="10" fillId="3" borderId="1" xfId="4" applyNumberFormat="1" applyFont="1" applyFill="1" applyBorder="1" applyAlignment="1" applyProtection="1">
      <alignment horizontal="center" vertical="center" wrapText="1"/>
      <protection hidden="1"/>
    </xf>
    <xf numFmtId="0" fontId="14" fillId="2" borderId="1" xfId="2" applyFont="1" applyFill="1" applyBorder="1" applyAlignment="1">
      <alignment horizontal="center" vertical="center"/>
    </xf>
    <xf numFmtId="0" fontId="14" fillId="2" borderId="1" xfId="2" applyFont="1" applyFill="1" applyBorder="1" applyAlignment="1">
      <alignment horizontal="center" vertical="justify" wrapText="1"/>
    </xf>
    <xf numFmtId="2" fontId="14" fillId="0" borderId="1" xfId="2" applyNumberFormat="1" applyFont="1" applyBorder="1" applyAlignment="1">
      <alignment horizontal="center" vertical="top"/>
    </xf>
    <xf numFmtId="167" fontId="14" fillId="0" borderId="1" xfId="2" applyNumberFormat="1" applyFont="1" applyBorder="1" applyAlignment="1">
      <alignment vertical="top"/>
    </xf>
    <xf numFmtId="0" fontId="1" fillId="10" borderId="1" xfId="0" applyFont="1" applyFill="1" applyBorder="1" applyAlignment="1">
      <alignment horizontal="center"/>
    </xf>
    <xf numFmtId="0" fontId="1" fillId="10" borderId="1" xfId="0" applyFont="1" applyFill="1" applyBorder="1"/>
    <xf numFmtId="0" fontId="14" fillId="2" borderId="1" xfId="2" applyFont="1" applyFill="1" applyBorder="1" applyAlignment="1">
      <alignment horizontal="justify" vertical="justify"/>
    </xf>
    <xf numFmtId="0" fontId="14" fillId="2" borderId="1" xfId="2" applyFont="1" applyFill="1" applyBorder="1" applyAlignment="1">
      <alignment horizontal="center" vertical="justify"/>
    </xf>
    <xf numFmtId="167" fontId="14" fillId="2" borderId="1" xfId="2" applyNumberFormat="1" applyFont="1" applyFill="1" applyBorder="1" applyAlignment="1">
      <alignment horizontal="right" vertical="center"/>
    </xf>
    <xf numFmtId="0" fontId="0" fillId="0" borderId="0" xfId="0" applyAlignment="1">
      <alignment horizontal="left" wrapText="1"/>
    </xf>
    <xf numFmtId="0" fontId="3" fillId="0" borderId="0" xfId="2" applyFont="1" applyAlignment="1" applyProtection="1">
      <alignment horizontal="justify" vertical="justify"/>
      <protection hidden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9" fillId="0" borderId="17" xfId="10" applyFont="1" applyBorder="1" applyAlignment="1">
      <alignment horizontal="left"/>
    </xf>
    <xf numFmtId="0" fontId="19" fillId="0" borderId="18" xfId="10" applyFont="1" applyBorder="1" applyAlignment="1">
      <alignment horizontal="left"/>
    </xf>
    <xf numFmtId="0" fontId="19" fillId="0" borderId="16" xfId="1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167" fontId="14" fillId="2" borderId="1" xfId="22" applyNumberFormat="1" applyFont="1" applyFill="1" applyBorder="1" applyAlignment="1">
      <alignment horizontal="right" vertical="justify" wrapText="1"/>
    </xf>
    <xf numFmtId="0" fontId="63" fillId="0" borderId="0" xfId="300" applyAlignment="1">
      <alignment horizontal="center"/>
    </xf>
    <xf numFmtId="167" fontId="3" fillId="0" borderId="0" xfId="0" applyNumberFormat="1" applyFont="1" applyAlignment="1">
      <alignment horizontal="right" wrapText="1"/>
    </xf>
    <xf numFmtId="167" fontId="0" fillId="0" borderId="0" xfId="22" applyNumberFormat="1" applyFont="1" applyFill="1" applyBorder="1" applyAlignment="1">
      <alignment horizontal="right"/>
    </xf>
    <xf numFmtId="167" fontId="3" fillId="0" borderId="0" xfId="22" applyNumberFormat="1" applyFont="1" applyFill="1" applyBorder="1" applyAlignment="1">
      <alignment horizontal="right"/>
    </xf>
    <xf numFmtId="167" fontId="3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 vertical="center"/>
    </xf>
    <xf numFmtId="167" fontId="3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3" fontId="22" fillId="13" borderId="17" xfId="1" applyFont="1" applyFill="1" applyBorder="1" applyAlignment="1">
      <alignment horizontal="center" vertical="center" wrapText="1"/>
    </xf>
    <xf numFmtId="43" fontId="0" fillId="0" borderId="17" xfId="1" applyFont="1" applyBorder="1" applyAlignment="1">
      <alignment horizontal="center"/>
    </xf>
    <xf numFmtId="43" fontId="0" fillId="0" borderId="17" xfId="1" applyFont="1" applyBorder="1" applyAlignment="1">
      <alignment horizontal="center" vertical="center"/>
    </xf>
    <xf numFmtId="43" fontId="3" fillId="0" borderId="17" xfId="1" applyFont="1" applyBorder="1"/>
    <xf numFmtId="0" fontId="22" fillId="13" borderId="20" xfId="0" applyFont="1" applyFill="1" applyBorder="1" applyAlignment="1">
      <alignment horizontal="center"/>
    </xf>
    <xf numFmtId="43" fontId="22" fillId="13" borderId="20" xfId="1" applyFont="1" applyFill="1" applyBorder="1" applyAlignment="1">
      <alignment horizontal="center" vertical="center" wrapText="1"/>
    </xf>
    <xf numFmtId="43" fontId="22" fillId="13" borderId="23" xfId="1" applyFont="1" applyFill="1" applyBorder="1" applyAlignment="1">
      <alignment horizontal="center" vertical="center" wrapText="1"/>
    </xf>
    <xf numFmtId="43" fontId="3" fillId="0" borderId="27" xfId="1" applyFont="1" applyBorder="1"/>
    <xf numFmtId="0" fontId="3" fillId="2" borderId="1" xfId="2" applyFont="1" applyFill="1" applyBorder="1" applyAlignment="1">
      <alignment horizontal="center"/>
    </xf>
    <xf numFmtId="43" fontId="3" fillId="0" borderId="1" xfId="1" applyFont="1" applyBorder="1" applyAlignment="1">
      <alignment horizontal="center" vertical="center"/>
    </xf>
    <xf numFmtId="175" fontId="0" fillId="0" borderId="1" xfId="1" applyNumberFormat="1" applyFont="1" applyBorder="1" applyAlignment="1">
      <alignment horizontal="center" vertical="center"/>
    </xf>
    <xf numFmtId="0" fontId="16" fillId="0" borderId="17" xfId="10" applyFont="1" applyBorder="1" applyAlignment="1">
      <alignment horizontal="center"/>
    </xf>
    <xf numFmtId="0" fontId="16" fillId="0" borderId="18" xfId="10" applyFont="1" applyBorder="1" applyAlignment="1">
      <alignment horizontal="center"/>
    </xf>
    <xf numFmtId="0" fontId="0" fillId="13" borderId="0" xfId="0" applyFill="1" applyAlignment="1">
      <alignment horizontal="center"/>
    </xf>
    <xf numFmtId="0" fontId="0" fillId="0" borderId="1" xfId="0" applyBorder="1" applyAlignment="1">
      <alignment horizontal="left" wrapText="1"/>
    </xf>
    <xf numFmtId="0" fontId="0" fillId="41" borderId="0" xfId="0" applyFill="1" applyAlignment="1">
      <alignment horizontal="center"/>
    </xf>
    <xf numFmtId="0" fontId="4" fillId="41" borderId="1" xfId="0" applyFont="1" applyFill="1" applyBorder="1" applyAlignment="1">
      <alignment wrapText="1"/>
    </xf>
    <xf numFmtId="0" fontId="3" fillId="41" borderId="1" xfId="2" applyFont="1" applyFill="1" applyBorder="1" applyAlignment="1">
      <alignment horizontal="center" vertical="justify"/>
    </xf>
    <xf numFmtId="0" fontId="0" fillId="41" borderId="1" xfId="0" applyFill="1" applyBorder="1" applyAlignment="1">
      <alignment horizontal="center" vertical="center"/>
    </xf>
    <xf numFmtId="43" fontId="0" fillId="41" borderId="1" xfId="1" applyFont="1" applyFill="1" applyBorder="1" applyAlignment="1">
      <alignment horizontal="center" vertical="center"/>
    </xf>
    <xf numFmtId="176" fontId="0" fillId="41" borderId="1" xfId="22" applyNumberFormat="1" applyFont="1" applyFill="1" applyBorder="1" applyAlignment="1">
      <alignment horizontal="center" vertical="center"/>
    </xf>
    <xf numFmtId="175" fontId="0" fillId="41" borderId="1" xfId="0" applyNumberFormat="1" applyFill="1" applyBorder="1" applyAlignment="1">
      <alignment horizontal="center" vertical="center"/>
    </xf>
    <xf numFmtId="1" fontId="0" fillId="41" borderId="17" xfId="0" applyNumberFormat="1" applyFill="1" applyBorder="1" applyAlignment="1">
      <alignment horizontal="center" vertical="center"/>
    </xf>
    <xf numFmtId="0" fontId="4" fillId="41" borderId="1" xfId="0" applyFont="1" applyFill="1" applyBorder="1" applyAlignment="1">
      <alignment horizontal="center" wrapText="1"/>
    </xf>
    <xf numFmtId="0" fontId="3" fillId="41" borderId="1" xfId="0" applyFont="1" applyFill="1" applyBorder="1" applyAlignment="1">
      <alignment horizontal="center"/>
    </xf>
    <xf numFmtId="0" fontId="0" fillId="41" borderId="1" xfId="0" applyFill="1" applyBorder="1" applyAlignment="1">
      <alignment horizontal="center"/>
    </xf>
    <xf numFmtId="43" fontId="3" fillId="41" borderId="1" xfId="1" applyFont="1" applyFill="1" applyBorder="1"/>
    <xf numFmtId="43" fontId="3" fillId="41" borderId="17" xfId="1" applyFont="1" applyFill="1" applyBorder="1"/>
    <xf numFmtId="12" fontId="3" fillId="41" borderId="1" xfId="0" applyNumberFormat="1" applyFont="1" applyFill="1" applyBorder="1" applyAlignment="1">
      <alignment horizontal="center"/>
    </xf>
    <xf numFmtId="1" fontId="0" fillId="41" borderId="17" xfId="0" applyNumberFormat="1" applyFill="1" applyBorder="1" applyAlignment="1">
      <alignment horizontal="center"/>
    </xf>
    <xf numFmtId="2" fontId="0" fillId="0" borderId="1" xfId="1" applyNumberFormat="1" applyFont="1" applyBorder="1" applyAlignment="1">
      <alignment horizontal="center" vertical="center"/>
    </xf>
    <xf numFmtId="2" fontId="0" fillId="0" borderId="1" xfId="22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/>
    </xf>
    <xf numFmtId="2" fontId="0" fillId="0" borderId="17" xfId="0" applyNumberFormat="1" applyBorder="1" applyAlignment="1">
      <alignment horizontal="center" vertical="center"/>
    </xf>
    <xf numFmtId="2" fontId="3" fillId="0" borderId="1" xfId="0" applyNumberFormat="1" applyFont="1" applyBorder="1"/>
    <xf numFmtId="2" fontId="3" fillId="0" borderId="17" xfId="0" applyNumberFormat="1" applyFont="1" applyBorder="1"/>
    <xf numFmtId="2" fontId="16" fillId="0" borderId="1" xfId="1" applyNumberFormat="1" applyFont="1" applyBorder="1" applyAlignment="1">
      <alignment horizontal="center"/>
    </xf>
    <xf numFmtId="167" fontId="10" fillId="10" borderId="1" xfId="2" applyNumberFormat="1" applyFont="1" applyFill="1" applyBorder="1" applyAlignment="1">
      <alignment horizontal="right" vertical="center"/>
    </xf>
    <xf numFmtId="2" fontId="3" fillId="0" borderId="1" xfId="22" applyNumberFormat="1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/>
    </xf>
    <xf numFmtId="2" fontId="3" fillId="0" borderId="1" xfId="1" applyNumberFormat="1" applyFont="1" applyBorder="1"/>
    <xf numFmtId="0" fontId="0" fillId="41" borderId="1" xfId="0" applyFill="1" applyBorder="1" applyAlignment="1">
      <alignment horizontal="center" wrapText="1"/>
    </xf>
    <xf numFmtId="2" fontId="0" fillId="41" borderId="1" xfId="1" applyNumberFormat="1" applyFont="1" applyFill="1" applyBorder="1" applyAlignment="1">
      <alignment horizontal="center" vertical="center"/>
    </xf>
    <xf numFmtId="2" fontId="0" fillId="41" borderId="1" xfId="22" applyNumberFormat="1" applyFont="1" applyFill="1" applyBorder="1" applyAlignment="1">
      <alignment horizontal="center" vertical="center"/>
    </xf>
    <xf numFmtId="2" fontId="3" fillId="41" borderId="1" xfId="0" applyNumberFormat="1" applyFont="1" applyFill="1" applyBorder="1"/>
    <xf numFmtId="2" fontId="0" fillId="41" borderId="1" xfId="0" applyNumberFormat="1" applyFill="1" applyBorder="1" applyAlignment="1">
      <alignment horizontal="center" vertical="center"/>
    </xf>
    <xf numFmtId="2" fontId="3" fillId="41" borderId="17" xfId="0" applyNumberFormat="1" applyFont="1" applyFill="1" applyBorder="1"/>
    <xf numFmtId="0" fontId="3" fillId="0" borderId="0" xfId="2" applyFont="1" applyAlignment="1">
      <alignment horizontal="justify" vertical="justify" wrapText="1"/>
    </xf>
    <xf numFmtId="0" fontId="3" fillId="0" borderId="0" xfId="2" applyFont="1" applyAlignment="1" applyProtection="1">
      <alignment horizontal="center" vertical="center" wrapText="1"/>
      <protection hidden="1"/>
    </xf>
    <xf numFmtId="0" fontId="4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/>
    </xf>
    <xf numFmtId="2" fontId="3" fillId="10" borderId="1" xfId="1" applyNumberFormat="1" applyFont="1" applyFill="1" applyBorder="1"/>
    <xf numFmtId="2" fontId="0" fillId="10" borderId="1" xfId="22" applyNumberFormat="1" applyFont="1" applyFill="1" applyBorder="1" applyAlignment="1">
      <alignment horizontal="center" vertical="center"/>
    </xf>
    <xf numFmtId="2" fontId="3" fillId="10" borderId="1" xfId="0" applyNumberFormat="1" applyFont="1" applyFill="1" applyBorder="1"/>
    <xf numFmtId="175" fontId="0" fillId="10" borderId="1" xfId="0" applyNumberFormat="1" applyFill="1" applyBorder="1" applyAlignment="1">
      <alignment horizontal="center" vertical="center"/>
    </xf>
    <xf numFmtId="0" fontId="3" fillId="10" borderId="17" xfId="0" applyFont="1" applyFill="1" applyBorder="1"/>
    <xf numFmtId="12" fontId="0" fillId="0" borderId="0" xfId="1" applyNumberFormat="1" applyFont="1"/>
    <xf numFmtId="2" fontId="3" fillId="0" borderId="1" xfId="1" applyNumberFormat="1" applyFont="1" applyBorder="1" applyAlignment="1">
      <alignment horizontal="center"/>
    </xf>
    <xf numFmtId="0" fontId="3" fillId="0" borderId="16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13" fontId="16" fillId="0" borderId="1" xfId="1" applyNumberFormat="1" applyFont="1" applyBorder="1" applyAlignment="1">
      <alignment horizontal="center"/>
    </xf>
    <xf numFmtId="0" fontId="16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left" wrapText="1"/>
    </xf>
    <xf numFmtId="0" fontId="22" fillId="13" borderId="24" xfId="0" applyFont="1" applyFill="1" applyBorder="1" applyAlignment="1">
      <alignment horizontal="center"/>
    </xf>
    <xf numFmtId="43" fontId="0" fillId="0" borderId="0" xfId="0" applyNumberFormat="1"/>
    <xf numFmtId="0" fontId="16" fillId="0" borderId="1" xfId="1" applyNumberFormat="1" applyFont="1" applyBorder="1" applyAlignment="1">
      <alignment horizontal="right"/>
    </xf>
    <xf numFmtId="43" fontId="16" fillId="0" borderId="1" xfId="1" applyFont="1" applyBorder="1" applyAlignment="1">
      <alignment horizontal="right"/>
    </xf>
    <xf numFmtId="0" fontId="14" fillId="2" borderId="0" xfId="2" applyFont="1" applyFill="1" applyAlignment="1">
      <alignment horizontal="justify" vertical="justify"/>
    </xf>
    <xf numFmtId="2" fontId="3" fillId="0" borderId="17" xfId="1" applyNumberFormat="1" applyFont="1" applyBorder="1"/>
    <xf numFmtId="2" fontId="0" fillId="0" borderId="17" xfId="1" applyNumberFormat="1" applyFont="1" applyBorder="1" applyAlignment="1">
      <alignment horizontal="right" vertical="center"/>
    </xf>
    <xf numFmtId="2" fontId="3" fillId="0" borderId="17" xfId="1" applyNumberFormat="1" applyFont="1" applyBorder="1" applyAlignment="1">
      <alignment horizontal="right"/>
    </xf>
    <xf numFmtId="2" fontId="0" fillId="0" borderId="17" xfId="22" applyNumberFormat="1" applyFont="1" applyBorder="1" applyAlignment="1">
      <alignment horizontal="center" vertical="center"/>
    </xf>
    <xf numFmtId="176" fontId="0" fillId="0" borderId="17" xfId="22" applyNumberFormat="1" applyFont="1" applyBorder="1" applyAlignment="1">
      <alignment horizontal="center" vertical="center"/>
    </xf>
    <xf numFmtId="0" fontId="22" fillId="13" borderId="23" xfId="0" applyFont="1" applyFill="1" applyBorder="1" applyAlignment="1">
      <alignment horizontal="center" vertical="center"/>
    </xf>
    <xf numFmtId="0" fontId="1" fillId="0" borderId="0" xfId="301"/>
    <xf numFmtId="0" fontId="13" fillId="0" borderId="15" xfId="301" applyFont="1" applyBorder="1" applyAlignment="1">
      <alignment horizontal="center"/>
    </xf>
    <xf numFmtId="0" fontId="14" fillId="0" borderId="1" xfId="301" applyFont="1" applyBorder="1" applyAlignment="1">
      <alignment vertical="justify" wrapText="1"/>
    </xf>
    <xf numFmtId="2" fontId="14" fillId="0" borderId="20" xfId="301" applyNumberFormat="1" applyFont="1" applyBorder="1" applyAlignment="1">
      <alignment horizontal="center"/>
    </xf>
    <xf numFmtId="2" fontId="14" fillId="0" borderId="1" xfId="301" applyNumberFormat="1" applyFont="1" applyBorder="1" applyAlignment="1">
      <alignment horizontal="center" vertical="justify" wrapText="1"/>
    </xf>
    <xf numFmtId="2" fontId="14" fillId="0" borderId="19" xfId="301" applyNumberFormat="1" applyFont="1" applyBorder="1" applyAlignment="1">
      <alignment horizontal="center" vertical="justify" wrapText="1"/>
    </xf>
    <xf numFmtId="2" fontId="16" fillId="0" borderId="1" xfId="8" applyNumberFormat="1" applyFont="1" applyBorder="1" applyAlignment="1">
      <alignment horizontal="center"/>
    </xf>
    <xf numFmtId="0" fontId="3" fillId="0" borderId="0" xfId="0" applyFont="1" applyAlignment="1">
      <alignment wrapText="1"/>
    </xf>
    <xf numFmtId="0" fontId="1" fillId="0" borderId="0" xfId="5" applyFont="1" applyAlignment="1">
      <alignment horizontal="center" vertical="center"/>
    </xf>
    <xf numFmtId="0" fontId="10" fillId="5" borderId="1" xfId="2" applyFont="1" applyFill="1" applyBorder="1" applyAlignment="1">
      <alignment horizontal="center" vertical="center"/>
    </xf>
    <xf numFmtId="0" fontId="10" fillId="5" borderId="1" xfId="2" applyFont="1" applyFill="1" applyBorder="1" applyAlignment="1">
      <alignment horizontal="center" vertical="top"/>
    </xf>
    <xf numFmtId="0" fontId="10" fillId="5" borderId="1" xfId="2" applyFont="1" applyFill="1" applyBorder="1" applyAlignment="1">
      <alignment vertical="center"/>
    </xf>
    <xf numFmtId="2" fontId="10" fillId="5" borderId="1" xfId="2" applyNumberFormat="1" applyFont="1" applyFill="1" applyBorder="1" applyAlignment="1">
      <alignment horizontal="center" vertical="top"/>
    </xf>
    <xf numFmtId="0" fontId="10" fillId="5" borderId="1" xfId="2" applyFont="1" applyFill="1" applyBorder="1" applyAlignment="1">
      <alignment vertical="top"/>
    </xf>
    <xf numFmtId="167" fontId="10" fillId="5" borderId="1" xfId="2" applyNumberFormat="1" applyFont="1" applyFill="1" applyBorder="1" applyAlignment="1">
      <alignment vertical="top"/>
    </xf>
    <xf numFmtId="0" fontId="63" fillId="0" borderId="53" xfId="300" applyFill="1" applyBorder="1" applyAlignment="1">
      <alignment horizontal="center"/>
    </xf>
    <xf numFmtId="0" fontId="4" fillId="0" borderId="0" xfId="0" applyFont="1"/>
    <xf numFmtId="175" fontId="3" fillId="0" borderId="1" xfId="0" applyNumberFormat="1" applyFont="1" applyBorder="1" applyAlignment="1">
      <alignment horizontal="center" vertical="center"/>
    </xf>
    <xf numFmtId="0" fontId="0" fillId="10" borderId="1" xfId="0" applyFill="1" applyBorder="1" applyAlignment="1">
      <alignment horizontal="center" wrapText="1"/>
    </xf>
    <xf numFmtId="43" fontId="3" fillId="10" borderId="1" xfId="1" applyFont="1" applyFill="1" applyBorder="1"/>
    <xf numFmtId="176" fontId="0" fillId="10" borderId="1" xfId="22" applyNumberFormat="1" applyFont="1" applyFill="1" applyBorder="1" applyAlignment="1">
      <alignment horizontal="center" vertical="center"/>
    </xf>
    <xf numFmtId="0" fontId="3" fillId="10" borderId="1" xfId="0" applyFont="1" applyFill="1" applyBorder="1"/>
    <xf numFmtId="175" fontId="3" fillId="10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left" wrapText="1"/>
    </xf>
    <xf numFmtId="8" fontId="0" fillId="0" borderId="0" xfId="0" applyNumberFormat="1"/>
    <xf numFmtId="0" fontId="3" fillId="0" borderId="1" xfId="0" applyFont="1" applyBorder="1" applyAlignment="1">
      <alignment horizontal="left"/>
    </xf>
    <xf numFmtId="172" fontId="16" fillId="0" borderId="1" xfId="1" applyNumberFormat="1" applyFont="1" applyBorder="1" applyAlignment="1">
      <alignment horizontal="right"/>
    </xf>
    <xf numFmtId="176" fontId="0" fillId="0" borderId="0" xfId="0" applyNumberFormat="1"/>
    <xf numFmtId="2" fontId="3" fillId="0" borderId="1" xfId="0" applyNumberFormat="1" applyFont="1" applyBorder="1" applyAlignment="1">
      <alignment horizontal="center" vertical="center"/>
    </xf>
    <xf numFmtId="2" fontId="0" fillId="0" borderId="27" xfId="22" applyNumberFormat="1" applyFont="1" applyBorder="1" applyAlignment="1">
      <alignment horizontal="center" vertical="center"/>
    </xf>
    <xf numFmtId="2" fontId="3" fillId="0" borderId="27" xfId="0" applyNumberFormat="1" applyFont="1" applyBorder="1"/>
    <xf numFmtId="2" fontId="3" fillId="0" borderId="27" xfId="0" applyNumberFormat="1" applyFont="1" applyBorder="1" applyAlignment="1">
      <alignment horizontal="center" vertical="center"/>
    </xf>
    <xf numFmtId="2" fontId="3" fillId="0" borderId="21" xfId="0" applyNumberFormat="1" applyFont="1" applyBorder="1"/>
    <xf numFmtId="2" fontId="3" fillId="0" borderId="27" xfId="1" applyNumberFormat="1" applyFont="1" applyBorder="1"/>
    <xf numFmtId="0" fontId="10" fillId="3" borderId="1" xfId="0" applyFont="1" applyFill="1" applyBorder="1" applyAlignment="1">
      <alignment horizontal="center"/>
    </xf>
    <xf numFmtId="170" fontId="4" fillId="2" borderId="0" xfId="2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center"/>
    </xf>
    <xf numFmtId="0" fontId="2" fillId="42" borderId="0" xfId="0" applyFont="1" applyFill="1" applyAlignment="1">
      <alignment horizontal="center"/>
    </xf>
    <xf numFmtId="0" fontId="2" fillId="42" borderId="1" xfId="0" applyFont="1" applyFill="1" applyBorder="1" applyAlignment="1">
      <alignment horizontal="left" wrapText="1"/>
    </xf>
    <xf numFmtId="0" fontId="0" fillId="42" borderId="1" xfId="0" applyFill="1" applyBorder="1" applyAlignment="1">
      <alignment horizontal="center" wrapText="1"/>
    </xf>
    <xf numFmtId="0" fontId="3" fillId="42" borderId="1" xfId="0" applyFont="1" applyFill="1" applyBorder="1" applyAlignment="1">
      <alignment horizontal="center"/>
    </xf>
    <xf numFmtId="43" fontId="3" fillId="42" borderId="1" xfId="1" applyFont="1" applyFill="1" applyBorder="1"/>
    <xf numFmtId="176" fontId="0" fillId="42" borderId="1" xfId="22" applyNumberFormat="1" applyFont="1" applyFill="1" applyBorder="1" applyAlignment="1">
      <alignment horizontal="center" vertical="center"/>
    </xf>
    <xf numFmtId="0" fontId="3" fillId="42" borderId="1" xfId="0" applyFont="1" applyFill="1" applyBorder="1"/>
    <xf numFmtId="175" fontId="3" fillId="42" borderId="1" xfId="0" applyNumberFormat="1" applyFont="1" applyFill="1" applyBorder="1" applyAlignment="1">
      <alignment horizontal="center" vertical="center"/>
    </xf>
    <xf numFmtId="0" fontId="3" fillId="42" borderId="17" xfId="0" applyFont="1" applyFill="1" applyBorder="1"/>
    <xf numFmtId="0" fontId="0" fillId="42" borderId="0" xfId="0" applyFill="1"/>
    <xf numFmtId="214" fontId="16" fillId="0" borderId="1" xfId="1" applyNumberFormat="1" applyFont="1" applyBorder="1" applyAlignment="1">
      <alignment horizontal="center"/>
    </xf>
    <xf numFmtId="43" fontId="16" fillId="0" borderId="0" xfId="1" applyFont="1" applyBorder="1" applyAlignment="1">
      <alignment horizontal="center"/>
    </xf>
    <xf numFmtId="0" fontId="6" fillId="11" borderId="17" xfId="20" applyFont="1" applyFill="1" applyBorder="1" applyAlignment="1">
      <alignment vertical="center" wrapText="1"/>
    </xf>
    <xf numFmtId="0" fontId="4" fillId="0" borderId="17" xfId="2" applyFont="1" applyBorder="1" applyAlignment="1" applyProtection="1">
      <alignment vertical="center"/>
      <protection hidden="1"/>
    </xf>
    <xf numFmtId="167" fontId="4" fillId="12" borderId="27" xfId="7" applyNumberFormat="1" applyFont="1" applyFill="1" applyBorder="1" applyAlignment="1" applyProtection="1">
      <alignment horizontal="right" vertical="center"/>
      <protection hidden="1"/>
    </xf>
    <xf numFmtId="170" fontId="4" fillId="2" borderId="21" xfId="21" applyFont="1" applyFill="1" applyBorder="1" applyAlignment="1" applyProtection="1">
      <alignment horizontal="center" vertical="center" wrapText="1"/>
      <protection hidden="1"/>
    </xf>
    <xf numFmtId="170" fontId="4" fillId="2" borderId="28" xfId="21" applyFont="1" applyFill="1" applyBorder="1" applyAlignment="1" applyProtection="1">
      <alignment horizontal="center" vertical="center" wrapText="1"/>
      <protection hidden="1"/>
    </xf>
    <xf numFmtId="170" fontId="4" fillId="2" borderId="28" xfId="21" applyFont="1" applyFill="1" applyBorder="1" applyAlignment="1" applyProtection="1">
      <alignment horizontal="center" vertical="center"/>
      <protection hidden="1"/>
    </xf>
    <xf numFmtId="167" fontId="4" fillId="2" borderId="22" xfId="7" applyNumberFormat="1" applyFont="1" applyFill="1" applyBorder="1" applyAlignment="1" applyProtection="1">
      <alignment horizontal="right" vertical="center"/>
      <protection hidden="1"/>
    </xf>
    <xf numFmtId="0" fontId="21" fillId="0" borderId="0" xfId="3" applyFont="1" applyAlignment="1">
      <alignment horizontal="left"/>
    </xf>
    <xf numFmtId="0" fontId="21" fillId="0" borderId="0" xfId="3" applyFont="1" applyAlignment="1">
      <alignment horizontal="center"/>
    </xf>
    <xf numFmtId="0" fontId="6" fillId="0" borderId="0" xfId="3" applyFont="1" applyAlignment="1">
      <alignment horizontal="center"/>
    </xf>
    <xf numFmtId="167" fontId="3" fillId="0" borderId="1" xfId="7" applyNumberFormat="1" applyFont="1" applyBorder="1" applyAlignment="1" applyProtection="1">
      <alignment horizontal="right" vertical="center"/>
      <protection hidden="1"/>
    </xf>
    <xf numFmtId="0" fontId="6" fillId="0" borderId="0" xfId="3" applyFont="1" applyAlignment="1">
      <alignment horizontal="center"/>
    </xf>
    <xf numFmtId="0" fontId="6" fillId="0" borderId="6" xfId="3" applyFont="1" applyBorder="1" applyAlignment="1">
      <alignment horizontal="center"/>
    </xf>
    <xf numFmtId="0" fontId="21" fillId="0" borderId="0" xfId="3" applyFont="1" applyAlignment="1">
      <alignment horizontal="center"/>
    </xf>
    <xf numFmtId="0" fontId="21" fillId="0" borderId="6" xfId="3" applyFont="1" applyBorder="1" applyAlignment="1">
      <alignment horizontal="center"/>
    </xf>
    <xf numFmtId="170" fontId="4" fillId="12" borderId="21" xfId="21" applyFont="1" applyFill="1" applyBorder="1" applyAlignment="1" applyProtection="1">
      <alignment horizontal="center" vertical="center" wrapText="1"/>
      <protection hidden="1"/>
    </xf>
    <xf numFmtId="170" fontId="4" fillId="12" borderId="28" xfId="21" applyFont="1" applyFill="1" applyBorder="1" applyAlignment="1" applyProtection="1">
      <alignment horizontal="center" vertical="center" wrapText="1"/>
      <protection hidden="1"/>
    </xf>
    <xf numFmtId="170" fontId="4" fillId="12" borderId="22" xfId="21" applyFont="1" applyFill="1" applyBorder="1" applyAlignment="1" applyProtection="1">
      <alignment horizontal="center" vertical="center" wrapText="1"/>
      <protection hidden="1"/>
    </xf>
    <xf numFmtId="0" fontId="6" fillId="11" borderId="17" xfId="20" applyFont="1" applyFill="1" applyBorder="1" applyAlignment="1">
      <alignment horizontal="center" vertical="center" wrapText="1"/>
    </xf>
    <xf numFmtId="0" fontId="6" fillId="11" borderId="18" xfId="20" applyFont="1" applyFill="1" applyBorder="1" applyAlignment="1">
      <alignment horizontal="center" vertical="center" wrapText="1"/>
    </xf>
    <xf numFmtId="0" fontId="6" fillId="11" borderId="16" xfId="20" applyFont="1" applyFill="1" applyBorder="1" applyAlignment="1">
      <alignment horizontal="center" vertical="center" wrapText="1"/>
    </xf>
    <xf numFmtId="0" fontId="4" fillId="0" borderId="17" xfId="2" applyFont="1" applyBorder="1" applyAlignment="1" applyProtection="1">
      <alignment horizontal="center" vertical="center"/>
      <protection hidden="1"/>
    </xf>
    <xf numFmtId="0" fontId="4" fillId="0" borderId="18" xfId="2" applyFont="1" applyBorder="1" applyAlignment="1" applyProtection="1">
      <alignment horizontal="center" vertical="center"/>
      <protection hidden="1"/>
    </xf>
    <xf numFmtId="0" fontId="4" fillId="0" borderId="16" xfId="2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10" fillId="2" borderId="17" xfId="2" applyFont="1" applyFill="1" applyBorder="1" applyAlignment="1" applyProtection="1">
      <alignment horizontal="center" vertical="center" wrapText="1"/>
      <protection locked="0"/>
    </xf>
    <xf numFmtId="0" fontId="10" fillId="2" borderId="18" xfId="2" applyFont="1" applyFill="1" applyBorder="1" applyAlignment="1" applyProtection="1">
      <alignment horizontal="center" vertical="center" wrapText="1"/>
      <protection locked="0"/>
    </xf>
    <xf numFmtId="0" fontId="10" fillId="2" borderId="16" xfId="2" applyFont="1" applyFill="1" applyBorder="1" applyAlignment="1" applyProtection="1">
      <alignment horizontal="center" vertical="center" wrapText="1"/>
      <protection locked="0"/>
    </xf>
    <xf numFmtId="0" fontId="10" fillId="0" borderId="17" xfId="2" applyFont="1" applyBorder="1" applyAlignment="1" applyProtection="1">
      <alignment horizontal="center" vertical="center" wrapText="1"/>
      <protection locked="0"/>
    </xf>
    <xf numFmtId="0" fontId="10" fillId="0" borderId="16" xfId="2" applyFont="1" applyBorder="1" applyAlignment="1" applyProtection="1">
      <alignment horizontal="center" vertical="center" wrapText="1"/>
      <protection locked="0"/>
    </xf>
    <xf numFmtId="0" fontId="3" fillId="0" borderId="1" xfId="278" applyFont="1" applyBorder="1" applyAlignment="1">
      <alignment horizontal="center"/>
    </xf>
    <xf numFmtId="0" fontId="3" fillId="0" borderId="16" xfId="278" applyFont="1" applyBorder="1" applyAlignment="1">
      <alignment horizontal="center"/>
    </xf>
    <xf numFmtId="0" fontId="58" fillId="0" borderId="8" xfId="0" applyFont="1" applyBorder="1" applyAlignment="1">
      <alignment horizontal="center"/>
    </xf>
    <xf numFmtId="0" fontId="58" fillId="0" borderId="10" xfId="0" applyFont="1" applyBorder="1" applyAlignment="1">
      <alignment horizontal="center"/>
    </xf>
    <xf numFmtId="0" fontId="58" fillId="0" borderId="11" xfId="0" applyFont="1" applyBorder="1" applyAlignment="1">
      <alignment horizontal="center"/>
    </xf>
    <xf numFmtId="0" fontId="61" fillId="4" borderId="52" xfId="294" applyFont="1" applyFill="1" applyBorder="1" applyAlignment="1">
      <alignment horizontal="center" vertical="center" wrapText="1"/>
    </xf>
    <xf numFmtId="0" fontId="61" fillId="4" borderId="51" xfId="294" applyFont="1" applyFill="1" applyBorder="1" applyAlignment="1">
      <alignment horizontal="center" vertical="center" wrapText="1"/>
    </xf>
    <xf numFmtId="0" fontId="61" fillId="4" borderId="52" xfId="294" applyFont="1" applyFill="1" applyBorder="1" applyAlignment="1">
      <alignment horizontal="center" vertical="center"/>
    </xf>
    <xf numFmtId="0" fontId="61" fillId="4" borderId="51" xfId="294" applyFont="1" applyFill="1" applyBorder="1" applyAlignment="1">
      <alignment horizontal="center" vertical="center"/>
    </xf>
    <xf numFmtId="0" fontId="61" fillId="4" borderId="3" xfId="294" applyFont="1" applyFill="1" applyBorder="1" applyAlignment="1">
      <alignment horizontal="center" vertical="center" wrapText="1"/>
    </xf>
    <xf numFmtId="0" fontId="61" fillId="4" borderId="4" xfId="294" applyFont="1" applyFill="1" applyBorder="1" applyAlignment="1">
      <alignment horizontal="center" vertical="center" wrapText="1"/>
    </xf>
    <xf numFmtId="0" fontId="61" fillId="39" borderId="2" xfId="294" applyFont="1" applyFill="1" applyBorder="1" applyAlignment="1">
      <alignment horizontal="center"/>
    </xf>
    <xf numFmtId="0" fontId="61" fillId="39" borderId="3" xfId="294" applyFont="1" applyFill="1" applyBorder="1" applyAlignment="1">
      <alignment horizontal="center"/>
    </xf>
    <xf numFmtId="0" fontId="61" fillId="39" borderId="4" xfId="294" applyFont="1" applyFill="1" applyBorder="1" applyAlignment="1">
      <alignment horizontal="center"/>
    </xf>
    <xf numFmtId="0" fontId="61" fillId="39" borderId="13" xfId="294" applyFont="1" applyFill="1" applyBorder="1" applyAlignment="1">
      <alignment horizontal="center"/>
    </xf>
    <xf numFmtId="43" fontId="59" fillId="2" borderId="29" xfId="1" applyFont="1" applyFill="1" applyBorder="1" applyAlignment="1">
      <alignment horizontal="center" vertical="center"/>
    </xf>
    <xf numFmtId="0" fontId="61" fillId="40" borderId="52" xfId="294" applyFont="1" applyFill="1" applyBorder="1" applyAlignment="1">
      <alignment horizontal="center" vertical="center"/>
    </xf>
    <xf numFmtId="0" fontId="61" fillId="40" borderId="51" xfId="294" applyFont="1" applyFill="1" applyBorder="1" applyAlignment="1">
      <alignment horizontal="center" vertical="center"/>
    </xf>
    <xf numFmtId="0" fontId="59" fillId="0" borderId="5" xfId="0" applyFont="1" applyBorder="1" applyAlignment="1">
      <alignment horizontal="center"/>
    </xf>
    <xf numFmtId="0" fontId="59" fillId="0" borderId="0" xfId="0" applyFont="1" applyAlignment="1">
      <alignment horizontal="center"/>
    </xf>
    <xf numFmtId="0" fontId="59" fillId="0" borderId="7" xfId="0" applyFont="1" applyBorder="1" applyAlignment="1">
      <alignment horizontal="center"/>
    </xf>
    <xf numFmtId="171" fontId="61" fillId="4" borderId="52" xfId="295" applyFont="1" applyFill="1" applyBorder="1" applyAlignment="1">
      <alignment horizontal="center" vertical="center"/>
    </xf>
    <xf numFmtId="171" fontId="61" fillId="4" borderId="51" xfId="295" applyFont="1" applyFill="1" applyBorder="1" applyAlignment="1">
      <alignment horizontal="center" vertical="center"/>
    </xf>
    <xf numFmtId="43" fontId="11" fillId="2" borderId="2" xfId="299" applyFont="1" applyFill="1" applyBorder="1" applyAlignment="1">
      <alignment horizontal="center" vertical="center"/>
    </xf>
    <xf numFmtId="43" fontId="11" fillId="2" borderId="3" xfId="299" applyFont="1" applyFill="1" applyBorder="1" applyAlignment="1">
      <alignment horizontal="center" vertical="center"/>
    </xf>
    <xf numFmtId="43" fontId="11" fillId="2" borderId="4" xfId="299" applyFont="1" applyFill="1" applyBorder="1" applyAlignment="1">
      <alignment horizontal="center" vertical="center"/>
    </xf>
    <xf numFmtId="0" fontId="62" fillId="2" borderId="0" xfId="0" applyFont="1" applyFill="1" applyAlignment="1">
      <alignment horizontal="center" vertical="center" wrapText="1"/>
    </xf>
    <xf numFmtId="0" fontId="61" fillId="2" borderId="2" xfId="0" applyFont="1" applyFill="1" applyBorder="1" applyAlignment="1">
      <alignment horizontal="center" vertical="center" wrapText="1"/>
    </xf>
    <xf numFmtId="0" fontId="61" fillId="2" borderId="3" xfId="0" applyFont="1" applyFill="1" applyBorder="1" applyAlignment="1">
      <alignment horizontal="center" vertical="center" wrapText="1"/>
    </xf>
    <xf numFmtId="0" fontId="61" fillId="2" borderId="4" xfId="0" applyFont="1" applyFill="1" applyBorder="1" applyAlignment="1">
      <alignment horizontal="center" vertical="center" wrapText="1"/>
    </xf>
    <xf numFmtId="0" fontId="61" fillId="2" borderId="5" xfId="0" applyFont="1" applyFill="1" applyBorder="1" applyAlignment="1">
      <alignment horizontal="center" vertical="center" wrapText="1"/>
    </xf>
    <xf numFmtId="0" fontId="61" fillId="2" borderId="0" xfId="0" applyFont="1" applyFill="1" applyAlignment="1">
      <alignment horizontal="center" vertical="center" wrapText="1"/>
    </xf>
    <xf numFmtId="0" fontId="61" fillId="2" borderId="7" xfId="0" applyFont="1" applyFill="1" applyBorder="1" applyAlignment="1">
      <alignment horizontal="center" vertical="center" wrapText="1"/>
    </xf>
    <xf numFmtId="0" fontId="61" fillId="2" borderId="8" xfId="0" applyFont="1" applyFill="1" applyBorder="1" applyAlignment="1">
      <alignment horizontal="center" vertical="center" wrapText="1"/>
    </xf>
    <xf numFmtId="0" fontId="61" fillId="2" borderId="10" xfId="0" applyFont="1" applyFill="1" applyBorder="1" applyAlignment="1">
      <alignment horizontal="center" vertical="center" wrapText="1"/>
    </xf>
    <xf numFmtId="0" fontId="61" fillId="2" borderId="11" xfId="0" applyFont="1" applyFill="1" applyBorder="1" applyAlignment="1">
      <alignment horizontal="center" vertical="center" wrapText="1"/>
    </xf>
    <xf numFmtId="0" fontId="61" fillId="2" borderId="12" xfId="294" applyFont="1" applyFill="1" applyBorder="1" applyAlignment="1">
      <alignment horizontal="center" wrapText="1"/>
    </xf>
    <xf numFmtId="0" fontId="61" fillId="2" borderId="13" xfId="294" applyFont="1" applyFill="1" applyBorder="1" applyAlignment="1">
      <alignment horizontal="center" wrapText="1"/>
    </xf>
    <xf numFmtId="0" fontId="61" fillId="2" borderId="14" xfId="294" applyFont="1" applyFill="1" applyBorder="1" applyAlignment="1">
      <alignment horizontal="center" wrapText="1"/>
    </xf>
    <xf numFmtId="0" fontId="61" fillId="39" borderId="12" xfId="294" applyFont="1" applyFill="1" applyBorder="1" applyAlignment="1">
      <alignment horizontal="center"/>
    </xf>
    <xf numFmtId="0" fontId="61" fillId="39" borderId="14" xfId="294" applyFont="1" applyFill="1" applyBorder="1" applyAlignment="1">
      <alignment horizontal="center"/>
    </xf>
    <xf numFmtId="0" fontId="11" fillId="0" borderId="31" xfId="24" applyFont="1" applyFill="1" applyBorder="1" applyAlignment="1" applyProtection="1">
      <alignment horizontal="center" vertical="center" wrapText="1"/>
    </xf>
    <xf numFmtId="0" fontId="11" fillId="0" borderId="32" xfId="24" applyFont="1" applyFill="1" applyBorder="1" applyAlignment="1" applyProtection="1">
      <alignment horizontal="center" vertical="center" wrapText="1"/>
    </xf>
    <xf numFmtId="0" fontId="14" fillId="2" borderId="34" xfId="24" applyFont="1" applyFill="1" applyBorder="1" applyAlignment="1" applyProtection="1">
      <alignment horizontal="center" vertical="center"/>
    </xf>
    <xf numFmtId="0" fontId="14" fillId="2" borderId="34" xfId="24" applyFont="1" applyFill="1" applyBorder="1" applyAlignment="1" applyProtection="1">
      <alignment vertical="center" wrapText="1"/>
    </xf>
    <xf numFmtId="3" fontId="14" fillId="2" borderId="31" xfId="24" applyNumberFormat="1" applyFont="1" applyFill="1" applyBorder="1" applyAlignment="1">
      <alignment horizontal="center" vertical="center"/>
    </xf>
    <xf numFmtId="3" fontId="14" fillId="2" borderId="33" xfId="24" applyNumberFormat="1" applyFont="1" applyFill="1" applyBorder="1" applyAlignment="1">
      <alignment horizontal="center" vertical="center"/>
    </xf>
    <xf numFmtId="0" fontId="14" fillId="2" borderId="31" xfId="24" applyFont="1" applyFill="1" applyBorder="1" applyAlignment="1" applyProtection="1">
      <alignment vertical="center" wrapText="1"/>
    </xf>
    <xf numFmtId="0" fontId="14" fillId="2" borderId="33" xfId="24" applyFont="1" applyFill="1" applyBorder="1" applyAlignment="1" applyProtection="1">
      <alignment vertical="center" wrapText="1"/>
    </xf>
    <xf numFmtId="3" fontId="10" fillId="2" borderId="31" xfId="24" applyNumberFormat="1" applyFont="1" applyFill="1" applyBorder="1" applyAlignment="1">
      <alignment horizontal="center" vertical="center"/>
    </xf>
    <xf numFmtId="3" fontId="10" fillId="2" borderId="33" xfId="24" applyNumberFormat="1" applyFont="1" applyFill="1" applyBorder="1" applyAlignment="1">
      <alignment horizontal="center" vertical="center"/>
    </xf>
    <xf numFmtId="3" fontId="14" fillId="2" borderId="34" xfId="24" applyNumberFormat="1" applyFont="1" applyFill="1" applyBorder="1" applyAlignment="1">
      <alignment horizontal="center" vertical="center"/>
    </xf>
    <xf numFmtId="0" fontId="9" fillId="15" borderId="31" xfId="24" applyFont="1" applyFill="1" applyBorder="1" applyAlignment="1" applyProtection="1">
      <alignment horizontal="center" vertical="center"/>
    </xf>
    <xf numFmtId="0" fontId="9" fillId="15" borderId="32" xfId="24" applyFont="1" applyFill="1" applyBorder="1" applyAlignment="1" applyProtection="1">
      <alignment horizontal="center" vertical="center"/>
    </xf>
    <xf numFmtId="0" fontId="9" fillId="15" borderId="33" xfId="24" applyFont="1" applyFill="1" applyBorder="1" applyAlignment="1" applyProtection="1">
      <alignment horizontal="center" vertical="center"/>
    </xf>
    <xf numFmtId="0" fontId="11" fillId="15" borderId="34" xfId="24" applyFont="1" applyFill="1" applyBorder="1" applyAlignment="1" applyProtection="1">
      <alignment horizontal="center" vertical="center" wrapText="1"/>
    </xf>
    <xf numFmtId="0" fontId="11" fillId="15" borderId="34" xfId="24" applyFont="1" applyFill="1" applyBorder="1" applyAlignment="1" applyProtection="1">
      <alignment horizontal="center" vertical="center"/>
    </xf>
    <xf numFmtId="0" fontId="11" fillId="15" borderId="34" xfId="24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wrapText="1"/>
    </xf>
    <xf numFmtId="0" fontId="11" fillId="6" borderId="13" xfId="0" applyFont="1" applyFill="1" applyBorder="1" applyAlignment="1">
      <alignment horizontal="center" wrapText="1"/>
    </xf>
    <xf numFmtId="0" fontId="11" fillId="6" borderId="14" xfId="0" applyFont="1" applyFill="1" applyBorder="1" applyAlignment="1">
      <alignment horizontal="center" wrapText="1"/>
    </xf>
    <xf numFmtId="0" fontId="10" fillId="7" borderId="17" xfId="0" applyFont="1" applyFill="1" applyBorder="1" applyAlignment="1">
      <alignment horizontal="center"/>
    </xf>
    <xf numFmtId="0" fontId="10" fillId="7" borderId="18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0" fillId="0" borderId="17" xfId="301" applyFont="1" applyBorder="1" applyAlignment="1">
      <alignment horizontal="left"/>
    </xf>
    <xf numFmtId="0" fontId="1" fillId="0" borderId="16" xfId="301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6" xfId="0" applyBorder="1" applyAlignment="1">
      <alignment horizontal="left"/>
    </xf>
    <xf numFmtId="0" fontId="10" fillId="7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7" fillId="0" borderId="1" xfId="10" applyFont="1" applyBorder="1" applyAlignment="1">
      <alignment horizontal="center"/>
    </xf>
    <xf numFmtId="0" fontId="2" fillId="5" borderId="25" xfId="10" applyFont="1" applyFill="1" applyBorder="1" applyAlignment="1">
      <alignment horizontal="center"/>
    </xf>
    <xf numFmtId="0" fontId="0" fillId="2" borderId="26" xfId="10" applyFont="1" applyFill="1" applyBorder="1" applyAlignment="1">
      <alignment horizontal="center"/>
    </xf>
    <xf numFmtId="0" fontId="1" fillId="2" borderId="0" xfId="10" applyFont="1" applyFill="1" applyAlignment="1">
      <alignment horizontal="center"/>
    </xf>
    <xf numFmtId="0" fontId="1" fillId="2" borderId="6" xfId="10" applyFont="1" applyFill="1" applyBorder="1" applyAlignment="1">
      <alignment horizontal="center"/>
    </xf>
    <xf numFmtId="0" fontId="16" fillId="0" borderId="21" xfId="10" applyFont="1" applyBorder="1" applyAlignment="1">
      <alignment horizontal="center" vertical="center" wrapText="1"/>
    </xf>
    <xf numFmtId="0" fontId="16" fillId="0" borderId="23" xfId="10" applyFont="1" applyBorder="1" applyAlignment="1">
      <alignment horizontal="center" vertical="center" wrapText="1"/>
    </xf>
    <xf numFmtId="0" fontId="16" fillId="0" borderId="1" xfId="10" applyFont="1" applyBorder="1" applyAlignment="1">
      <alignment horizontal="center" vertical="center" wrapText="1"/>
    </xf>
    <xf numFmtId="0" fontId="19" fillId="0" borderId="17" xfId="10" applyFont="1" applyBorder="1" applyAlignment="1">
      <alignment horizontal="left"/>
    </xf>
    <xf numFmtId="0" fontId="19" fillId="0" borderId="18" xfId="10" applyFont="1" applyBorder="1" applyAlignment="1">
      <alignment horizontal="left"/>
    </xf>
    <xf numFmtId="0" fontId="19" fillId="0" borderId="16" xfId="10" applyFont="1" applyBorder="1" applyAlignment="1">
      <alignment horizontal="left"/>
    </xf>
    <xf numFmtId="0" fontId="17" fillId="0" borderId="1" xfId="10" applyFont="1" applyBorder="1" applyAlignment="1">
      <alignment horizontal="center" vertical="center"/>
    </xf>
    <xf numFmtId="0" fontId="18" fillId="0" borderId="1" xfId="10" applyFont="1" applyBorder="1" applyAlignment="1">
      <alignment horizontal="center" vertical="center" wrapText="1"/>
    </xf>
    <xf numFmtId="0" fontId="17" fillId="9" borderId="1" xfId="10" applyFont="1" applyFill="1" applyBorder="1" applyAlignment="1">
      <alignment horizontal="center"/>
    </xf>
    <xf numFmtId="0" fontId="19" fillId="0" borderId="17" xfId="10" applyFont="1" applyBorder="1" applyAlignment="1">
      <alignment horizontal="left" wrapText="1"/>
    </xf>
    <xf numFmtId="0" fontId="19" fillId="0" borderId="18" xfId="10" applyFont="1" applyBorder="1" applyAlignment="1">
      <alignment horizontal="left" wrapText="1"/>
    </xf>
    <xf numFmtId="0" fontId="19" fillId="0" borderId="16" xfId="10" applyFont="1" applyBorder="1" applyAlignment="1">
      <alignment horizontal="left" wrapText="1"/>
    </xf>
    <xf numFmtId="0" fontId="17" fillId="9" borderId="20" xfId="10" applyFont="1" applyFill="1" applyBorder="1" applyAlignment="1">
      <alignment horizontal="center"/>
    </xf>
    <xf numFmtId="0" fontId="17" fillId="0" borderId="17" xfId="10" applyFont="1" applyBorder="1" applyAlignment="1">
      <alignment horizontal="center"/>
    </xf>
    <xf numFmtId="0" fontId="17" fillId="0" borderId="18" xfId="10" applyFont="1" applyBorder="1" applyAlignment="1">
      <alignment horizontal="center"/>
    </xf>
    <xf numFmtId="0" fontId="16" fillId="0" borderId="1" xfId="10" applyFont="1" applyBorder="1" applyAlignment="1">
      <alignment horizontal="center"/>
    </xf>
    <xf numFmtId="0" fontId="16" fillId="0" borderId="17" xfId="10" applyFont="1" applyBorder="1" applyAlignment="1">
      <alignment horizontal="left"/>
    </xf>
    <xf numFmtId="0" fontId="16" fillId="0" borderId="18" xfId="10" applyFont="1" applyBorder="1" applyAlignment="1">
      <alignment horizontal="left"/>
    </xf>
    <xf numFmtId="0" fontId="17" fillId="9" borderId="17" xfId="10" applyFont="1" applyFill="1" applyBorder="1" applyAlignment="1">
      <alignment horizontal="center"/>
    </xf>
    <xf numFmtId="0" fontId="17" fillId="9" borderId="18" xfId="10" applyFont="1" applyFill="1" applyBorder="1" applyAlignment="1">
      <alignment horizontal="center"/>
    </xf>
    <xf numFmtId="0" fontId="17" fillId="9" borderId="16" xfId="10" applyFont="1" applyFill="1" applyBorder="1" applyAlignment="1">
      <alignment horizontal="center"/>
    </xf>
    <xf numFmtId="0" fontId="16" fillId="0" borderId="1" xfId="10" applyFont="1" applyBorder="1" applyAlignment="1">
      <alignment horizontal="left" wrapText="1"/>
    </xf>
    <xf numFmtId="0" fontId="16" fillId="0" borderId="1" xfId="10" applyFont="1" applyBorder="1" applyAlignment="1">
      <alignment horizontal="left"/>
    </xf>
    <xf numFmtId="0" fontId="16" fillId="2" borderId="26" xfId="0" applyFont="1" applyFill="1" applyBorder="1" applyAlignment="1">
      <alignment horizontal="center" wrapText="1"/>
    </xf>
    <xf numFmtId="0" fontId="16" fillId="2" borderId="0" xfId="0" applyFont="1" applyFill="1" applyAlignment="1">
      <alignment horizontal="center" wrapText="1"/>
    </xf>
    <xf numFmtId="0" fontId="16" fillId="2" borderId="0" xfId="0" applyFont="1" applyFill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17" fillId="0" borderId="17" xfId="10" applyFont="1" applyBorder="1" applyAlignment="1">
      <alignment horizontal="center" vertical="center"/>
    </xf>
    <xf numFmtId="0" fontId="17" fillId="0" borderId="18" xfId="10" applyFont="1" applyBorder="1" applyAlignment="1">
      <alignment horizontal="center" vertical="center"/>
    </xf>
    <xf numFmtId="0" fontId="17" fillId="2" borderId="21" xfId="0" applyFont="1" applyFill="1" applyBorder="1" applyAlignment="1">
      <alignment horizontal="center"/>
    </xf>
    <xf numFmtId="0" fontId="17" fillId="2" borderId="28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/>
    </xf>
  </cellXfs>
  <cellStyles count="302">
    <cellStyle name="20% - Énfasis1 2" xfId="28" xr:uid="{A7B5F193-75CE-471D-A9A3-5C6354591BF4}"/>
    <cellStyle name="20% - Énfasis1 3" xfId="158" xr:uid="{7D729FFC-8F26-4D61-B8BE-69C4129CA969}"/>
    <cellStyle name="20% - Énfasis2 2" xfId="29" xr:uid="{4B3DFBBA-8123-44EA-9C7B-DDD0DDCED860}"/>
    <cellStyle name="20% - Énfasis2 3" xfId="159" xr:uid="{EBE52CC9-9240-4209-A6A6-5A87805E5B8C}"/>
    <cellStyle name="20% - Énfasis3 2" xfId="30" xr:uid="{CA66F245-28A9-4839-BA72-A8D84D8190F1}"/>
    <cellStyle name="20% - Énfasis3 3" xfId="160" xr:uid="{3355D30A-F206-4BDE-A1DE-8DF85059EF67}"/>
    <cellStyle name="20% - Énfasis4 2" xfId="31" xr:uid="{78155841-7D36-4183-8E0A-FB385082BB4F}"/>
    <cellStyle name="20% - Énfasis4 3" xfId="161" xr:uid="{321D8BF5-16DA-433A-9A56-9BEE17603680}"/>
    <cellStyle name="20% - Énfasis5 2" xfId="32" xr:uid="{9FE5B946-34B2-49A8-B844-A13C7906CE3D}"/>
    <cellStyle name="20% - Énfasis5 3" xfId="162" xr:uid="{FCDF3962-D72C-4574-8B66-9353081A5EEF}"/>
    <cellStyle name="20% - Énfasis6 2" xfId="33" xr:uid="{CB8BE9A7-4A07-439F-AE1E-DD63FB0D287D}"/>
    <cellStyle name="20% - Énfasis6 3" xfId="163" xr:uid="{20BFDB45-22AB-45FD-AF53-AE64962E7423}"/>
    <cellStyle name="40% - Énfasis1 2" xfId="34" xr:uid="{E913A1DF-368D-46AC-8C11-7A0CB958F1C7}"/>
    <cellStyle name="40% - Énfasis1 3" xfId="164" xr:uid="{D90A04FC-E6F4-43CF-8B2E-0822F6428E93}"/>
    <cellStyle name="40% - Énfasis2 2" xfId="35" xr:uid="{1F6C5E07-557D-4E54-8E9E-2E0A7786B3D0}"/>
    <cellStyle name="40% - Énfasis2 3" xfId="165" xr:uid="{2AA79F81-B09A-44A7-B1BE-F16D8E5C08B7}"/>
    <cellStyle name="40% - Énfasis3 2" xfId="36" xr:uid="{C46F4C4B-7681-48AB-8FDE-A6FB67F07300}"/>
    <cellStyle name="40% - Énfasis3 3" xfId="166" xr:uid="{30E89F9F-E769-4FE4-85B4-4864F493DDEE}"/>
    <cellStyle name="40% - Énfasis4 2" xfId="37" xr:uid="{F1C983BC-461D-444E-950A-22232F345F9A}"/>
    <cellStyle name="40% - Énfasis4 3" xfId="167" xr:uid="{E2185820-526B-4B24-A601-791C9135FA7F}"/>
    <cellStyle name="40% - Énfasis5 2" xfId="38" xr:uid="{5AFEE385-9132-4930-8F8C-D8C1BFAA7BB1}"/>
    <cellStyle name="40% - Énfasis5 3" xfId="168" xr:uid="{BC40CB5C-0E67-49E4-A729-1EF5CEA6078D}"/>
    <cellStyle name="40% - Énfasis6 2" xfId="39" xr:uid="{0722F1FC-2E4E-408D-938B-94CEECDDBEF2}"/>
    <cellStyle name="40% - Énfasis6 3" xfId="169" xr:uid="{5281B20E-D0D8-4054-86FB-BF870E582B7C}"/>
    <cellStyle name="60% - Énfasis1 2" xfId="40" xr:uid="{F655617A-461D-4A42-BB25-0C4DBFD76CCA}"/>
    <cellStyle name="60% - Énfasis1 3" xfId="170" xr:uid="{77070D08-0B1E-4A91-976E-A11A5D499135}"/>
    <cellStyle name="60% - Énfasis2 2" xfId="41" xr:uid="{BD9E24A5-4656-48F5-AFAA-9BA326182B98}"/>
    <cellStyle name="60% - Énfasis2 3" xfId="171" xr:uid="{518184D4-0EF9-4F37-A464-DF261B46A420}"/>
    <cellStyle name="60% - Énfasis3 2" xfId="42" xr:uid="{BFB7626A-9746-4184-94C2-B7F2801C67ED}"/>
    <cellStyle name="60% - Énfasis3 3" xfId="172" xr:uid="{D2A91A7D-1FC6-4265-B90E-B879C69F0570}"/>
    <cellStyle name="60% - Énfasis4 2" xfId="43" xr:uid="{C8376EDC-4334-498B-9C5C-B11F4A3A8E5B}"/>
    <cellStyle name="60% - Énfasis4 3" xfId="173" xr:uid="{6AEDF50B-0346-4D44-A13E-E3DAC1DA3D79}"/>
    <cellStyle name="60% - Énfasis5 2" xfId="44" xr:uid="{3F8B7B67-7549-46B0-94D6-51B9EE2B172F}"/>
    <cellStyle name="60% - Énfasis5 3" xfId="174" xr:uid="{34AB31E5-C638-4DD7-A2E4-440CD4126DF3}"/>
    <cellStyle name="60% - Énfasis6 2" xfId="45" xr:uid="{B03F4E9B-36C7-443E-94E4-5CFCFA96E04A}"/>
    <cellStyle name="60% - Énfasis6 3" xfId="175" xr:uid="{20A76CF6-8697-427B-820D-4A84C66F308D}"/>
    <cellStyle name="Buena 2" xfId="46" xr:uid="{99A4BAAB-6016-41C7-B433-31391D0BFCA3}"/>
    <cellStyle name="Buena 3" xfId="176" xr:uid="{69BCE148-9DFC-4198-A23B-914E0ADCC093}"/>
    <cellStyle name="Bueno" xfId="23" builtinId="26"/>
    <cellStyle name="Cálculo 2" xfId="47" xr:uid="{999D57CE-28CE-4E56-8EFB-7E1082D3BAD7}"/>
    <cellStyle name="Cálculo 3" xfId="177" xr:uid="{6510AE3C-8038-4567-85D0-49EE023A354C}"/>
    <cellStyle name="Cancel" xfId="178" xr:uid="{5EA4F783-DDAE-4ABA-AFB1-01FCE24D7BAE}"/>
    <cellStyle name="Celda de comprobación 2" xfId="48" xr:uid="{6DAB68EB-7A68-4F01-BF7B-303247DDE69B}"/>
    <cellStyle name="Celda de comprobación 3" xfId="179" xr:uid="{E48DC3B5-669F-4C7B-9453-80EC4EF96E91}"/>
    <cellStyle name="Celda vinculada 2" xfId="49" xr:uid="{F05D875A-78C5-4B14-A3F6-029BCAED94A8}"/>
    <cellStyle name="Celda vinculada 3" xfId="180" xr:uid="{3212466F-B86C-4CAE-985D-2D55C993C31D}"/>
    <cellStyle name="CIENTOS" xfId="181" xr:uid="{7C4AD5F4-F2C4-4EE8-B1CA-EFB0F58CD534}"/>
    <cellStyle name="CIENTOS 2" xfId="182" xr:uid="{293FD2ED-5C2C-4905-BB36-C25BC4A7CF91}"/>
    <cellStyle name="CIENTOS 2D" xfId="183" xr:uid="{05CA1221-6683-473D-9E4B-1B08BCEADFB5}"/>
    <cellStyle name="CIENTOS 2D 2" xfId="184" xr:uid="{0B46E898-32F9-4BB2-8EA9-E219E17A94C6}"/>
    <cellStyle name="CIENTOS 2D_PRESUPUESTO FASE III ABR-2015 Rev3" xfId="185" xr:uid="{BF7D3860-4880-4353-9090-7EF7FAB3FF91}"/>
    <cellStyle name="CIENTOS 3D" xfId="186" xr:uid="{2F68C752-FC6F-408F-8FD7-DB00BA7F4F40}"/>
    <cellStyle name="CIENTOS 3D 2" xfId="187" xr:uid="{B445C3A7-5F67-46B5-BB5C-760146AFB36F}"/>
    <cellStyle name="CIENTOS 3D_PRESUPUESTO FASE III ABR-2015 Rev3" xfId="188" xr:uid="{37548301-2461-42F1-9181-A7CE049A25FA}"/>
    <cellStyle name="CIENTOS 4D" xfId="189" xr:uid="{2FB7DA8F-28AE-4822-B983-1F252B746D60}"/>
    <cellStyle name="CIENTOS 4D 2" xfId="190" xr:uid="{16590FBA-AE63-49B1-AC28-041DF24547A6}"/>
    <cellStyle name="CIENTOS 4D_PRESUPUESTO FASE III ABR-2015 Rev3" xfId="191" xr:uid="{AE83318A-5677-40A7-BB70-86C03E85A244}"/>
    <cellStyle name="CIENTOS_CantidadesGirardota" xfId="192" xr:uid="{C2DD5752-56D8-43FF-9625-20F7869CB87F}"/>
    <cellStyle name="Comma" xfId="193" xr:uid="{9C7D2FA1-62B8-4583-89A3-369161702EC1}"/>
    <cellStyle name="Comma0" xfId="194" xr:uid="{703F3225-19C9-47F8-A316-8E786A621641}"/>
    <cellStyle name="Currency" xfId="195" xr:uid="{7C60CCE1-1997-48F7-82AB-C0CD0DC0BCF4}"/>
    <cellStyle name="Currency0" xfId="196" xr:uid="{296579B7-D26C-45E4-99B7-9D103D166A85}"/>
    <cellStyle name="Date" xfId="197" xr:uid="{64803A4A-9437-4191-AE46-54143A73EF52}"/>
    <cellStyle name="Encabezado 4 2" xfId="50" xr:uid="{3D7F17F1-9462-41A4-A501-A3C5BFBE5C4D}"/>
    <cellStyle name="Encabezado 4 3" xfId="198" xr:uid="{989296EF-AD7F-4EF2-A341-1F1683245BFD}"/>
    <cellStyle name="Énfasis1 2" xfId="51" xr:uid="{F67E0AF2-EBC3-4744-8B9A-AE0D9ADE20DB}"/>
    <cellStyle name="Énfasis1 3" xfId="199" xr:uid="{D4DA0A37-1E2C-4192-8C34-A52077B2C1DF}"/>
    <cellStyle name="Énfasis2 2" xfId="52" xr:uid="{95800D0F-65BE-4DC2-9313-378C865AF963}"/>
    <cellStyle name="Énfasis2 3" xfId="200" xr:uid="{6789512A-3C65-44C3-A61F-93D9B9757610}"/>
    <cellStyle name="Énfasis3 2" xfId="53" xr:uid="{228EBD82-B072-4856-B9D0-28522182DC77}"/>
    <cellStyle name="Énfasis3 3" xfId="201" xr:uid="{EF2297FE-FD21-4C55-9C1B-9293A48D4DE7}"/>
    <cellStyle name="Énfasis4 2" xfId="54" xr:uid="{5C68F194-FC0E-41F0-B06C-DCA329E43C17}"/>
    <cellStyle name="Énfasis4 3" xfId="202" xr:uid="{3C43CA9A-31CC-4969-B9A8-7467CF6FC604}"/>
    <cellStyle name="Énfasis5 2" xfId="55" xr:uid="{0D86A8AE-F921-4D12-B4DE-7DA6D1EAB0D1}"/>
    <cellStyle name="Énfasis5 3" xfId="203" xr:uid="{55D11EE6-123F-451A-9E30-5D093FC7379F}"/>
    <cellStyle name="Énfasis6 2" xfId="56" xr:uid="{04F97240-1F5A-4C6F-9600-6799F230D230}"/>
    <cellStyle name="Énfasis6 3" xfId="204" xr:uid="{E955D7AF-198B-4941-9915-3E60E27F3F89}"/>
    <cellStyle name="Entrada 2" xfId="57" xr:uid="{C617DDB1-3A95-47D0-A068-0D74978A682A}"/>
    <cellStyle name="Entrada 3" xfId="205" xr:uid="{4D78324D-1F53-4996-9431-3F913B06C1B4}"/>
    <cellStyle name="Estilo 1" xfId="58" xr:uid="{C06E7861-21F0-4B30-BD89-9D62235DD56F}"/>
    <cellStyle name="Euro" xfId="59" xr:uid="{D1BE84EC-2BB3-4498-8E8D-184EC46A35C7}"/>
    <cellStyle name="F2" xfId="206" xr:uid="{11791C7C-AFFF-47EE-9B47-5E48C599036B}"/>
    <cellStyle name="F3" xfId="207" xr:uid="{7D664248-E699-4328-8E82-2D9B75F5CA10}"/>
    <cellStyle name="F4" xfId="208" xr:uid="{8F0A9107-92D4-4FB1-B04B-D6D2079BA685}"/>
    <cellStyle name="F5" xfId="209" xr:uid="{4E925AF0-C774-412E-A32D-17338EC92303}"/>
    <cellStyle name="F6" xfId="210" xr:uid="{41B69F60-16C8-4715-A89B-117D08B95A79}"/>
    <cellStyle name="F7" xfId="211" xr:uid="{3B4C3F8B-8706-45B2-AFBF-5EA0997D568E}"/>
    <cellStyle name="F8" xfId="212" xr:uid="{C73E95DB-629C-45F7-B7A9-6C09822C4904}"/>
    <cellStyle name="Fixed" xfId="213" xr:uid="{FE513A0B-5962-4C11-A7BA-A2572B438BD9}"/>
    <cellStyle name="Heading 1" xfId="214" xr:uid="{329FBE68-BCAD-4D8B-9DC5-D5D58AABF052}"/>
    <cellStyle name="Heading 2" xfId="215" xr:uid="{EA2872B3-D804-450C-AA4A-AE441ED8C62C}"/>
    <cellStyle name="Heading1" xfId="216" xr:uid="{8DB00643-A918-49CD-8A32-483932E62D0F}"/>
    <cellStyle name="Heading2" xfId="217" xr:uid="{009C8157-6E02-449A-968E-21AB37988EA0}"/>
    <cellStyle name="Hipervínculo" xfId="300" builtinId="8"/>
    <cellStyle name="Incorrecto 2" xfId="60" xr:uid="{5933112B-428A-46E4-A866-7B40E69C8164}"/>
    <cellStyle name="Incorrecto 3" xfId="218" xr:uid="{4B6A4480-7D98-405A-9E48-2A98FFB2F63D}"/>
    <cellStyle name="MILE DE MILLONES" xfId="219" xr:uid="{36952D00-A53F-4093-97D6-47C292069BFE}"/>
    <cellStyle name="MILE DE MILLONES 2" xfId="220" xr:uid="{60769020-431A-411B-8C3B-EFEDB5F1A540}"/>
    <cellStyle name="MILE DE MILLONES_PRESUPUESTO FASE III ABR-2015 Rev3" xfId="221" xr:uid="{2D88FA95-F982-472B-B06D-8E77D51C4B9C}"/>
    <cellStyle name="MILES" xfId="222" xr:uid="{B6DBE794-8128-4C8F-8B1A-341A3CAB3B5E}"/>
    <cellStyle name="MILES 2" xfId="223" xr:uid="{84AF5EB0-442B-4704-9A2D-22FB4680C5CF}"/>
    <cellStyle name="Millares" xfId="1" builtinId="3"/>
    <cellStyle name="Millares [2]" xfId="61" xr:uid="{C22EE84B-6A1C-428C-8AF5-7C9DC36A3456}"/>
    <cellStyle name="Millares [2] 2" xfId="224" xr:uid="{DB0CC394-969B-418B-B74C-057CA99B0A3F}"/>
    <cellStyle name="Millares 10" xfId="62" xr:uid="{12E88531-9760-4B8E-8D5C-8100DBA6DB51}"/>
    <cellStyle name="Millares 10 2" xfId="63" xr:uid="{2AA06BDF-B66F-470E-A388-5CA99BC69422}"/>
    <cellStyle name="Millares 10 2 2" xfId="289" xr:uid="{169D168A-EB68-48B5-B568-34751F9231D4}"/>
    <cellStyle name="Millares 11" xfId="64" xr:uid="{5A46C209-40AB-430B-8514-6FF0192DADD0}"/>
    <cellStyle name="Millares 11 2" xfId="225" xr:uid="{E1495E85-F577-4F53-BDA9-95D8A73E2D97}"/>
    <cellStyle name="Millares 12" xfId="148" xr:uid="{67EE4E63-0E1D-4941-9CF0-D3FBEB7DC0FC}"/>
    <cellStyle name="Millares 13" xfId="156" xr:uid="{6893F83F-9DFB-4EEB-A845-ADCF6CEA3174}"/>
    <cellStyle name="Millares 2" xfId="65" xr:uid="{EB2DC332-9000-4D1B-82AD-D007C4FF7C56}"/>
    <cellStyle name="Millares 2 2" xfId="66" xr:uid="{6F48DF03-BC1D-432C-AFBA-F390911CFEBA}"/>
    <cellStyle name="Millares 2 3" xfId="67" xr:uid="{38BFC85A-8FB1-4D2D-8F46-93068BD30645}"/>
    <cellStyle name="Millares 2 4" xfId="226" xr:uid="{AC2A4D41-E35F-4007-A3EE-998E8A0F31E6}"/>
    <cellStyle name="Millares 2 4 2" xfId="299" xr:uid="{E0B500F3-0879-4892-B493-6C2CE3793155}"/>
    <cellStyle name="Millares 2 5" xfId="68" xr:uid="{2F123886-492E-4295-86E2-A1C06CD7EA4C}"/>
    <cellStyle name="Millares 2 6" xfId="285" xr:uid="{C34BFA5E-19C7-4293-A4AB-8AF980D9FF34}"/>
    <cellStyle name="Millares 2_APU´S_NO_PREVISTOS (1)" xfId="227" xr:uid="{4D79B2F5-F50A-4810-9053-6DE4C2B5F067}"/>
    <cellStyle name="Millares 3" xfId="69" xr:uid="{A6056318-0E4F-4FBC-AAB6-35233505F0B0}"/>
    <cellStyle name="Millares 3 2" xfId="70" xr:uid="{DB4BCF06-9600-43AF-8DFE-636C692C8060}"/>
    <cellStyle name="Millares 3 3" xfId="71" xr:uid="{1F8A3A1C-A0C1-4AA7-B30E-6CECBF275791}"/>
    <cellStyle name="Millares 3 4" xfId="72" xr:uid="{167D3F61-2C00-4BA6-83F9-44B0BB776AAD}"/>
    <cellStyle name="Millares 3 5" xfId="73" xr:uid="{36E29B2D-1B79-48AE-A92B-70657B744831}"/>
    <cellStyle name="Millares 37" xfId="292" xr:uid="{EC201076-30B1-44B8-886B-989BDD61440F}"/>
    <cellStyle name="Millares 4" xfId="74" xr:uid="{CB11E825-A928-4B38-A3C4-6ECB0A4A02FE}"/>
    <cellStyle name="Millares 4 2" xfId="75" xr:uid="{2484CA43-CBFC-4FB4-8252-6A1680AABF9F}"/>
    <cellStyle name="Millares 4 3" xfId="4" xr:uid="{D041D102-061D-4DBF-AB3F-D5E4F90D262A}"/>
    <cellStyle name="Millares 4 3 2" xfId="284" xr:uid="{EA82B1C1-0B44-413E-930E-CE586FF2A343}"/>
    <cellStyle name="Millares 4 3 3" xfId="228" xr:uid="{CFA5ECC3-DC0D-429A-8018-39E6B291296E}"/>
    <cellStyle name="Millares 4_APU´S_NO_PREVISTOS (1)" xfId="229" xr:uid="{381C8583-1ED5-4330-89AE-E23BD93078C3}"/>
    <cellStyle name="Millares 5" xfId="76" xr:uid="{DA6F95C2-46DA-4852-A666-9B49044726E1}"/>
    <cellStyle name="Millares 5 2" xfId="230" xr:uid="{66CE2EA5-9ACE-41EA-A636-A29B0932BCB4}"/>
    <cellStyle name="Millares 6" xfId="77" xr:uid="{461CEF30-F5C5-41C5-BBA3-DA02AA9921A8}"/>
    <cellStyle name="Millares 6 2" xfId="78" xr:uid="{D6DF4883-6532-4B27-BBD5-A1F7704A1369}"/>
    <cellStyle name="Millares 7" xfId="79" xr:uid="{E015D520-F5B6-49A6-8D33-D1F654AB0E89}"/>
    <cellStyle name="Millares 7 2" xfId="80" xr:uid="{13A4D7AC-6043-4125-B1BD-6B3BDFAF5A9C}"/>
    <cellStyle name="Millares 7 2 2" xfId="81" xr:uid="{6688D00B-546D-46D7-8E0F-8BA42FE46B75}"/>
    <cellStyle name="Millares 8" xfId="82" xr:uid="{DE2E9120-2160-4508-BDA3-091136A9C540}"/>
    <cellStyle name="Millares 8 2" xfId="83" xr:uid="{5D7BD2EC-680F-4125-BB51-F0A752C65EE7}"/>
    <cellStyle name="Millares 9" xfId="84" xr:uid="{18A3E230-EF97-4E91-BEA5-0AF97D6B8A28}"/>
    <cellStyle name="Millares 9 2" xfId="85" xr:uid="{2088C1D0-1797-45CF-9316-54351526B4F6}"/>
    <cellStyle name="MILLONES" xfId="231" xr:uid="{AB325AF2-CF47-48A2-81C9-01A7A345FCB2}"/>
    <cellStyle name="MILLONES 2" xfId="232" xr:uid="{75DD0D3F-5FF9-4F16-8394-323092D91E3B}"/>
    <cellStyle name="MILLONES_PRESUPUESTO FASE III ABR-2015 Rev3" xfId="233" xr:uid="{5A546C58-C1E6-4C0B-B2E4-7F8CDC553426}"/>
    <cellStyle name="Moneda" xfId="22" builtinId="4"/>
    <cellStyle name="Moneda [0]" xfId="8" builtinId="7"/>
    <cellStyle name="Moneda [0] 2" xfId="281" xr:uid="{F6F987B7-4160-446E-BD1D-C8AAB583E512}"/>
    <cellStyle name="Moneda [0] 2 2" xfId="11" xr:uid="{57C39B2A-106F-4CD7-ACF8-4D99D7F8A29D}"/>
    <cellStyle name="Moneda [0] 2 2 2" xfId="290" xr:uid="{B12350DC-0C84-4521-9255-292CBF41CFF7}"/>
    <cellStyle name="Moneda [0] 2 2 3" xfId="279" xr:uid="{C0B8B9DF-3597-4DFA-A476-A877F63074FD}"/>
    <cellStyle name="Moneda [0] 3" xfId="17" xr:uid="{0F994F29-A050-4CF4-A95E-84595A192021}"/>
    <cellStyle name="Moneda [0] 3 2" xfId="21" xr:uid="{9103EEE2-A333-4291-80A7-B3EA4D944B7A}"/>
    <cellStyle name="Moneda [0] 3 3" xfId="291" xr:uid="{BEBCA65D-55EC-4A60-97C9-A0D2C3746C24}"/>
    <cellStyle name="Moneda 10 2" xfId="86" xr:uid="{836F88E7-489E-4E6F-9240-E92375E01E56}"/>
    <cellStyle name="Moneda 11" xfId="27" xr:uid="{7FF95527-334B-4D76-A8A0-BB872D0C77F7}"/>
    <cellStyle name="Moneda 15" xfId="6" xr:uid="{3DE1F310-A62E-42CA-89E9-B1C6F05862A4}"/>
    <cellStyle name="Moneda 2" xfId="87" xr:uid="{B570ACFA-8773-4DC4-B3BC-9B2693EE3F8C}"/>
    <cellStyle name="Moneda 2 10" xfId="234" xr:uid="{D6A94FEA-FBD8-4471-9E3E-7886A4F65500}"/>
    <cellStyle name="Moneda 2 11" xfId="235" xr:uid="{35214639-0679-4C28-8AF7-EAA6C71F9E00}"/>
    <cellStyle name="Moneda 2 12" xfId="236" xr:uid="{C6EAD218-94CD-4CF1-98B9-16171AFD39A0}"/>
    <cellStyle name="Moneda 2 2" xfId="88" xr:uid="{866D4BCF-757B-45CA-8D4C-3E3C7109B975}"/>
    <cellStyle name="Moneda 2 2 2" xfId="7" xr:uid="{940C0C29-8856-4123-8A36-7CBF1258CAC8}"/>
    <cellStyle name="Moneda 2 2 2 2" xfId="90" xr:uid="{A7D7162A-DB7C-477A-B6DE-C1033503C968}"/>
    <cellStyle name="Moneda 2 2 2 2 2" xfId="152" xr:uid="{8BE148DF-6944-4200-A93E-305DE38E13F1}"/>
    <cellStyle name="Moneda 2 2 2 3" xfId="287" xr:uid="{9A0ABE8E-1A88-45DB-9EC8-13420BF80D4D}"/>
    <cellStyle name="Moneda 2 2 2 4" xfId="89" xr:uid="{0511D976-349A-431D-9575-BC720EB4E0CE}"/>
    <cellStyle name="Moneda 2 2 3" xfId="19" xr:uid="{F77609B9-95D9-46A2-A2A1-2D105BC81F00}"/>
    <cellStyle name="Moneda 2 2 3 2" xfId="91" xr:uid="{172D6713-8FAA-4F0A-80CE-0AE02D4F8773}"/>
    <cellStyle name="Moneda 2 2 4" xfId="92" xr:uid="{CCBDA7CA-9DB0-436C-B249-AB6819DE304B}"/>
    <cellStyle name="Moneda 2 2 5" xfId="93" xr:uid="{3026B529-6371-400B-BC6D-DB841BAB000F}"/>
    <cellStyle name="Moneda 2 2 6" xfId="295" xr:uid="{E245B65C-F753-498C-B800-AA13D7A10C39}"/>
    <cellStyle name="Moneda 2 2_APU´S_NO_PREVISTOS (1)" xfId="237" xr:uid="{D3C3D64B-CEB4-4DD8-AFC5-C6B762A6994B}"/>
    <cellStyle name="Moneda 2 3" xfId="94" xr:uid="{97599679-C790-4DC8-849C-A63C9E3DC0A3}"/>
    <cellStyle name="Moneda 2 3 3" xfId="297" xr:uid="{1DEB3EE1-28E3-4A59-AE31-5D42F30A7498}"/>
    <cellStyle name="Moneda 2 4" xfId="238" xr:uid="{581AF971-4CE3-4841-91CE-88BA1D5D8855}"/>
    <cellStyle name="Moneda 2 5" xfId="239" xr:uid="{BF0F4E2D-6488-4A7C-BA3C-8D3DEBC768B6}"/>
    <cellStyle name="Moneda 2 6" xfId="240" xr:uid="{39FA9990-15A9-4693-A16C-F4BF4C56DDD7}"/>
    <cellStyle name="Moneda 2 7" xfId="241" xr:uid="{57F2D9CF-F449-4E8A-853F-6268BB35D69B}"/>
    <cellStyle name="Moneda 2 8" xfId="242" xr:uid="{5218B084-ABEF-41DA-98F8-BF712A803B15}"/>
    <cellStyle name="Moneda 2 9" xfId="243" xr:uid="{97B2D7A5-63E0-426F-91BB-DD4D86BCC441}"/>
    <cellStyle name="Moneda 2_APU´S_NO_PREVISTOS (1)" xfId="244" xr:uid="{CAD6BD01-1685-4773-AA5F-11FB0AB3DDD8}"/>
    <cellStyle name="Moneda 3" xfId="95" xr:uid="{0075E6C2-6C88-4FD0-9B1A-2C6F6E4E9B2A}"/>
    <cellStyle name="Moneda 4" xfId="245" xr:uid="{1ABAFC08-FB43-4EB6-A697-4A8F63798921}"/>
    <cellStyle name="Moneda 4 2 3" xfId="16" xr:uid="{01CD9BEF-C534-40C1-AA40-5321C81D39D2}"/>
    <cellStyle name="Moneda 4 2 3 2" xfId="282" xr:uid="{0D3271E6-0E5F-467B-8379-A86CCFA97CF3}"/>
    <cellStyle name="Moneda 4 3" xfId="13" xr:uid="{0F27EA89-279C-4435-8022-E454231596C9}"/>
    <cellStyle name="Moneda 4 5" xfId="14" xr:uid="{117719F2-5067-4A22-B7E0-180A035EBDA4}"/>
    <cellStyle name="Moneda 5" xfId="286" xr:uid="{B7C36B58-5520-4344-AFA1-B03B33F4B052}"/>
    <cellStyle name="Moneda 6" xfId="277" xr:uid="{7DD01620-B831-41D4-A637-BBCEDF20CE91}"/>
    <cellStyle name="Monetario0" xfId="246" xr:uid="{ECF91D74-1BB3-414D-999A-A36C92DF3EBA}"/>
    <cellStyle name="Neutral 2" xfId="97" xr:uid="{94C7E3C7-BEDC-4B49-885A-45EC23107684}"/>
    <cellStyle name="Neutral 3" xfId="247" xr:uid="{9A474830-F79E-4403-A277-4C5D27781E24}"/>
    <cellStyle name="Neutral 4" xfId="96" xr:uid="{5DB42BD2-6442-419E-85F6-C8E6FDC529CB}"/>
    <cellStyle name="No. punto" xfId="248" xr:uid="{EB6BFBF4-7348-452F-9B2F-8BA1B14CEB5F}"/>
    <cellStyle name="No. punto 2" xfId="249" xr:uid="{1AA5040B-FB43-41CE-9D0F-3769EFCAF94F}"/>
    <cellStyle name="Normal" xfId="0" builtinId="0"/>
    <cellStyle name="Normal 10" xfId="278" xr:uid="{55CDC540-9F6D-4C97-BE96-37FC96747963}"/>
    <cellStyle name="Normal 10 2" xfId="301" xr:uid="{A5A0CB26-128F-4B9F-AC5E-C7380D4BEC5B}"/>
    <cellStyle name="Normal 13" xfId="20" xr:uid="{C51140B3-2901-4237-8F35-E2B4F0436DE6}"/>
    <cellStyle name="Normal 15 2" xfId="288" xr:uid="{E7AFD5D2-4142-49C0-9EEF-42A80BF96BD3}"/>
    <cellStyle name="Normal 18" xfId="3" xr:uid="{A9935FD4-5B04-4B5C-AD8C-077FEA073C70}"/>
    <cellStyle name="Normal 2" xfId="25" xr:uid="{586B095D-4BE3-4A05-BB52-65D3E3675DE0}"/>
    <cellStyle name="Normal 2 10" xfId="99" xr:uid="{7846E40F-34D8-4E09-BD08-A880F8B5093F}"/>
    <cellStyle name="Normal 2 10 2" xfId="100" xr:uid="{E33E6859-A3A6-4449-8092-803792032DC5}"/>
    <cellStyle name="Normal 2 10 2 2" xfId="157" xr:uid="{0B6F4418-7329-4BD7-B108-0D46E1839229}"/>
    <cellStyle name="Normal 2 10 3" xfId="149" xr:uid="{4F90EC8F-90A4-4230-9B9A-209242DA892B}"/>
    <cellStyle name="Normal 2 11" xfId="101" xr:uid="{A08E821C-7B9A-4EE7-9748-93DAA1C76ACC}"/>
    <cellStyle name="Normal 2 12" xfId="102" xr:uid="{14492431-A605-4F4B-AE1B-86B499FB8D40}"/>
    <cellStyle name="Normal 2 13" xfId="103" xr:uid="{00027977-FEDE-4850-8F99-FB7A7E6F5CE3}"/>
    <cellStyle name="Normal 2 14" xfId="98" xr:uid="{C41FC3A5-D22A-4097-A002-5D680C82C99D}"/>
    <cellStyle name="Normal 2 2" xfId="104" xr:uid="{5E61D0E1-F279-4538-B56C-78D7839ECD41}"/>
    <cellStyle name="Normal 2 2 2" xfId="250" xr:uid="{1135992A-A6A3-49C6-A4AC-91640981E5CE}"/>
    <cellStyle name="Normal 2 2 3" xfId="251" xr:uid="{28517B70-EEC3-4EBC-AA60-65B7C4356946}"/>
    <cellStyle name="Normal 2 3" xfId="5" xr:uid="{30F5F7CC-0F12-4721-B377-8DF3B3F3EB98}"/>
    <cellStyle name="Normal 2 3 2" xfId="252" xr:uid="{C56237E6-B39B-44C3-9D55-5899D942FFB6}"/>
    <cellStyle name="Normal 2 3 2 2" xfId="298" xr:uid="{5F614611-A5C0-4586-A27D-3392C1A72D03}"/>
    <cellStyle name="Normal 2 3 3" xfId="283" xr:uid="{3F227BD1-D0AB-4C11-8C6E-59C8C14A496B}"/>
    <cellStyle name="Normal 2 3 4" xfId="105" xr:uid="{F7B7E99F-C134-40D0-861E-6BC2E4007B40}"/>
    <cellStyle name="Normal 2 4" xfId="106" xr:uid="{C70F9581-6BA8-4E0D-94E0-2FBC172B23DC}"/>
    <cellStyle name="Normal 2 5" xfId="107" xr:uid="{6A873FFF-E2AE-40EA-9A1B-77B93D99DE66}"/>
    <cellStyle name="Normal 2 5 2" xfId="294" xr:uid="{A3355A07-E3FE-44D9-8D65-FF0AB85266A0}"/>
    <cellStyle name="Normal 2 6" xfId="108" xr:uid="{CDD6EDC4-592D-4344-85E0-159E97DAA129}"/>
    <cellStyle name="Normal 2 7" xfId="109" xr:uid="{D963DC26-81ED-416F-8DC5-5AC68D7D24AC}"/>
    <cellStyle name="Normal 2 8" xfId="110" xr:uid="{2E8521C9-7019-4981-8CBA-DE5BBF9336C6}"/>
    <cellStyle name="Normal 2 9" xfId="111" xr:uid="{9D560F2B-7475-40E5-9475-2F4A321A21CA}"/>
    <cellStyle name="Normal 2_APU NO PREVISTOS MTTO" xfId="112" xr:uid="{07137237-5270-449D-BB2D-A57B93F84313}"/>
    <cellStyle name="Normal 29" xfId="113" xr:uid="{55840A59-AC1B-4D10-8515-CB8866F5AC04}"/>
    <cellStyle name="Normal 3" xfId="114" xr:uid="{8E8E5062-36F9-4D07-A25C-DAE6CB580FF3}"/>
    <cellStyle name="Normal 3 11" xfId="153" xr:uid="{8C94DEDC-6C94-4AAC-830C-175F169D629F}"/>
    <cellStyle name="Normal 3 2" xfId="115" xr:uid="{D5405213-0D5B-4864-B69E-160CDCE4D68C}"/>
    <cellStyle name="Normal 3 2 2" xfId="151" xr:uid="{AEB2ECA0-E188-4369-BAB3-4CCC4653ADBE}"/>
    <cellStyle name="Normal 3 3" xfId="253" xr:uid="{9C34126F-77CD-409B-84F1-CCDFC479B0E2}"/>
    <cellStyle name="Normal 3_APU´S_NO_PREVISTOS (1)" xfId="254" xr:uid="{59133D8A-0AEE-41B8-8327-39E2F53A4A69}"/>
    <cellStyle name="Normal 4" xfId="116" xr:uid="{7944788E-2F5A-4043-B843-6AECEA0B24E0}"/>
    <cellStyle name="Normal 4 2" xfId="2" xr:uid="{087DD4C1-C87A-42BD-9FC7-D1D061E47C75}"/>
    <cellStyle name="Normal 4 2 2" xfId="255" xr:uid="{485AD746-CF95-46A0-AA6B-47A8FF087CD5}"/>
    <cellStyle name="Normal 4 4" xfId="26" xr:uid="{99AB8B26-7628-4C78-B65D-5F20BFDC3DD6}"/>
    <cellStyle name="Normal 5" xfId="155" xr:uid="{E18B57DA-165A-47B9-A31E-A5F07D86750C}"/>
    <cellStyle name="Normal 5 2 2" xfId="18" xr:uid="{11FFA6B6-0E06-42EC-BFC4-00B0C3D4140A}"/>
    <cellStyle name="Normal 5 2 3" xfId="15" xr:uid="{B294DF45-765D-48AB-92E9-D3CE21536E54}"/>
    <cellStyle name="Normal 5 3" xfId="10" xr:uid="{F0470EA0-DBFE-410E-B0C5-7C6C236F79DB}"/>
    <cellStyle name="Normal 6" xfId="256" xr:uid="{76D95133-52D9-45B6-8CAA-83C32F2FB880}"/>
    <cellStyle name="Normal 6 2" xfId="257" xr:uid="{FA8C1A3F-BC93-4AAB-9B1C-8A8E6B74765A}"/>
    <cellStyle name="Normal 7" xfId="258" xr:uid="{C964C1B0-B99D-4497-90D5-DF67FFCD419C}"/>
    <cellStyle name="Normal 8" xfId="259" xr:uid="{57764ACE-46AB-4A5D-AA03-3556C9D81E03}"/>
    <cellStyle name="Normal 9" xfId="260" xr:uid="{22F19CAB-46E1-4202-8902-E30F0BB4118B}"/>
    <cellStyle name="Normal 9 2" xfId="154" xr:uid="{78A9D4A7-1F13-495D-AC3F-2F62AF43819A}"/>
    <cellStyle name="Notas 2" xfId="117" xr:uid="{8229EA2B-856E-4C46-B84B-7482F64114EB}"/>
    <cellStyle name="Notas 3" xfId="261" xr:uid="{AFA23F33-08B8-44B2-93D6-911E07633796}"/>
    <cellStyle name="Percent" xfId="262" xr:uid="{43F868C5-3072-4580-96A1-5B428CFD3F86}"/>
    <cellStyle name="Porcentaje" xfId="9" builtinId="5"/>
    <cellStyle name="Porcentaje 2" xfId="263" xr:uid="{9B8F3864-625E-4811-AC4A-77E37AF01849}"/>
    <cellStyle name="Porcentaje 2 2" xfId="296" xr:uid="{D58B6C32-986D-4087-9BE2-749037A5E516}"/>
    <cellStyle name="Porcentaje 3" xfId="118" xr:uid="{54D0C32B-3124-4A4B-BCBE-459ABF1FF9D8}"/>
    <cellStyle name="Porcentaje 4" xfId="264" xr:uid="{BA565F56-6410-4F49-B23B-DC40CD3095AA}"/>
    <cellStyle name="Porcentaje 5" xfId="265" xr:uid="{437207D6-2E2E-4393-A112-55568A998700}"/>
    <cellStyle name="Porcentaje 5 2" xfId="266" xr:uid="{EA865B4A-C8C6-4931-8624-F6C38D722D5A}"/>
    <cellStyle name="Porcentaje 6" xfId="280" xr:uid="{3E8BC3FB-87FE-4F3C-9F1C-D16BCBDC4461}"/>
    <cellStyle name="Porcentaje 7" xfId="12" xr:uid="{BC661D03-4DCF-4224-BD1A-281F18B11437}"/>
    <cellStyle name="Porcentaje 8" xfId="293" xr:uid="{AC3D1C36-1D79-4FBD-A755-60CBFF27F2FF}"/>
    <cellStyle name="Porcentual 2" xfId="119" xr:uid="{580232E9-722A-4EF2-86E4-88FF6422023F}"/>
    <cellStyle name="Porcentual 2 10" xfId="120" xr:uid="{270CCA0B-A9BA-41ED-871B-2C4C8870F51E}"/>
    <cellStyle name="Porcentual 2 10 2" xfId="121" xr:uid="{7A923067-16C1-4D0E-8340-0EE0B251109C}"/>
    <cellStyle name="Porcentual 2 11" xfId="122" xr:uid="{0E9AC410-9BB2-42CF-BE49-2CD193C6DE13}"/>
    <cellStyle name="Porcentual 2 12" xfId="123" xr:uid="{85ACD4D9-1E72-4359-8A31-314EDACC4F83}"/>
    <cellStyle name="Porcentual 2 2" xfId="124" xr:uid="{E84C16D6-B754-4A0B-8EFF-C27651468856}"/>
    <cellStyle name="Porcentual 2 3" xfId="125" xr:uid="{4589DD08-57E3-4E48-9A8A-B1DF040579AD}"/>
    <cellStyle name="Porcentual 2 4" xfId="126" xr:uid="{8EC8C7D1-F982-4557-9DD6-A8C5B587C91A}"/>
    <cellStyle name="Porcentual 2 5" xfId="127" xr:uid="{86E5954B-10A3-4A34-9153-6067AD6213A0}"/>
    <cellStyle name="Porcentual 2 6" xfId="128" xr:uid="{A7EE20E4-CC46-4192-87B3-7C7D8E6C8FA4}"/>
    <cellStyle name="Porcentual 2 7" xfId="129" xr:uid="{BBC6636B-3FE4-4E02-BE5A-FE4985776CD5}"/>
    <cellStyle name="Porcentual 2 8" xfId="130" xr:uid="{A79F6D75-4DFC-4A9C-AA23-CD301B65C04C}"/>
    <cellStyle name="Porcentual 2 9" xfId="131" xr:uid="{F035C06D-87F1-4B50-9A3F-F6F0B6B22520}"/>
    <cellStyle name="Porcentual 3" xfId="132" xr:uid="{02F27E87-F4DD-41DE-BD01-B77B1946902C}"/>
    <cellStyle name="Porcentual 4" xfId="133" xr:uid="{DF99EF44-A102-477B-AEBD-474A2AACE2AE}"/>
    <cellStyle name="Porcentual 4 2" xfId="134" xr:uid="{4D8CC334-07A9-4E40-8929-2DA8028075ED}"/>
    <cellStyle name="Porcentual 5" xfId="135" xr:uid="{AFFAE23A-02BC-4D60-ABFF-EC148266F409}"/>
    <cellStyle name="Porcentual 5 2" xfId="267" xr:uid="{77C11B9A-7073-4307-BE88-205196769BAC}"/>
    <cellStyle name="Porcentual 6" xfId="136" xr:uid="{456A91A7-AEC8-4445-825D-364A716BE6C9}"/>
    <cellStyle name="Porcentual 6 2" xfId="137" xr:uid="{1098EA86-5A5C-4128-BD42-23B9C3CC9337}"/>
    <cellStyle name="Porcentual 7" xfId="138" xr:uid="{E36CE75B-7EF9-45BA-9D28-E35FF6ABF6B5}"/>
    <cellStyle name="Porcentual 8" xfId="150" xr:uid="{22980788-D76A-4654-9C23-43616522AEB0}"/>
    <cellStyle name="resaltado" xfId="268" xr:uid="{2C8CF763-8C79-423C-97F5-4C0F2A981CC4}"/>
    <cellStyle name="Salida 2" xfId="139" xr:uid="{E44C986B-2CE6-4A57-90E9-269105F88F16}"/>
    <cellStyle name="Salida 3" xfId="269" xr:uid="{D0EB6871-9112-434E-BD87-1D5D30249BEF}"/>
    <cellStyle name="Texto de advertencia 2" xfId="140" xr:uid="{5A4660AB-61F6-427E-850D-072E3923E49F}"/>
    <cellStyle name="Texto de advertencia 3" xfId="270" xr:uid="{8435E925-C6BF-4925-8543-DDA84A44F587}"/>
    <cellStyle name="Texto explicativo 2" xfId="141" xr:uid="{0BED9113-BDE1-4C8C-8F24-9BEE797A2BF4}"/>
    <cellStyle name="Texto explicativo 3" xfId="271" xr:uid="{FA61F65F-8E7A-4FAC-B166-D506D1A4D5E4}"/>
    <cellStyle name="Título 1 2" xfId="142" xr:uid="{134F67DB-2601-4BF8-A362-19CE342B2982}"/>
    <cellStyle name="Título 1 3" xfId="272" xr:uid="{E4284A70-3EBD-4182-8D84-3CAF55BAB7C1}"/>
    <cellStyle name="Título 2 2" xfId="143" xr:uid="{A482ACB3-C725-47C4-8096-95464EEB353E}"/>
    <cellStyle name="Título 2 3" xfId="273" xr:uid="{C5D89117-6D52-4770-A864-F2F16844C9EC}"/>
    <cellStyle name="Título 3 2" xfId="144" xr:uid="{CFDD76C7-FD99-4F5B-9550-D2EFD7CFC548}"/>
    <cellStyle name="Título 3 3" xfId="274" xr:uid="{3534333A-8C7C-454F-A595-810B10F607D3}"/>
    <cellStyle name="Título 4" xfId="145" xr:uid="{E54D5FDB-ED78-4C6F-AFD1-FB62710991D5}"/>
    <cellStyle name="Título 5" xfId="275" xr:uid="{26D70A9B-C1B4-4F89-8C1F-C9D744E7CB3F}"/>
    <cellStyle name="Total" xfId="24" builtinId="25"/>
    <cellStyle name="Total 2" xfId="147" xr:uid="{513A2632-6A7C-47D3-9686-EAF2AFC3F0EE}"/>
    <cellStyle name="Total 3" xfId="276" xr:uid="{2E8E9596-2806-44FE-B0A3-B33843483DAC}"/>
    <cellStyle name="Total 4" xfId="146" xr:uid="{D65C5D2C-E4DD-486B-9B77-F30340078178}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75" formatCode="&quot;$&quot;\ 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75" formatCode="&quot;$&quot;\ 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textRotation="0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numFmt numFmtId="167" formatCode="&quot;$&quot;\ #,##0.00"/>
      <alignment horizontal="righ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Calibri"/>
        <family val="2"/>
        <scheme val="minor"/>
      </font>
      <alignment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10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408213</xdr:colOff>
      <xdr:row>0</xdr:row>
      <xdr:rowOff>190500</xdr:rowOff>
    </xdr:from>
    <xdr:to>
      <xdr:col>6</xdr:col>
      <xdr:colOff>992786</xdr:colOff>
      <xdr:row>2</xdr:row>
      <xdr:rowOff>96257</xdr:rowOff>
    </xdr:to>
    <xdr:sp macro="" textlink="">
      <xdr:nvSpPr>
        <xdr:cNvPr id="2" name="4 Cuadro de texto">
          <a:extLst>
            <a:ext uri="{FF2B5EF4-FFF2-40B4-BE49-F238E27FC236}">
              <a16:creationId xmlns:a16="http://schemas.microsoft.com/office/drawing/2014/main" id="{1176460C-ACE3-4600-906D-9B0F407CC548}"/>
            </a:ext>
          </a:extLst>
        </xdr:cNvPr>
        <xdr:cNvSpPr txBox="1"/>
      </xdr:nvSpPr>
      <xdr:spPr>
        <a:xfrm>
          <a:off x="1871253" y="182880"/>
          <a:ext cx="3251573" cy="27913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es-E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</a:t>
          </a: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DEPARTAMENTO DEL TOLIMA</a:t>
          </a:r>
          <a:r>
            <a:rPr lang="es-ES" sz="10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</a:t>
          </a:r>
        </a:p>
        <a:p>
          <a:pPr algn="ctr">
            <a:spcAft>
              <a:spcPts val="0"/>
            </a:spcAft>
          </a:pP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ALCALDÍA DE RIOBLANCO</a:t>
          </a:r>
          <a:r>
            <a:rPr lang="es-ES" sz="1000" b="1" i="0" u="none" strike="noStrik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endParaRPr lang="es-ES" sz="1000" b="1" i="0" u="none" strike="noStrike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 i="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NIT. </a:t>
          </a:r>
          <a:r>
            <a:rPr lang="es-ES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890702040-7</a:t>
          </a:r>
          <a:endParaRPr lang="es-CO" sz="10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>
            <a:spcAft>
              <a:spcPts val="0"/>
            </a:spcAft>
          </a:pPr>
          <a:r>
            <a:rPr lang="es-CO" sz="1000" b="1">
              <a:effectLst/>
              <a:latin typeface="Arial" panose="020B060402020202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SECRETARIA DE PLANEACION E INFRAESTRUCTURA</a:t>
          </a:r>
        </a:p>
        <a:p>
          <a:pPr algn="ctr">
            <a:spcAft>
              <a:spcPts val="0"/>
            </a:spcAft>
          </a:pPr>
          <a:r>
            <a:rPr lang="es-CO" sz="1400" b="1" i="1">
              <a:effectLst/>
              <a:latin typeface="Segoe UI Historic" panose="020B0502040204020203" pitchFamily="34" charset="0"/>
              <a:ea typeface="Times New Roman" panose="02020603050405020304" pitchFamily="18" charset="0"/>
            </a:rPr>
            <a:t> 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oneCellAnchor>
    <xdr:from>
      <xdr:col>0</xdr:col>
      <xdr:colOff>492919</xdr:colOff>
      <xdr:row>0</xdr:row>
      <xdr:rowOff>153987</xdr:rowOff>
    </xdr:from>
    <xdr:ext cx="2043729" cy="789901"/>
    <xdr:pic>
      <xdr:nvPicPr>
        <xdr:cNvPr id="3" name="image3.png">
          <a:extLst>
            <a:ext uri="{FF2B5EF4-FFF2-40B4-BE49-F238E27FC236}">
              <a16:creationId xmlns:a16="http://schemas.microsoft.com/office/drawing/2014/main" id="{E905F8F2-637A-420D-A0EA-843CD30F982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492919" y="153987"/>
          <a:ext cx="2043729" cy="789901"/>
        </a:xfrm>
        <a:prstGeom prst="rect">
          <a:avLst/>
        </a:prstGeom>
        <a:ln/>
      </xdr:spPr>
    </xdr:pic>
    <xdr:clientData/>
  </xdr:oneCellAnchor>
  <xdr:oneCellAnchor>
    <xdr:from>
      <xdr:col>8</xdr:col>
      <xdr:colOff>1031082</xdr:colOff>
      <xdr:row>0</xdr:row>
      <xdr:rowOff>85725</xdr:rowOff>
    </xdr:from>
    <xdr:ext cx="1092199" cy="922972"/>
    <xdr:pic>
      <xdr:nvPicPr>
        <xdr:cNvPr id="4" name="image3.png">
          <a:extLst>
            <a:ext uri="{FF2B5EF4-FFF2-40B4-BE49-F238E27FC236}">
              <a16:creationId xmlns:a16="http://schemas.microsoft.com/office/drawing/2014/main" id="{11D22232-865F-4C10-B343-16D173F2769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586062" y="85725"/>
          <a:ext cx="1092199" cy="922972"/>
        </a:xfrm>
        <a:prstGeom prst="rect">
          <a:avLst/>
        </a:prstGeom>
        <a:ln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327660</xdr:colOff>
      <xdr:row>0</xdr:row>
      <xdr:rowOff>93458</xdr:rowOff>
    </xdr:from>
    <xdr:to>
      <xdr:col>3</xdr:col>
      <xdr:colOff>1765663</xdr:colOff>
      <xdr:row>0</xdr:row>
      <xdr:rowOff>805254</xdr:rowOff>
    </xdr:to>
    <xdr:pic>
      <xdr:nvPicPr>
        <xdr:cNvPr id="6" name="image3.png">
          <a:extLst>
            <a:ext uri="{FF2B5EF4-FFF2-40B4-BE49-F238E27FC236}">
              <a16:creationId xmlns:a16="http://schemas.microsoft.com/office/drawing/2014/main" id="{50678656-357A-4C3E-9923-8C983A54EBE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1447800" y="93458"/>
          <a:ext cx="2139043" cy="711796"/>
        </a:xfrm>
        <a:prstGeom prst="rect">
          <a:avLst/>
        </a:prstGeom>
        <a:ln/>
      </xdr:spPr>
    </xdr:pic>
    <xdr:clientData/>
  </xdr:twoCellAnchor>
  <xdr:twoCellAnchor editAs="oneCell">
    <xdr:from>
      <xdr:col>3</xdr:col>
      <xdr:colOff>3017520</xdr:colOff>
      <xdr:row>0</xdr:row>
      <xdr:rowOff>60960</xdr:rowOff>
    </xdr:from>
    <xdr:to>
      <xdr:col>3</xdr:col>
      <xdr:colOff>4008120</xdr:colOff>
      <xdr:row>0</xdr:row>
      <xdr:rowOff>841787</xdr:rowOff>
    </xdr:to>
    <xdr:pic>
      <xdr:nvPicPr>
        <xdr:cNvPr id="7" name="image3.png">
          <a:extLst>
            <a:ext uri="{FF2B5EF4-FFF2-40B4-BE49-F238E27FC236}">
              <a16:creationId xmlns:a16="http://schemas.microsoft.com/office/drawing/2014/main" id="{B98ADABF-462F-4F87-82C2-76798635123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4930140" y="60960"/>
          <a:ext cx="990600" cy="780827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892FCF3-CDFA-459F-A31E-7A0FD8B0088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DC27DEC-D588-443D-886C-393987D3D94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3BB4255-E3AA-42DC-A70C-7DA3201E26E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59419D5-8E8E-4ACE-9436-1F613E3E4AD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E4D4467-D88B-4A81-99A8-23CEA16D39F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05EB69C-E27A-400D-8279-B1598A0D1DD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9A904833-F2E2-46D4-A147-404438AC5B4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B2C2950-6529-41DF-8BE0-B1877A8753E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A7F0D60-F7CF-42BB-A3E1-96B67E0838C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C44AEED-3F2D-44B2-99BC-A7EB65A6DCA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9A084C8-4693-490E-A228-99F1724F860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258ECB1-70C7-4A16-AB55-D848F6FB114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B2AD201-C19F-4240-9EE9-E075C1B29E2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D7FDE1C-094D-4E42-A45A-78A7244D288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CA08A10-D634-4FB4-9EFF-5B9D4997BBE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A312F57-537D-45E0-A716-897CD0D5629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71EA736-16BB-4912-A1D0-FE9C2F2D19D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8B69FE3-6235-41C1-94AB-9E96AAF495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541E059-E899-4989-88A4-4BFFCE50013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9353395-E001-4ADA-B97B-61CB7A86D3D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92BA5293-C4DE-4D0B-84AE-7136BD7B265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CED6811-61EC-4F83-8601-0765C49F64F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4023C1E-7B9B-4D6B-B68A-83717E0F00A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F185EF1-CDAB-4E6A-B07A-EAC7EB1009D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9B72CC4-C39B-40D6-8F7F-70547743B0A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F4B1B57-B77B-4879-A26E-97F90589D06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9660B63-CBD9-4971-A9B6-C9D5BC2D6C1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B48E325-845F-4679-98A8-FE5DB98617D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B991F59-5CF6-413C-B645-049A001D062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10E9734-9B89-4697-A51F-EC9BB02962C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917ECCC0-A324-4D65-8B2A-1AA6F65022D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803F493-4249-493A-87E0-135A26FC53D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54A7409-3B1B-4C8C-A72F-7A0D5C3788D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398E782-D25E-4E8D-940A-B65445D97A4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83E9C55-76B3-4FBC-B3EF-CE492FEF211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15A1F25-3216-4035-9142-DA476CBAA21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AE7E830-CC68-4C31-B1B4-54B185CBA66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5E89E3F-DCB2-4600-9F83-91040EB5028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2EA58B4-53A0-44AB-AC7F-DD36D651DD8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6D749A8-C600-4026-A70F-CB414657AFD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D961EBD-CAB5-44AA-9B2C-145BDCF65A7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1587464-61CF-4EFD-BDFA-7B8A19ECA9C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03F7311-2596-4C30-AED2-A820E05C8DC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13130BD-2791-4CC9-BB5C-A211A5584BB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54FB3F5-E579-4B99-828B-0BEC9A171CD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FAB0781-A818-40C1-8535-2F358D1BC38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DFE7672-A9B4-4EB6-AC64-1ACADA56B44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CC00FCE7-B5EB-4AA0-A7C5-7C5A2E56E0E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97A9CF1-561E-471C-8DD5-D442372BAF0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26AE609-D33F-405F-B388-5E8B3FD16E2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EA40BBB-92B3-4468-8B33-8C329380484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A0D81BD-6F58-485F-AF82-56149F5F7B2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CF5716C-A4E0-4D00-8760-7D65AF4DB10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180844F-952E-4CF8-8D4E-5141EB64CEC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CE9886F-BC4B-42A6-894B-9E06900D108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BCF2E4A-CE7F-4F66-A555-52BE6C069AD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1C099B5-9189-4C23-B06E-AC89BBB8D06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694C57B-CE4B-4111-BECC-A493BC93A77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7CEA23D-A4E9-44D8-972F-40556B2837C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5B94D9E-B551-49CB-9E0E-A423FF569F1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FADCD62-7550-4E28-9D63-10305A0E2B1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962901C-AABE-4D4D-A91D-D07C0BF4249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FFF2DE8-586D-4892-9B1A-54556E5183D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AE270AA-9BEC-4921-BB34-FB3B7A26433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82C2B75-90A3-4292-99A5-EC7AFBE31B6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F1F2FF1-8264-43CD-A594-07E33B37A9B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449CF01-8143-4D99-9AE6-806C2A5E8DF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E44C89F-543E-474D-B011-07E414A1B34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117F391-7DD5-4E86-B018-D92A61CA76D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94DE482-F8C0-4932-9217-06503B355DC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0DB9886-C68A-4568-B4C8-F0F16EA7026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7AE209E-08BB-434D-A4D5-D4146F621F7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4F815B8-7CE2-433D-BCC5-9D32954303D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8D209FE-CF2B-4CFC-B68D-1E13E964040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DC04EC8-B615-438E-AE85-EBF16AD0CEC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8043CB8-56E3-42A9-A537-7EF471348EA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3B645EC-51FE-44A9-800A-CE65AE18C9E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678BEF5-2749-41B4-A75E-34B5584E737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89C0993-6A80-4A08-A700-42B312C563B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B0D58DB-B5A0-4CA8-9301-6F91FFE5550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F486888-927C-4AC4-985E-8AA1680AF0C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99CD552-57EE-4ABD-AD90-520E4A01BAF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526FA70-A7A7-4437-8272-DCDE5BAE35D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E90273E-A2FF-48E6-9CF8-9D6BE2AB90A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3E9E6C2-BA96-4F53-AE07-B55FF89DE64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B9521FA-989C-49A2-B8FF-35A382C3DB7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11E1325-8210-40BC-AA41-A04539B78B4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B0B747F-C106-4A25-8C3E-97082C02100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A5A814D-489E-4F68-BAAA-40AC90820C1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3E9A23E-444E-4BCF-BEA4-6D202876263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1DFE74C-658D-4C34-96DD-FD0EE1C28BB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88C5924-F979-4D43-A673-99D7D33DB39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2C326BE-D6E3-4BB3-AEB8-DC1CC0055CF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D96AD2C-5034-4801-99FD-B345CCC15BC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9990E71-16EE-4AF5-9EE1-44F7A91C292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52F2DDA-FD7C-41E9-B950-535B1BE4126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91BBDA0-A78C-483C-968F-E03275D4FB6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7050C0D-54D3-4B3B-A506-BE9F0F067F0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0F5069E-C31A-48BC-AA65-A0D7BF1F23A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780C284-9858-4874-AED9-151FCBE9EFE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B4D96CA-9D14-4022-8DA0-2D2593EA0F6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CA1C453-DA61-4C59-AB75-6CB387E1DB0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DBFE9E4-8E9D-4BC8-B10E-CA5E1E655DB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8CB81DF-19D0-4384-9EE4-E34C4BDFE43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7F45F03-C26F-4110-BA80-FCBFFA19361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C15735E-0F29-4A10-B968-8571E9D1011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6B9AFDB-5BD9-410D-B7D9-894469A63B7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BEB970D-52FF-4878-A076-29505985D4D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A3BC3AD-6958-40EE-9E6C-FC93649EA4D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6312889-6F3B-4040-96FE-D7325D1108F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AA05FEF-23B7-4662-9D9E-2C42991E5F6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7F2AAA3-351F-4ED8-8919-6C418920CCC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CD0B512-2C96-4ADA-8CDC-0519CFE6242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97B3789-B8F5-4235-830C-0A38A1D004B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1AAF948-7F21-4533-8C7D-13EC5BC4275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C1E945E-7C1D-44E0-9381-300765E3392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9A7E47D-B0DF-4F55-80DD-450F7FEA0E5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584AC36-EBBA-4867-81BB-BC4E81F35AD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310CB93-B600-4315-94F7-791A8E7430D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9891DFD-24B3-447D-9F49-F74802CF84E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ACA8B9CC-166C-47C8-8D7C-112D3E4CB31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3143E1F-DF9F-405A-915C-874161FBCBB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0595CE4-6480-4E76-A82E-2C19FE22CBC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F1A6D83-E0FC-4351-B2AE-7394CBF7F02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31DB19C-BCFF-410A-8E95-9291EB33A07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7E5DA65-7F5D-40AB-897C-7C574D31C7E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F2996C0-F177-42FF-93BC-5DDA8C361E9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B0E877A-2936-40B9-892D-8EB472E02EE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885EEA4-A700-4D1F-B1A8-95030E33DAF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A092B8F-EA75-4CDF-9E37-49F942A18D8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1E8F32D-27C3-452F-A048-DE6C6E95D56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F40AEB3-30D6-4BB2-BD25-21A917E23C4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44F122D-6B0D-498A-A2D3-B1E079D3EE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CD92DB5C-6B99-40B1-8A34-5295D1E0FBB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C91C329-2A90-4632-9246-8489C4D97FF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2D44345-A8E9-420D-86DE-4E6E87CBD73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6ED43AF-D0CD-4128-BCDC-040790F83C5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76B78AB-A4FD-48A2-BDE5-CC13E9C775F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490F9FA-4DA6-40A8-B44F-252BADCDE4D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0E07B14-9B9D-4821-9C16-FE4B49B39EC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3758DC0-595F-440A-B9E8-985B8D7F8B7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CB69DDA-2985-4441-A953-2BF8825C688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57D953F-7FC0-4EF2-A1B5-E25182DBF56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0DA95BF-9D1A-4FE0-8D93-0FF41EEFA7C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99EB653-EB74-45D2-BECB-90161248ABA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1B7E6C9-E62B-40F4-8270-B4A16488945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8379CAB-9F11-44DA-87FB-7653A82E420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38B68D8-3197-4427-B8C3-908B92C6F4C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61F187C-BC68-4328-8232-C6499946B6E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CD94B20-11AF-40F9-AB88-7AC924830A1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65C21B6-3164-48D6-A378-F9FB4184C06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3379597-8ABB-48A0-A679-BB11EFC4497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8E53CBD-F901-4126-A66C-5B28F55D014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8497A3A-1348-4FE1-A277-2F6B30779E6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D7A9DD6-F199-4680-B550-2823E231FD3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3CD1B4F-43D7-49A0-8964-F9596BACF18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4488C0C-831A-4885-8BF3-FFEA00F6C19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4D1FE77-D7F9-4760-A812-E541062697F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2B4D6C4E-3681-48FC-9D07-9B7965DE461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CE16FCED-8A26-476A-9A07-6033A4E3F91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FE11F6F5-083E-4DFD-83CC-2602A0190B2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241A990-7E67-4225-B531-00FE87280E0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9576F04A-9E47-4D47-A185-E211A25BFA3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5EAE942-4052-4341-94B8-71F3C691AF0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4C0BF40-EFF9-4BBC-B349-1E13D7864B0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897539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2016B35-E305-4216-8FD1-43CB0B14683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151857E-BFDE-4C00-8B11-85C86395860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A5B0390-91DF-4480-A371-C21D5D94B72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1F0A3280-2980-4111-8D71-70D897EC4B1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A60F30D-AD4B-443D-90E6-9931442D5E9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4851F2F-252B-4531-8234-477AA715FEC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A84669E-88A7-4133-9D00-F4A50DA465F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F6EE701-0DF4-4F26-A503-92DF306085E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5F108D4-7D0A-4D2B-A8C5-5F970F0E839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AB4FB3A-654F-4C4D-A287-C146A05184E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3A031F0-E2AB-4549-91A7-C914B3960DF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CBA2298-FC02-4036-8508-D7790CE5BF2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AC000B8-FF54-43EE-9FFD-2C8E1A01E84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7583FE0-2948-4052-9D87-0C24635F7492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2FD59FD-93B1-4A0C-BD43-C6B32CE8F87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88B305D5-4C58-4F5C-AFCF-9C19C4E1825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C4FF537-444E-474E-8FF2-08D2A7BC94C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58517E5-F214-4643-9CCB-E5C40AF13D7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76468455-DDE8-4A50-B22C-1583C1581CD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D391B61-59DC-4E4D-82D4-5A5D781C14B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F1D4134-B388-4EBE-946F-B5CD5659D40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15788FF-FFC3-4D33-ACA9-D81140F6222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72228A5-4390-43C2-A86F-5166FF99B3E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E3BCE9BE-046F-4AA3-B83D-5F11CF2C6DA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29476DE-0789-4475-AAC1-8531FF6DE58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3DA0BCE-D7D6-409A-A818-F5212281079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B584C51-C2A0-4B50-8D3D-F0023340728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3AF6D5B-DA6A-481E-8746-371DE1C1EC4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7B8FE44-D72E-4DAB-B6CE-76430BC8919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F05C0F8-BAF1-48D3-BFDE-FCF68C5C627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5221E61-3189-454C-AF18-00C5BEA8375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62977</xdr:rowOff>
    </xdr:from>
    <xdr:to>
      <xdr:col>2</xdr:col>
      <xdr:colOff>705784</xdr:colOff>
      <xdr:row>4</xdr:row>
      <xdr:rowOff>300639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B1FF258-FEDC-4FA1-8EAE-0D31021B1F3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1440" y="253477"/>
          <a:ext cx="2107864" cy="793922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839742</xdr:colOff>
      <xdr:row>1</xdr:row>
      <xdr:rowOff>0</xdr:rowOff>
    </xdr:from>
    <xdr:to>
      <xdr:col>7</xdr:col>
      <xdr:colOff>966119</xdr:colOff>
      <xdr:row>5</xdr:row>
      <xdr:rowOff>11207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90132D2A-C7EC-4B20-82EB-EB7370D6E16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6242322" y="190500"/>
          <a:ext cx="1155077" cy="887507"/>
        </a:xfrm>
        <a:prstGeom prst="rect">
          <a:avLst/>
        </a:prstGeom>
        <a:ln/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152400</xdr:rowOff>
    </xdr:from>
    <xdr:to>
      <xdr:col>10</xdr:col>
      <xdr:colOff>246823</xdr:colOff>
      <xdr:row>18</xdr:row>
      <xdr:rowOff>86490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4827F7-089E-4438-AE7D-88D6C7F98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342900"/>
          <a:ext cx="7066723" cy="317259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20</xdr:row>
      <xdr:rowOff>66503</xdr:rowOff>
    </xdr:from>
    <xdr:to>
      <xdr:col>9</xdr:col>
      <xdr:colOff>581025</xdr:colOff>
      <xdr:row>37</xdr:row>
      <xdr:rowOff>153264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07CB0F-8ABE-4135-88DD-656F65F47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9150" y="3876503"/>
          <a:ext cx="6619875" cy="3325261"/>
        </a:xfrm>
        <a:prstGeom prst="rect">
          <a:avLst/>
        </a:prstGeom>
      </xdr:spPr>
    </xdr:pic>
    <xdr:clientData/>
  </xdr:twoCellAnchor>
  <xdr:twoCellAnchor editAs="oneCell">
    <xdr:from>
      <xdr:col>1</xdr:col>
      <xdr:colOff>100982</xdr:colOff>
      <xdr:row>39</xdr:row>
      <xdr:rowOff>57429</xdr:rowOff>
    </xdr:from>
    <xdr:to>
      <xdr:col>9</xdr:col>
      <xdr:colOff>552450</xdr:colOff>
      <xdr:row>55</xdr:row>
      <xdr:rowOff>48442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10A2905-4731-462E-ACF1-2BA085AF2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2982" y="7486929"/>
          <a:ext cx="6547468" cy="3039013"/>
        </a:xfrm>
        <a:prstGeom prst="rect">
          <a:avLst/>
        </a:prstGeom>
      </xdr:spPr>
    </xdr:pic>
    <xdr:clientData/>
  </xdr:twoCellAnchor>
  <xdr:twoCellAnchor editAs="oneCell">
    <xdr:from>
      <xdr:col>0</xdr:col>
      <xdr:colOff>638177</xdr:colOff>
      <xdr:row>60</xdr:row>
      <xdr:rowOff>9524</xdr:rowOff>
    </xdr:from>
    <xdr:to>
      <xdr:col>10</xdr:col>
      <xdr:colOff>84439</xdr:colOff>
      <xdr:row>80</xdr:row>
      <xdr:rowOff>76909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EAA2DD0-5FAC-400D-B78A-0BEE2F832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8177" y="11439524"/>
          <a:ext cx="7066262" cy="387738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25</xdr:col>
      <xdr:colOff>230121</xdr:colOff>
      <xdr:row>27</xdr:row>
      <xdr:rowOff>10218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0E20185-0367-4C7E-BD4B-159BE00FE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82000" y="190500"/>
          <a:ext cx="10898121" cy="4963218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24</xdr:col>
      <xdr:colOff>677752</xdr:colOff>
      <xdr:row>54</xdr:row>
      <xdr:rowOff>162639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77126BF-0CFE-40CD-A41F-33ABF020F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382000" y="5334000"/>
          <a:ext cx="10583752" cy="511563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55</xdr:row>
      <xdr:rowOff>0</xdr:rowOff>
    </xdr:from>
    <xdr:to>
      <xdr:col>25</xdr:col>
      <xdr:colOff>134858</xdr:colOff>
      <xdr:row>81</xdr:row>
      <xdr:rowOff>38797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FAA2897-C912-476D-9E07-F3A874AFB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82000" y="10477500"/>
          <a:ext cx="10802858" cy="4991797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742949</xdr:colOff>
      <xdr:row>1</xdr:row>
      <xdr:rowOff>28574</xdr:rowOff>
    </xdr:from>
    <xdr:to>
      <xdr:col>9</xdr:col>
      <xdr:colOff>714375</xdr:colOff>
      <xdr:row>45</xdr:row>
      <xdr:rowOff>61683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4C32DE-BCBB-483F-8FF0-D751280B8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949" y="219074"/>
          <a:ext cx="6829426" cy="841510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48</xdr:row>
      <xdr:rowOff>3211</xdr:rowOff>
    </xdr:from>
    <xdr:to>
      <xdr:col>9</xdr:col>
      <xdr:colOff>609600</xdr:colOff>
      <xdr:row>89</xdr:row>
      <xdr:rowOff>103812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F3442AD-1F5D-46B7-975C-BB193153E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9147211"/>
          <a:ext cx="6667500" cy="7911101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91</xdr:row>
      <xdr:rowOff>57150</xdr:rowOff>
    </xdr:from>
    <xdr:to>
      <xdr:col>9</xdr:col>
      <xdr:colOff>462216</xdr:colOff>
      <xdr:row>137</xdr:row>
      <xdr:rowOff>90903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E2F515F-4899-4ECE-89C5-DE2194BBE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1999" y="17392650"/>
          <a:ext cx="6558217" cy="879675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88CDAA-75F8-4F83-89D7-0D57BC1BAF36}" name="LIST" displayName="LIST" ref="A1:D151" totalsRowShown="0">
  <autoFilter ref="A1:D151" xr:uid="{0C88CDAA-75F8-4F83-89D7-0D57BC1BAF36}"/>
  <tableColumns count="4">
    <tableColumn id="1" xr3:uid="{47E94944-B9E7-43FA-9206-A5D0BF8295A9}" name="ID" dataDxfId="34"/>
    <tableColumn id="2" xr3:uid="{1BA23BCE-EAAC-4216-8C65-E7AABB82A1AC}" name="DESCRIPCIÓN" dataDxfId="33"/>
    <tableColumn id="3" xr3:uid="{14640AC6-5B61-4330-9B63-7A08BB6FE905}" name="UNIDAD" dataDxfId="32"/>
    <tableColumn id="4" xr3:uid="{BEC4136E-92DC-4033-8313-CB865834296A}" name="V/UNIT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EDB659-CA0C-483F-84C3-65C1014FE8B1}" name="REND" displayName="REND" ref="A1:I154" totalsRowShown="0" headerRowDxfId="30" headerRowBorderDxfId="29" tableBorderDxfId="28" headerRowCellStyle="Millares">
  <autoFilter ref="A1:I154" xr:uid="{6EEDB659-CA0C-483F-84C3-65C1014FE8B1}"/>
  <tableColumns count="9">
    <tableColumn id="9" xr3:uid="{F97E50BA-BBBE-45FF-AC6C-9A61B1421B45}" name="ID" dataDxfId="27">
      <calculatedColumnFormula>+LIST!A1</calculatedColumnFormula>
    </tableColumn>
    <tableColumn id="1" xr3:uid="{67EAA729-B48D-4A53-BDF8-1204F3206B05}" name="DESCRIPCIÓN" dataDxfId="26"/>
    <tableColumn id="2" xr3:uid="{E20CCBDD-B885-4E60-BC7A-4118A8507EEE}" name="UND" dataDxfId="25"/>
    <tableColumn id="3" xr3:uid="{FB5535A5-75AC-446F-9CD0-8EBEE868EACA}" name="TRABAJO" dataDxfId="24"/>
    <tableColumn id="4" xr3:uid="{488B85C6-8013-4E7D-A940-0AC08931625A}" name="RENDIMIENTO (1)" dataDxfId="23" dataCellStyle="Millares"/>
    <tableColumn id="5" xr3:uid="{F14153EF-5BDF-49F1-AB45-B4516F7608AA}" name="RENDIMIENTO (2)" dataDxfId="22" dataCellStyle="Moneda"/>
    <tableColumn id="6" xr3:uid="{6BF70F80-6D08-4F8B-BC7D-EEE517186617}" name="RENDIMIENTO (3)" dataDxfId="21"/>
    <tableColumn id="7" xr3:uid="{2D8E661E-7B3B-477E-8B07-D4E47B8CD000}" name="RENDIMIENTO (4)" dataDxfId="20">
      <calculatedColumnFormula>+AVERAGE(E2:G2)</calculatedColumnFormula>
    </tableColumn>
    <tableColumn id="8" xr3:uid="{876DFDAE-2032-4B42-B539-2F4B32E96B9E}" name="RENDIMIENTO (5)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0A1824-475B-42F9-A8E7-CDEB2A53C6F5}" name="EQUI" displayName="EQUI" ref="A1:E38" totalsRowShown="0" headerRowDxfId="18" headerRowBorderDxfId="17" tableBorderDxfId="16" totalsRowBorderDxfId="15">
  <autoFilter ref="A1:E38" xr:uid="{6A0A1824-475B-42F9-A8E7-CDEB2A53C6F5}"/>
  <tableColumns count="5">
    <tableColumn id="1" xr3:uid="{1C3FBACA-74F1-44AE-89C3-A8C75C697653}" name="DESCRIPCIÓN" dataDxfId="14"/>
    <tableColumn id="2" xr3:uid="{E7994A15-092B-48B9-A361-A8CA731A1E2C}" name="UNIDAD" dataDxfId="13"/>
    <tableColumn id="3" xr3:uid="{B6CE4A6B-3E7C-4F52-9832-95EA6FB67C20}" name="VALOR" dataDxfId="12"/>
    <tableColumn id="4" xr3:uid="{0FE6BFB6-929B-45A6-97AB-504BD41B7F80}" name="Columna1" dataDxfId="11" dataCellStyle="Moneda"/>
    <tableColumn id="5" xr3:uid="{32B71FD6-7A5F-49CD-8103-494DE94A5CD9}" name="RENDIMIENTO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5F3BFC-5D77-4F94-9D71-60BAA3E94701}" name="INS" displayName="INS" ref="A1:H137" totalsRowShown="0" headerRowBorderDxfId="9" tableBorderDxfId="8" totalsRowBorderDxfId="7">
  <autoFilter ref="A1:H137" xr:uid="{FC5F3BFC-5D77-4F94-9D71-60BAA3E94701}"/>
  <sortState xmlns:xlrd2="http://schemas.microsoft.com/office/spreadsheetml/2017/richdata2" ref="A2:H137">
    <sortCondition ref="A1:A137"/>
  </sortState>
  <tableColumns count="8">
    <tableColumn id="1" xr3:uid="{20CD2E01-E453-4D47-AF61-6892AB6E8D5B}" name="DESCRIPCIÓN" dataDxfId="6"/>
    <tableColumn id="2" xr3:uid="{6D931800-0FB0-495F-91FE-EB52D5B35C0B}" name="UNIDAD" dataDxfId="5"/>
    <tableColumn id="3" xr3:uid="{89D71853-AB42-4934-B980-64FD8C2CEFDC}" name="COTIZACION 1 (HOMECENTER)" dataDxfId="4"/>
    <tableColumn id="4" xr3:uid="{FC7B88E5-9113-4BDD-960A-20243E901D10}" name="COTIZACION 2" dataDxfId="3" dataCellStyle="Moneda"/>
    <tableColumn id="5" xr3:uid="{1AFEF93C-9812-4B01-BF6D-A2ACE619CE9B}" name="COTIZACION 3" dataDxfId="2"/>
    <tableColumn id="6" xr3:uid="{1D2852CA-3E3D-47B1-AEEF-391B0B1BE7A9}" name="PROMEDIO" dataDxfId="1">
      <calculatedColumnFormula>+ROUND(AVERAGE(C2:E2),0)</calculatedColumnFormula>
    </tableColumn>
    <tableColumn id="7" xr3:uid="{57101022-F228-4585-8602-16B316035A85}" name="DISTANCIA KM" dataDxfId="0"/>
    <tableColumn id="8" xr3:uid="{8FF115A8-A957-4773-AE0D-48ED7CDBDA4B}" name="RENDIMIENTO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9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80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81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82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83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84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85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6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7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8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9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90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91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92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93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94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95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6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7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8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9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100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101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102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103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6958F-1AE1-446D-9ECA-A4183615DA0C}">
  <sheetPr>
    <tabColor rgb="FF00B050"/>
    <pageSetUpPr fitToPage="1"/>
  </sheetPr>
  <dimension ref="A1:U48"/>
  <sheetViews>
    <sheetView tabSelected="1" view="pageBreakPreview" topLeftCell="A12" zoomScale="73" zoomScaleNormal="100" workbookViewId="0">
      <selection activeCell="O32" sqref="O32"/>
    </sheetView>
  </sheetViews>
  <sheetFormatPr baseColWidth="10" defaultColWidth="10.6640625" defaultRowHeight="14.4"/>
  <cols>
    <col min="1" max="1" width="8.44140625" style="158" customWidth="1"/>
    <col min="2" max="2" width="35.5546875" style="159" customWidth="1"/>
    <col min="3" max="3" width="11" style="159" customWidth="1"/>
    <col min="4" max="4" width="11.88671875" style="159" customWidth="1"/>
    <col min="5" max="5" width="17.44140625" style="159" customWidth="1"/>
    <col min="6" max="6" width="17.33203125" style="159" customWidth="1"/>
    <col min="7" max="7" width="18.33203125" style="159" customWidth="1"/>
    <col min="8" max="8" width="11.6640625" style="159" customWidth="1"/>
    <col min="9" max="9" width="15.5546875" style="158" customWidth="1"/>
    <col min="10" max="10" width="22.6640625" style="158" customWidth="1"/>
    <col min="11" max="11" width="2" style="157" customWidth="1"/>
    <col min="12" max="12" width="22.6640625" style="157" hidden="1" customWidth="1"/>
    <col min="13" max="13" width="18.33203125" style="157" hidden="1" customWidth="1"/>
    <col min="14" max="14" width="17.88671875" style="155" hidden="1" customWidth="1"/>
    <col min="15" max="15" width="22.6640625" style="156" customWidth="1"/>
    <col min="16" max="16" width="16.109375" style="155" bestFit="1" customWidth="1"/>
    <col min="17" max="17" width="11.44140625" hidden="1" customWidth="1"/>
    <col min="18" max="18" width="18" customWidth="1"/>
    <col min="21" max="21" width="18.88671875" bestFit="1" customWidth="1"/>
  </cols>
  <sheetData>
    <row r="1" spans="1:21" ht="27.75" customHeight="1">
      <c r="A1" s="487"/>
      <c r="B1" s="488"/>
      <c r="C1" s="488"/>
      <c r="D1" s="488"/>
      <c r="E1" s="488"/>
      <c r="F1" s="488"/>
      <c r="G1" s="488"/>
      <c r="H1" s="488"/>
      <c r="I1" s="488"/>
      <c r="J1" s="489"/>
      <c r="K1" s="257"/>
    </row>
    <row r="2" spans="1:21" s="155" customFormat="1" ht="43.5" customHeight="1">
      <c r="A2" s="256"/>
      <c r="B2" s="490"/>
      <c r="C2" s="490"/>
      <c r="D2" s="490"/>
      <c r="E2" s="490"/>
      <c r="F2" s="490"/>
      <c r="G2" s="490"/>
      <c r="H2" s="490"/>
      <c r="I2" s="490"/>
      <c r="J2" s="255"/>
      <c r="K2" s="254"/>
      <c r="L2" s="157"/>
      <c r="M2" s="157"/>
      <c r="O2" s="156"/>
      <c r="Q2"/>
    </row>
    <row r="3" spans="1:21" s="155" customFormat="1" ht="15" customHeight="1" thickBot="1">
      <c r="A3" s="253"/>
      <c r="B3" s="252"/>
      <c r="C3" s="252"/>
      <c r="D3" s="252"/>
      <c r="E3" s="252"/>
      <c r="F3" s="252"/>
      <c r="G3" s="252"/>
      <c r="H3" s="252"/>
      <c r="I3" s="252"/>
      <c r="J3" s="251"/>
      <c r="K3" s="157"/>
      <c r="L3" s="157"/>
      <c r="M3" s="157"/>
      <c r="O3" s="156"/>
      <c r="Q3"/>
    </row>
    <row r="4" spans="1:21" s="155" customFormat="1" ht="24" customHeight="1">
      <c r="A4" s="491"/>
      <c r="B4" s="492"/>
      <c r="C4" s="492"/>
      <c r="D4" s="492"/>
      <c r="E4" s="492"/>
      <c r="F4" s="492"/>
      <c r="G4" s="492"/>
      <c r="H4" s="492"/>
      <c r="I4" s="492"/>
      <c r="J4" s="493"/>
      <c r="K4" s="157"/>
      <c r="L4" s="157"/>
      <c r="M4" s="157"/>
      <c r="O4" s="156"/>
      <c r="Q4"/>
    </row>
    <row r="5" spans="1:21" s="155" customFormat="1" ht="9" customHeight="1">
      <c r="A5" s="494"/>
      <c r="B5" s="495"/>
      <c r="C5" s="495"/>
      <c r="D5" s="495"/>
      <c r="E5" s="495"/>
      <c r="F5" s="495"/>
      <c r="G5" s="495"/>
      <c r="H5" s="495"/>
      <c r="I5" s="495"/>
      <c r="J5" s="496"/>
      <c r="K5" s="157"/>
      <c r="L5" s="157"/>
      <c r="M5" s="157"/>
      <c r="O5" s="156"/>
      <c r="Q5"/>
    </row>
    <row r="6" spans="1:21" s="155" customFormat="1" ht="5.25" customHeight="1" thickBot="1">
      <c r="A6" s="497"/>
      <c r="B6" s="498"/>
      <c r="C6" s="498"/>
      <c r="D6" s="498"/>
      <c r="E6" s="498"/>
      <c r="F6" s="498"/>
      <c r="G6" s="498"/>
      <c r="H6" s="498"/>
      <c r="I6" s="498"/>
      <c r="J6" s="499"/>
      <c r="K6" s="157"/>
      <c r="L6" s="157"/>
      <c r="M6" s="157"/>
      <c r="O6" s="156"/>
      <c r="Q6"/>
    </row>
    <row r="7" spans="1:21" s="155" customFormat="1" ht="15" thickBot="1">
      <c r="A7" s="500" t="s">
        <v>328</v>
      </c>
      <c r="B7" s="501"/>
      <c r="C7" s="501"/>
      <c r="D7" s="501"/>
      <c r="E7" s="501"/>
      <c r="F7" s="501"/>
      <c r="G7" s="501"/>
      <c r="H7" s="501"/>
      <c r="I7" s="501"/>
      <c r="J7" s="502"/>
      <c r="K7" s="184"/>
      <c r="L7" s="157"/>
      <c r="M7" s="157"/>
      <c r="O7" s="156"/>
      <c r="Q7"/>
    </row>
    <row r="8" spans="1:21" s="155" customFormat="1" ht="15" thickBot="1">
      <c r="A8" s="503" t="s">
        <v>327</v>
      </c>
      <c r="B8" s="478"/>
      <c r="C8" s="478"/>
      <c r="D8" s="478"/>
      <c r="E8" s="478"/>
      <c r="F8" s="478"/>
      <c r="G8" s="478"/>
      <c r="H8" s="478"/>
      <c r="I8" s="478"/>
      <c r="J8" s="504"/>
      <c r="K8" s="250"/>
      <c r="L8" s="249">
        <f>+L10*0.2</f>
        <v>0</v>
      </c>
      <c r="M8" s="248"/>
      <c r="N8" s="247"/>
      <c r="O8" s="246"/>
      <c r="Q8"/>
    </row>
    <row r="9" spans="1:21" s="155" customFormat="1" ht="15" thickBot="1">
      <c r="A9" s="188"/>
      <c r="B9" s="187"/>
      <c r="C9" s="187"/>
      <c r="D9" s="187"/>
      <c r="E9" s="187"/>
      <c r="F9" s="187"/>
      <c r="G9" s="187"/>
      <c r="H9" s="187"/>
      <c r="I9" s="217"/>
      <c r="J9" s="245"/>
      <c r="K9" s="184"/>
      <c r="L9" s="157"/>
      <c r="M9" s="157"/>
      <c r="O9" s="209"/>
      <c r="Q9"/>
    </row>
    <row r="10" spans="1:21" s="155" customFormat="1" ht="51.75" customHeight="1" thickBot="1">
      <c r="A10" s="471" t="s">
        <v>326</v>
      </c>
      <c r="B10" s="471" t="s">
        <v>325</v>
      </c>
      <c r="C10" s="480"/>
      <c r="D10" s="244"/>
      <c r="E10" s="485"/>
      <c r="F10" s="471"/>
      <c r="G10" s="469" t="s">
        <v>324</v>
      </c>
      <c r="H10" s="471" t="s">
        <v>26</v>
      </c>
      <c r="I10" s="473" t="s">
        <v>323</v>
      </c>
      <c r="J10" s="474"/>
      <c r="K10" s="184"/>
      <c r="L10" s="157">
        <f>+K10/1.28</f>
        <v>0</v>
      </c>
      <c r="M10" s="167"/>
      <c r="O10" s="195"/>
      <c r="Q10"/>
    </row>
    <row r="11" spans="1:21" s="155" customFormat="1" ht="15" thickBot="1">
      <c r="A11" s="472"/>
      <c r="B11" s="472"/>
      <c r="C11" s="481"/>
      <c r="D11" s="243"/>
      <c r="E11" s="486"/>
      <c r="F11" s="472"/>
      <c r="G11" s="470"/>
      <c r="H11" s="472"/>
      <c r="I11" s="242" t="s">
        <v>322</v>
      </c>
      <c r="J11" s="241">
        <f>+PTO!H18</f>
        <v>68140936.5</v>
      </c>
      <c r="K11" s="184"/>
      <c r="L11" s="157"/>
      <c r="M11" s="167"/>
      <c r="O11" s="240"/>
      <c r="Q11"/>
    </row>
    <row r="12" spans="1:21" ht="15" thickBot="1">
      <c r="A12" s="475" t="s">
        <v>321</v>
      </c>
      <c r="B12" s="476"/>
      <c r="C12" s="476"/>
      <c r="D12" s="476"/>
      <c r="E12" s="476"/>
      <c r="F12" s="476"/>
      <c r="G12" s="476"/>
      <c r="H12" s="476"/>
      <c r="I12" s="476"/>
      <c r="J12" s="477"/>
      <c r="K12" s="220">
        <v>5826620802</v>
      </c>
      <c r="L12" s="239">
        <v>4482016002</v>
      </c>
      <c r="M12" s="239">
        <f>+L12*0.3</f>
        <v>1344604800.5999999</v>
      </c>
      <c r="N12" s="238">
        <f>+L12+M12</f>
        <v>5826620802.6000004</v>
      </c>
      <c r="O12" s="237"/>
    </row>
    <row r="13" spans="1:21" ht="42.75" customHeight="1" thickBot="1">
      <c r="A13" s="182">
        <v>1</v>
      </c>
      <c r="B13" s="236" t="s">
        <v>320</v>
      </c>
      <c r="C13" s="234" t="s">
        <v>319</v>
      </c>
      <c r="D13" s="234" t="s">
        <v>20</v>
      </c>
      <c r="E13" s="235" t="s">
        <v>318</v>
      </c>
      <c r="F13" s="234" t="s">
        <v>317</v>
      </c>
      <c r="G13" s="233" t="s">
        <v>316</v>
      </c>
      <c r="H13" s="232"/>
      <c r="I13" s="180">
        <f>SUM(I14:I16)</f>
        <v>7.8921427796930857E-2</v>
      </c>
      <c r="J13" s="191">
        <f>SUM(J14:J16)</f>
        <v>5377780</v>
      </c>
      <c r="K13" s="178"/>
      <c r="L13" s="231">
        <f>SUM(L14:L16)</f>
        <v>1.3010723851494186E-2</v>
      </c>
      <c r="O13" s="169"/>
    </row>
    <row r="14" spans="1:21">
      <c r="A14" s="188">
        <v>1.1000000000000001</v>
      </c>
      <c r="B14" s="216" t="s">
        <v>315</v>
      </c>
      <c r="C14" s="230">
        <v>1</v>
      </c>
      <c r="D14" s="230">
        <v>1</v>
      </c>
      <c r="E14" s="229">
        <v>1.5817000000000001</v>
      </c>
      <c r="F14" s="228">
        <v>4500000</v>
      </c>
      <c r="G14" s="222">
        <v>0</v>
      </c>
      <c r="H14" s="213" t="s">
        <v>106</v>
      </c>
      <c r="I14" s="212">
        <f>+J14/$J$11</f>
        <v>0</v>
      </c>
      <c r="J14" s="211">
        <f>F14*E14*G14*C14*D14</f>
        <v>0</v>
      </c>
      <c r="K14" s="220">
        <v>15152527.500000002</v>
      </c>
      <c r="L14" s="227">
        <f>+K14/$L$12</f>
        <v>3.3807392684984889E-3</v>
      </c>
      <c r="O14" s="169"/>
      <c r="R14" s="226"/>
      <c r="S14" s="225"/>
      <c r="U14" s="218"/>
    </row>
    <row r="15" spans="1:21">
      <c r="A15" s="188">
        <v>1.2</v>
      </c>
      <c r="B15" s="216" t="s">
        <v>314</v>
      </c>
      <c r="C15" s="230">
        <v>1</v>
      </c>
      <c r="D15" s="230">
        <v>1</v>
      </c>
      <c r="E15" s="229">
        <f>+E14</f>
        <v>1.5817000000000001</v>
      </c>
      <c r="F15" s="228">
        <v>3400000</v>
      </c>
      <c r="G15" s="222">
        <v>1</v>
      </c>
      <c r="H15" s="213" t="s">
        <v>106</v>
      </c>
      <c r="I15" s="212">
        <f>+J15/$J$11</f>
        <v>7.8921427796930857E-2</v>
      </c>
      <c r="J15" s="211">
        <f>F15*E15*G15*C15*D15</f>
        <v>5377780</v>
      </c>
      <c r="K15" s="220">
        <v>34896730.000000007</v>
      </c>
      <c r="L15" s="227">
        <f>+K15/$L$12</f>
        <v>7.7859449819965209E-3</v>
      </c>
      <c r="R15" s="226"/>
      <c r="S15" s="225"/>
      <c r="U15" s="218"/>
    </row>
    <row r="16" spans="1:21" ht="15" thickBot="1">
      <c r="A16" s="188">
        <v>1.3</v>
      </c>
      <c r="B16" s="216" t="s">
        <v>313</v>
      </c>
      <c r="C16" s="230">
        <v>1</v>
      </c>
      <c r="D16" s="230">
        <v>0</v>
      </c>
      <c r="E16" s="229">
        <f>+E15</f>
        <v>1.5817000000000001</v>
      </c>
      <c r="F16" s="228">
        <v>3750000</v>
      </c>
      <c r="G16" s="222">
        <v>0.3</v>
      </c>
      <c r="H16" s="213" t="s">
        <v>106</v>
      </c>
      <c r="I16" s="212">
        <f>+J16/$J$11</f>
        <v>0</v>
      </c>
      <c r="J16" s="211">
        <f>F16*E16*G16*C16*D16</f>
        <v>0</v>
      </c>
      <c r="K16" s="220">
        <v>8265015.0000000009</v>
      </c>
      <c r="L16" s="227">
        <f>+K16/$L$12</f>
        <v>1.8440396009991758E-3</v>
      </c>
      <c r="O16" s="169"/>
      <c r="R16" s="226"/>
      <c r="S16" s="225"/>
      <c r="U16" s="218"/>
    </row>
    <row r="17" spans="1:21" ht="15" thickBot="1">
      <c r="A17" s="182">
        <v>2</v>
      </c>
      <c r="B17" s="193" t="s">
        <v>302</v>
      </c>
      <c r="C17" s="193"/>
      <c r="D17" s="193"/>
      <c r="E17" s="193"/>
      <c r="F17" s="193"/>
      <c r="G17" s="221">
        <f>SUM(G18:G27)</f>
        <v>0.1673</v>
      </c>
      <c r="H17" s="181"/>
      <c r="I17" s="180">
        <f>SUM(I18:I27)</f>
        <v>0.1673</v>
      </c>
      <c r="J17" s="191">
        <f>+SUM(J18:J27)</f>
        <v>11399978.676450001</v>
      </c>
      <c r="K17" s="220"/>
      <c r="L17" s="210">
        <f>+K17/$L$12</f>
        <v>0</v>
      </c>
      <c r="O17" s="219"/>
      <c r="U17" s="218"/>
    </row>
    <row r="18" spans="1:21">
      <c r="A18" s="188">
        <v>2.1</v>
      </c>
      <c r="B18" s="216" t="s">
        <v>312</v>
      </c>
      <c r="C18" s="216"/>
      <c r="D18" s="216"/>
      <c r="E18" s="216"/>
      <c r="F18" s="216"/>
      <c r="G18" s="214">
        <v>1.5E-3</v>
      </c>
      <c r="H18" s="213" t="s">
        <v>106</v>
      </c>
      <c r="I18" s="212">
        <f t="shared" ref="I18:I27" si="0">J18/$J$11</f>
        <v>1.5E-3</v>
      </c>
      <c r="J18" s="211">
        <f t="shared" ref="J18:J27" si="1">G18*$J$11</f>
        <v>102211.40475</v>
      </c>
      <c r="K18" s="184"/>
      <c r="L18" s="210">
        <f>+I18*$L$12</f>
        <v>6723024.0030000005</v>
      </c>
      <c r="O18" s="209"/>
      <c r="R18" s="208"/>
    </row>
    <row r="19" spans="1:21">
      <c r="A19" s="188">
        <v>2.2000000000000002</v>
      </c>
      <c r="B19" s="216" t="s">
        <v>311</v>
      </c>
      <c r="C19" s="216"/>
      <c r="D19" s="216"/>
      <c r="E19" s="216"/>
      <c r="F19" s="216"/>
      <c r="G19" s="214">
        <v>1.5E-3</v>
      </c>
      <c r="H19" s="213" t="s">
        <v>106</v>
      </c>
      <c r="I19" s="212">
        <f t="shared" si="0"/>
        <v>1.5E-3</v>
      </c>
      <c r="J19" s="211">
        <f t="shared" si="1"/>
        <v>102211.40475</v>
      </c>
      <c r="K19" s="184"/>
      <c r="L19" s="210"/>
      <c r="O19" s="209"/>
    </row>
    <row r="20" spans="1:21">
      <c r="A20" s="188">
        <v>2.2999999999999998</v>
      </c>
      <c r="B20" s="216" t="s">
        <v>310</v>
      </c>
      <c r="C20" s="216"/>
      <c r="D20" s="216"/>
      <c r="E20" s="216"/>
      <c r="F20" s="216"/>
      <c r="G20" s="214">
        <v>3.3E-3</v>
      </c>
      <c r="H20" s="213" t="s">
        <v>106</v>
      </c>
      <c r="I20" s="212">
        <f t="shared" si="0"/>
        <v>3.3E-3</v>
      </c>
      <c r="J20" s="211">
        <f t="shared" si="1"/>
        <v>224865.09044999999</v>
      </c>
      <c r="K20" s="184"/>
      <c r="L20" s="210"/>
      <c r="O20" s="209"/>
    </row>
    <row r="21" spans="1:21">
      <c r="A21" s="188">
        <v>2.4</v>
      </c>
      <c r="B21" s="216" t="s">
        <v>309</v>
      </c>
      <c r="C21" s="216"/>
      <c r="D21" s="216"/>
      <c r="E21" s="216"/>
      <c r="F21" s="224"/>
      <c r="G21" s="214">
        <v>1E-3</v>
      </c>
      <c r="H21" s="213" t="s">
        <v>106</v>
      </c>
      <c r="I21" s="212">
        <f t="shared" si="0"/>
        <v>1E-3</v>
      </c>
      <c r="J21" s="211">
        <f t="shared" si="1"/>
        <v>68140.936499999996</v>
      </c>
      <c r="K21" s="184"/>
      <c r="L21" s="210"/>
      <c r="O21" s="209"/>
    </row>
    <row r="22" spans="1:21">
      <c r="A22" s="188">
        <v>2.5</v>
      </c>
      <c r="B22" s="216" t="s">
        <v>308</v>
      </c>
      <c r="C22" s="216"/>
      <c r="D22" s="216"/>
      <c r="E22" s="216"/>
      <c r="F22" s="216"/>
      <c r="G22" s="214">
        <v>0.04</v>
      </c>
      <c r="H22" s="213" t="s">
        <v>106</v>
      </c>
      <c r="I22" s="212">
        <f t="shared" si="0"/>
        <v>0.04</v>
      </c>
      <c r="J22" s="211">
        <f t="shared" si="1"/>
        <v>2725637.46</v>
      </c>
      <c r="K22" s="184"/>
      <c r="L22" s="210"/>
      <c r="O22" s="209"/>
    </row>
    <row r="23" spans="1:21">
      <c r="A23" s="188">
        <v>2.6</v>
      </c>
      <c r="B23" s="216" t="s">
        <v>307</v>
      </c>
      <c r="C23" s="216"/>
      <c r="D23" s="216"/>
      <c r="E23" s="216"/>
      <c r="F23" s="216"/>
      <c r="G23" s="214">
        <v>0.02</v>
      </c>
      <c r="H23" s="213" t="s">
        <v>106</v>
      </c>
      <c r="I23" s="212">
        <f t="shared" si="0"/>
        <v>0.02</v>
      </c>
      <c r="J23" s="211">
        <f t="shared" si="1"/>
        <v>1362818.73</v>
      </c>
      <c r="K23" s="184"/>
      <c r="L23" s="210">
        <f>+I23*$L$12</f>
        <v>89640320.040000007</v>
      </c>
      <c r="O23" s="223"/>
    </row>
    <row r="24" spans="1:21">
      <c r="A24" s="188">
        <v>2.7</v>
      </c>
      <c r="B24" s="216" t="s">
        <v>306</v>
      </c>
      <c r="C24" s="216"/>
      <c r="D24" s="216"/>
      <c r="E24" s="216"/>
      <c r="F24" s="216"/>
      <c r="G24" s="214">
        <v>0.02</v>
      </c>
      <c r="H24" s="213" t="s">
        <v>106</v>
      </c>
      <c r="I24" s="212">
        <f t="shared" si="0"/>
        <v>0.02</v>
      </c>
      <c r="J24" s="211">
        <f t="shared" si="1"/>
        <v>1362818.73</v>
      </c>
      <c r="K24" s="184"/>
      <c r="L24" s="210"/>
      <c r="O24" s="209"/>
    </row>
    <row r="25" spans="1:21">
      <c r="A25" s="188">
        <v>2.8</v>
      </c>
      <c r="B25" s="216" t="s">
        <v>305</v>
      </c>
      <c r="C25" s="216"/>
      <c r="D25" s="216"/>
      <c r="E25" s="216"/>
      <c r="F25" s="216"/>
      <c r="G25" s="214">
        <v>0.02</v>
      </c>
      <c r="H25" s="213" t="s">
        <v>106</v>
      </c>
      <c r="I25" s="212">
        <f t="shared" si="0"/>
        <v>0.02</v>
      </c>
      <c r="J25" s="211">
        <f t="shared" si="1"/>
        <v>1362818.73</v>
      </c>
      <c r="K25" s="184"/>
      <c r="L25" s="210"/>
      <c r="O25" s="209"/>
    </row>
    <row r="26" spans="1:21">
      <c r="A26" s="188">
        <v>2.9</v>
      </c>
      <c r="B26" s="216" t="s">
        <v>304</v>
      </c>
      <c r="C26" s="216"/>
      <c r="D26" s="216"/>
      <c r="E26" s="216"/>
      <c r="F26" s="216"/>
      <c r="G26" s="222">
        <v>0.05</v>
      </c>
      <c r="H26" s="213" t="s">
        <v>106</v>
      </c>
      <c r="I26" s="212">
        <f t="shared" si="0"/>
        <v>0.05</v>
      </c>
      <c r="J26" s="211">
        <f t="shared" si="1"/>
        <v>3407046.8250000002</v>
      </c>
      <c r="K26" s="184"/>
      <c r="L26" s="210"/>
      <c r="O26" s="209"/>
    </row>
    <row r="27" spans="1:21" ht="15" thickBot="1">
      <c r="A27" s="188">
        <v>2.9</v>
      </c>
      <c r="B27" s="216" t="s">
        <v>303</v>
      </c>
      <c r="C27" s="216"/>
      <c r="D27" s="216"/>
      <c r="E27" s="216"/>
      <c r="F27" s="216"/>
      <c r="G27" s="222">
        <v>0.01</v>
      </c>
      <c r="H27" s="213" t="s">
        <v>106</v>
      </c>
      <c r="I27" s="212">
        <f t="shared" si="0"/>
        <v>0.01</v>
      </c>
      <c r="J27" s="211">
        <f t="shared" si="1"/>
        <v>681409.36499999999</v>
      </c>
      <c r="K27" s="184"/>
      <c r="L27" s="210"/>
      <c r="O27" s="209"/>
    </row>
    <row r="28" spans="1:21" ht="15" thickBot="1">
      <c r="A28" s="182">
        <v>3</v>
      </c>
      <c r="B28" s="193" t="s">
        <v>302</v>
      </c>
      <c r="C28" s="193"/>
      <c r="D28" s="193"/>
      <c r="E28" s="193"/>
      <c r="F28" s="193"/>
      <c r="G28" s="221"/>
      <c r="H28" s="181"/>
      <c r="I28" s="180">
        <f>SUM(I29:I31)</f>
        <v>1.3778572349823822E-2</v>
      </c>
      <c r="J28" s="191">
        <f>+SUM(J29:J31)</f>
        <v>938884.82355000079</v>
      </c>
      <c r="K28" s="220"/>
      <c r="L28" s="210">
        <f>+K28/$L$12</f>
        <v>0</v>
      </c>
      <c r="O28" s="219"/>
      <c r="U28" s="218"/>
    </row>
    <row r="29" spans="1:21">
      <c r="A29" s="188">
        <v>3.1</v>
      </c>
      <c r="B29" s="216" t="s">
        <v>301</v>
      </c>
      <c r="C29" s="217">
        <v>1</v>
      </c>
      <c r="D29" s="216"/>
      <c r="E29" s="216"/>
      <c r="F29" s="215">
        <v>600000</v>
      </c>
      <c r="G29" s="214"/>
      <c r="H29" s="213"/>
      <c r="I29" s="212">
        <f>J29/$J$11</f>
        <v>8.8052796280544219E-3</v>
      </c>
      <c r="J29" s="211">
        <f>+F29*C29</f>
        <v>600000</v>
      </c>
      <c r="K29" s="184"/>
      <c r="L29" s="210">
        <f>+I29*$L$12</f>
        <v>39465404.195024528</v>
      </c>
      <c r="O29" s="209"/>
      <c r="R29" s="208"/>
    </row>
    <row r="30" spans="1:21">
      <c r="A30" s="188">
        <v>3.2</v>
      </c>
      <c r="B30" s="216" t="s">
        <v>300</v>
      </c>
      <c r="C30" s="217"/>
      <c r="D30" s="216"/>
      <c r="E30" s="216"/>
      <c r="F30" s="215">
        <v>800000</v>
      </c>
      <c r="G30" s="214"/>
      <c r="H30" s="213"/>
      <c r="I30" s="212">
        <f>J30/$J$11</f>
        <v>0</v>
      </c>
      <c r="J30" s="211">
        <f>+F30*C30</f>
        <v>0</v>
      </c>
      <c r="K30" s="184"/>
      <c r="L30" s="210"/>
      <c r="O30" s="209"/>
      <c r="R30" s="208"/>
    </row>
    <row r="31" spans="1:21" ht="15" thickBot="1">
      <c r="A31" s="188">
        <v>3.3</v>
      </c>
      <c r="B31" s="216" t="s">
        <v>299</v>
      </c>
      <c r="C31" s="217">
        <v>1</v>
      </c>
      <c r="D31" s="216"/>
      <c r="E31" s="216"/>
      <c r="F31" s="215">
        <v>338884.82355000079</v>
      </c>
      <c r="G31" s="214"/>
      <c r="H31" s="213"/>
      <c r="I31" s="212">
        <f>J31/$J$11</f>
        <v>4.9732927217693993E-3</v>
      </c>
      <c r="J31" s="211">
        <f>+F31*C31</f>
        <v>338884.82355000079</v>
      </c>
      <c r="K31" s="184"/>
      <c r="L31" s="210"/>
      <c r="O31" s="209"/>
      <c r="R31" s="208"/>
    </row>
    <row r="32" spans="1:21" ht="15" thickBot="1">
      <c r="A32" s="182"/>
      <c r="B32" s="193" t="s">
        <v>298</v>
      </c>
      <c r="C32" s="193"/>
      <c r="D32" s="193"/>
      <c r="E32" s="193"/>
      <c r="F32" s="193"/>
      <c r="G32" s="192"/>
      <c r="H32" s="181"/>
      <c r="I32" s="180">
        <f>I17+I13+I28</f>
        <v>0.26000000014675467</v>
      </c>
      <c r="J32" s="179">
        <f>J13+J17+J28</f>
        <v>17716643.5</v>
      </c>
      <c r="K32" s="207"/>
      <c r="L32" s="177">
        <f>+L12*22/100</f>
        <v>986043520.44000006</v>
      </c>
      <c r="M32" s="206">
        <f>+J32-L32</f>
        <v>-968326876.94000006</v>
      </c>
      <c r="O32" s="199"/>
      <c r="P32" s="205"/>
      <c r="R32" s="194"/>
    </row>
    <row r="33" spans="1:18" ht="15" thickBot="1">
      <c r="A33" s="204"/>
      <c r="B33" s="203"/>
      <c r="C33" s="203"/>
      <c r="D33" s="203"/>
      <c r="E33" s="203"/>
      <c r="F33" s="203"/>
      <c r="G33" s="203"/>
      <c r="H33" s="202"/>
      <c r="I33" s="201"/>
      <c r="J33" s="200"/>
      <c r="K33" s="196"/>
      <c r="O33" s="199"/>
    </row>
    <row r="34" spans="1:18" ht="15" thickBot="1">
      <c r="A34" s="182"/>
      <c r="B34" s="193" t="s">
        <v>297</v>
      </c>
      <c r="C34" s="193"/>
      <c r="D34" s="193"/>
      <c r="E34" s="193"/>
      <c r="F34" s="193"/>
      <c r="G34" s="192"/>
      <c r="H34" s="181"/>
      <c r="I34" s="180">
        <v>0.02</v>
      </c>
      <c r="J34" s="191">
        <f>+I34*J11</f>
        <v>1362818.73</v>
      </c>
      <c r="K34" s="196"/>
      <c r="L34" s="177">
        <f>+L12*3/100</f>
        <v>134460480.06</v>
      </c>
      <c r="O34" s="190"/>
    </row>
    <row r="35" spans="1:18" ht="15" thickBot="1">
      <c r="A35" s="188"/>
      <c r="B35" s="187"/>
      <c r="C35" s="187"/>
      <c r="D35" s="187"/>
      <c r="E35" s="187"/>
      <c r="F35" s="187"/>
      <c r="G35" s="187"/>
      <c r="H35" s="187"/>
      <c r="I35" s="198"/>
      <c r="J35" s="197"/>
      <c r="K35" s="196"/>
      <c r="L35" s="177"/>
      <c r="O35" s="195"/>
      <c r="R35" s="194"/>
    </row>
    <row r="36" spans="1:18" ht="15" thickBot="1">
      <c r="A36" s="182"/>
      <c r="B36" s="193" t="s">
        <v>296</v>
      </c>
      <c r="C36" s="193"/>
      <c r="D36" s="193"/>
      <c r="E36" s="193"/>
      <c r="F36" s="193"/>
      <c r="G36" s="192"/>
      <c r="H36" s="181"/>
      <c r="I36" s="180">
        <v>0.04</v>
      </c>
      <c r="J36" s="191">
        <f>I36*J11</f>
        <v>2725637.46</v>
      </c>
      <c r="K36" s="184"/>
      <c r="L36" s="177">
        <f>+L12*5/100</f>
        <v>224100800.09999999</v>
      </c>
      <c r="O36" s="190"/>
      <c r="R36" s="189"/>
    </row>
    <row r="37" spans="1:18" ht="15" thickBot="1">
      <c r="A37" s="188"/>
      <c r="B37" s="187"/>
      <c r="C37" s="187"/>
      <c r="D37" s="187"/>
      <c r="E37" s="187"/>
      <c r="F37" s="187"/>
      <c r="G37" s="187"/>
      <c r="H37" s="187"/>
      <c r="I37" s="186"/>
      <c r="J37" s="185"/>
      <c r="K37" s="184"/>
      <c r="L37" s="177"/>
      <c r="O37" s="183"/>
    </row>
    <row r="38" spans="1:18" ht="15" thickBot="1">
      <c r="A38" s="182"/>
      <c r="B38" s="478" t="s">
        <v>295</v>
      </c>
      <c r="C38" s="478"/>
      <c r="D38" s="478"/>
      <c r="E38" s="478"/>
      <c r="F38" s="478"/>
      <c r="G38" s="478"/>
      <c r="H38" s="181"/>
      <c r="I38" s="180">
        <f>+I32+I34+I36</f>
        <v>0.32000000014675467</v>
      </c>
      <c r="J38" s="179">
        <f>+J32+J34+J36</f>
        <v>21805099.690000001</v>
      </c>
      <c r="K38" s="178"/>
      <c r="L38" s="177"/>
      <c r="O38" s="176"/>
    </row>
    <row r="39" spans="1:18" ht="75" customHeight="1">
      <c r="A39" s="175"/>
      <c r="B39" s="174"/>
      <c r="C39" s="174"/>
      <c r="D39" s="174"/>
      <c r="E39" s="174"/>
      <c r="F39" s="174"/>
      <c r="G39" s="174"/>
      <c r="H39" s="174"/>
      <c r="I39" s="173"/>
      <c r="J39" s="172"/>
      <c r="K39" s="171"/>
    </row>
    <row r="40" spans="1:18" ht="38.25" customHeight="1">
      <c r="A40" s="170"/>
      <c r="B40" s="170"/>
      <c r="C40" s="170"/>
      <c r="D40" s="170"/>
      <c r="E40" s="479"/>
      <c r="F40" s="479"/>
      <c r="G40" s="170"/>
      <c r="H40" s="170"/>
      <c r="I40" s="170"/>
      <c r="J40" s="170"/>
      <c r="K40" s="168"/>
      <c r="O40" s="169"/>
    </row>
    <row r="41" spans="1:18">
      <c r="A41" s="482" t="s">
        <v>709</v>
      </c>
      <c r="B41" s="483"/>
      <c r="C41" s="483"/>
      <c r="D41" s="483"/>
      <c r="E41" s="483"/>
      <c r="F41" s="483"/>
      <c r="G41" s="483"/>
      <c r="H41" s="483"/>
      <c r="I41" s="483"/>
      <c r="J41" s="484"/>
      <c r="K41" s="168"/>
      <c r="L41" s="167">
        <f>+J33+J35+J37</f>
        <v>0</v>
      </c>
    </row>
    <row r="42" spans="1:18" ht="15" thickBot="1">
      <c r="A42" s="466" t="s">
        <v>294</v>
      </c>
      <c r="B42" s="467"/>
      <c r="C42" s="467"/>
      <c r="D42" s="467"/>
      <c r="E42" s="467"/>
      <c r="F42" s="467"/>
      <c r="G42" s="467"/>
      <c r="H42" s="467"/>
      <c r="I42" s="467"/>
      <c r="J42" s="468"/>
      <c r="K42" s="168"/>
      <c r="L42" s="167"/>
    </row>
    <row r="43" spans="1:18" s="157" customFormat="1" ht="9.6" hidden="1" customHeight="1">
      <c r="A43" s="161"/>
      <c r="B43" s="166"/>
      <c r="C43" s="165"/>
      <c r="D43" s="165"/>
      <c r="E43" s="165"/>
      <c r="F43" s="165"/>
      <c r="G43" s="165"/>
      <c r="H43" s="165"/>
      <c r="I43" s="164"/>
      <c r="J43" s="164"/>
      <c r="K43" s="163"/>
      <c r="N43" s="155"/>
      <c r="O43" s="156"/>
      <c r="P43" s="155"/>
    </row>
    <row r="44" spans="1:18" s="157" customFormat="1" ht="15.6" hidden="1">
      <c r="A44" s="161"/>
      <c r="B44" s="165"/>
      <c r="C44" s="165"/>
      <c r="D44" s="165"/>
      <c r="E44" s="165"/>
      <c r="F44" s="165"/>
      <c r="G44" s="165"/>
      <c r="H44" s="165"/>
      <c r="I44" s="164"/>
      <c r="J44" s="164"/>
      <c r="K44" s="163"/>
      <c r="N44" s="155"/>
      <c r="O44" s="156"/>
      <c r="P44" s="155"/>
    </row>
    <row r="45" spans="1:18" s="157" customFormat="1" ht="15.6">
      <c r="A45" s="162"/>
      <c r="B45" s="159"/>
      <c r="C45" s="159"/>
      <c r="D45" s="159"/>
      <c r="E45" s="159"/>
      <c r="F45" s="159"/>
      <c r="G45" s="159"/>
      <c r="H45" s="159"/>
      <c r="I45" s="158"/>
      <c r="J45" s="158"/>
      <c r="N45" s="155"/>
      <c r="O45" s="156"/>
      <c r="P45" s="155"/>
    </row>
    <row r="46" spans="1:18" s="157" customFormat="1" ht="15.6">
      <c r="A46" s="161"/>
      <c r="B46" s="159"/>
      <c r="C46" s="159"/>
      <c r="D46" s="159"/>
      <c r="E46" s="159"/>
      <c r="G46" s="159"/>
      <c r="H46" s="159"/>
      <c r="I46" s="158"/>
      <c r="J46" s="158"/>
      <c r="N46" s="155"/>
      <c r="O46" s="156"/>
      <c r="P46" s="155"/>
    </row>
    <row r="47" spans="1:18" s="157" customFormat="1" ht="15.6">
      <c r="A47" s="161"/>
      <c r="B47" s="159"/>
      <c r="C47" s="159"/>
      <c r="D47" s="159"/>
      <c r="E47" s="159"/>
      <c r="F47" s="159"/>
      <c r="G47" s="159"/>
      <c r="H47" s="159"/>
      <c r="I47" s="158"/>
      <c r="J47" s="158"/>
      <c r="N47" s="155"/>
      <c r="O47" s="156"/>
      <c r="P47" s="155"/>
    </row>
    <row r="48" spans="1:18" s="157" customFormat="1" ht="15.6">
      <c r="A48" s="160"/>
      <c r="B48" s="159"/>
      <c r="C48" s="159"/>
      <c r="D48" s="159"/>
      <c r="E48" s="159"/>
      <c r="F48" s="159"/>
      <c r="G48" s="159"/>
      <c r="H48" s="159"/>
      <c r="I48" s="158"/>
      <c r="J48" s="158"/>
      <c r="N48" s="155"/>
      <c r="O48" s="156"/>
      <c r="P48" s="155"/>
    </row>
  </sheetData>
  <sheetProtection selectLockedCells="1" selectUnlockedCells="1"/>
  <mergeCells count="18">
    <mergeCell ref="A1:J1"/>
    <mergeCell ref="B2:I2"/>
    <mergeCell ref="A4:J6"/>
    <mergeCell ref="A7:J7"/>
    <mergeCell ref="A8:J8"/>
    <mergeCell ref="A42:J42"/>
    <mergeCell ref="G10:G11"/>
    <mergeCell ref="H10:H11"/>
    <mergeCell ref="I10:J10"/>
    <mergeCell ref="A12:J12"/>
    <mergeCell ref="B38:G38"/>
    <mergeCell ref="E40:F40"/>
    <mergeCell ref="A10:A11"/>
    <mergeCell ref="B10:B11"/>
    <mergeCell ref="C10:C11"/>
    <mergeCell ref="A41:J41"/>
    <mergeCell ref="E10:E11"/>
    <mergeCell ref="F10:F11"/>
  </mergeCells>
  <printOptions horizontalCentered="1" verticalCentered="1"/>
  <pageMargins left="0.19685039370078741" right="0.19685039370078741" top="0.19685039370078741" bottom="0.19685039370078741" header="0" footer="0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34323-2CC6-4478-90F9-0A81DA11B9FE}">
  <dimension ref="A1:G151"/>
  <sheetViews>
    <sheetView topLeftCell="A80" workbookViewId="0">
      <selection activeCell="A93" sqref="A93"/>
    </sheetView>
  </sheetViews>
  <sheetFormatPr baseColWidth="10" defaultRowHeight="14.4"/>
  <cols>
    <col min="1" max="1" width="11.5546875" style="108"/>
    <col min="2" max="2" width="63.33203125" customWidth="1"/>
    <col min="4" max="4" width="16" customWidth="1"/>
  </cols>
  <sheetData>
    <row r="1" spans="1:6" ht="17.25" customHeight="1">
      <c r="A1" s="108" t="s">
        <v>335</v>
      </c>
      <c r="B1" s="270" t="s">
        <v>325</v>
      </c>
      <c r="C1" s="258" t="s">
        <v>26</v>
      </c>
      <c r="D1" s="259" t="s">
        <v>342</v>
      </c>
    </row>
    <row r="2" spans="1:6" s="122" customFormat="1">
      <c r="A2" s="260" t="s">
        <v>339</v>
      </c>
      <c r="B2" s="261" t="s">
        <v>337</v>
      </c>
      <c r="C2" s="262"/>
      <c r="D2" s="297"/>
    </row>
    <row r="3" spans="1:6">
      <c r="A3" s="263" t="s">
        <v>336</v>
      </c>
      <c r="B3" s="107" t="s">
        <v>489</v>
      </c>
      <c r="C3" s="108" t="s">
        <v>9</v>
      </c>
      <c r="D3" s="298">
        <f>+'P-0001'!H48</f>
        <v>42831</v>
      </c>
      <c r="F3" t="str">
        <f>+TEXT(LIST[[#This Row],[ID]],"XXXXXX")</f>
        <v>P-0001</v>
      </c>
    </row>
    <row r="4" spans="1:6" ht="28.8">
      <c r="A4" s="263" t="s">
        <v>343</v>
      </c>
      <c r="B4" s="264" t="s">
        <v>624</v>
      </c>
      <c r="C4" s="265" t="s">
        <v>9</v>
      </c>
      <c r="D4" s="298">
        <f>+'P-0002'!H48</f>
        <v>29966</v>
      </c>
    </row>
    <row r="5" spans="1:6">
      <c r="A5" s="263" t="s">
        <v>344</v>
      </c>
      <c r="B5" s="264" t="s">
        <v>270</v>
      </c>
      <c r="C5" s="265" t="s">
        <v>250</v>
      </c>
      <c r="D5" s="298">
        <f>+'P-0003'!H48</f>
        <v>719688</v>
      </c>
    </row>
    <row r="6" spans="1:6">
      <c r="A6" s="263" t="s">
        <v>345</v>
      </c>
      <c r="B6" s="264" t="s">
        <v>269</v>
      </c>
      <c r="C6" s="265" t="s">
        <v>9</v>
      </c>
      <c r="D6" s="298">
        <f>+'P-0004'!H48</f>
        <v>16553</v>
      </c>
    </row>
    <row r="7" spans="1:6">
      <c r="A7" s="263" t="s">
        <v>346</v>
      </c>
      <c r="B7" s="264" t="s">
        <v>354</v>
      </c>
      <c r="C7" s="265" t="s">
        <v>10</v>
      </c>
      <c r="D7" s="298">
        <f>+'P-0005'!H45</f>
        <v>41022</v>
      </c>
    </row>
    <row r="8" spans="1:6">
      <c r="A8" s="263" t="s">
        <v>347</v>
      </c>
      <c r="B8" s="264" t="s">
        <v>266</v>
      </c>
      <c r="C8" s="265" t="s">
        <v>10</v>
      </c>
      <c r="D8" s="298">
        <f>+'P-0006'!H48</f>
        <v>388247</v>
      </c>
    </row>
    <row r="9" spans="1:6">
      <c r="A9" s="263" t="s">
        <v>369</v>
      </c>
      <c r="B9" s="264" t="s">
        <v>367</v>
      </c>
      <c r="C9" s="265" t="s">
        <v>5</v>
      </c>
      <c r="D9" s="298">
        <f>+'P-0007'!H48</f>
        <v>93559</v>
      </c>
    </row>
    <row r="10" spans="1:6">
      <c r="A10" s="263" t="s">
        <v>483</v>
      </c>
      <c r="B10" s="264" t="s">
        <v>484</v>
      </c>
      <c r="C10" s="265" t="s">
        <v>9</v>
      </c>
      <c r="D10" s="298" t="e">
        <f>+'P-0008'!H48</f>
        <v>#N/A</v>
      </c>
    </row>
    <row r="11" spans="1:6">
      <c r="A11" s="263" t="s">
        <v>485</v>
      </c>
      <c r="B11" s="264" t="s">
        <v>490</v>
      </c>
      <c r="C11" s="265" t="s">
        <v>9</v>
      </c>
      <c r="D11" s="298">
        <f>+'P-0009'!H48</f>
        <v>50982</v>
      </c>
    </row>
    <row r="12" spans="1:6" ht="28.8">
      <c r="A12" s="263" t="s">
        <v>486</v>
      </c>
      <c r="B12" s="264" t="s">
        <v>491</v>
      </c>
      <c r="C12" s="265" t="s">
        <v>9</v>
      </c>
      <c r="D12" s="298">
        <f>+'P-0010'!H48</f>
        <v>75162</v>
      </c>
    </row>
    <row r="13" spans="1:6">
      <c r="A13" s="263" t="s">
        <v>499</v>
      </c>
      <c r="B13" s="264" t="s">
        <v>500</v>
      </c>
      <c r="C13" s="265" t="s">
        <v>10</v>
      </c>
      <c r="D13" s="298">
        <f>+'P-0011'!H48</f>
        <v>30161</v>
      </c>
    </row>
    <row r="14" spans="1:6">
      <c r="A14" s="263" t="s">
        <v>502</v>
      </c>
      <c r="B14" s="264" t="s">
        <v>503</v>
      </c>
      <c r="C14" s="265" t="s">
        <v>10</v>
      </c>
      <c r="D14" s="298">
        <f>+'P-0012'!H48</f>
        <v>158481</v>
      </c>
    </row>
    <row r="15" spans="1:6">
      <c r="A15" s="263" t="s">
        <v>508</v>
      </c>
      <c r="B15" s="264" t="s">
        <v>509</v>
      </c>
      <c r="C15" s="265" t="s">
        <v>9</v>
      </c>
      <c r="D15" s="298">
        <f>+'P-0013'!H48</f>
        <v>12504</v>
      </c>
    </row>
    <row r="16" spans="1:6">
      <c r="A16" s="263" t="s">
        <v>569</v>
      </c>
      <c r="B16" s="264" t="s">
        <v>568</v>
      </c>
      <c r="C16" s="265" t="s">
        <v>9</v>
      </c>
      <c r="D16" s="298">
        <f>+'P-0014'!H48</f>
        <v>20830</v>
      </c>
    </row>
    <row r="17" spans="1:4">
      <c r="A17" s="263" t="s">
        <v>627</v>
      </c>
      <c r="B17" s="264" t="s">
        <v>626</v>
      </c>
      <c r="C17" s="265" t="s">
        <v>9</v>
      </c>
      <c r="D17" s="298">
        <f>+'P-0015'!H48</f>
        <v>5449</v>
      </c>
    </row>
    <row r="18" spans="1:4">
      <c r="A18" s="263" t="s">
        <v>661</v>
      </c>
      <c r="B18" s="264" t="s">
        <v>672</v>
      </c>
      <c r="C18" s="265" t="s">
        <v>249</v>
      </c>
      <c r="D18" s="298">
        <f>+'P-0016'!H48</f>
        <v>12708</v>
      </c>
    </row>
    <row r="19" spans="1:4">
      <c r="A19" s="263" t="s">
        <v>662</v>
      </c>
      <c r="B19" s="264" t="s">
        <v>692</v>
      </c>
      <c r="C19" s="265" t="s">
        <v>10</v>
      </c>
      <c r="D19" s="298">
        <f>+'P-0017'!H48</f>
        <v>52406</v>
      </c>
    </row>
    <row r="20" spans="1:4">
      <c r="A20" s="263"/>
      <c r="B20" s="264"/>
      <c r="C20" s="265"/>
      <c r="D20" s="299"/>
    </row>
    <row r="21" spans="1:4">
      <c r="A21" s="263"/>
      <c r="B21" s="264"/>
      <c r="C21" s="265"/>
      <c r="D21" s="299"/>
    </row>
    <row r="22" spans="1:4">
      <c r="A22" s="263"/>
      <c r="B22" s="264"/>
      <c r="C22" s="265"/>
      <c r="D22" s="299"/>
    </row>
    <row r="23" spans="1:4">
      <c r="A23" s="263"/>
      <c r="B23" s="264"/>
      <c r="C23" s="265"/>
      <c r="D23" s="299"/>
    </row>
    <row r="24" spans="1:4" s="122" customFormat="1">
      <c r="A24" s="260" t="s">
        <v>340</v>
      </c>
      <c r="B24" s="261" t="s">
        <v>338</v>
      </c>
      <c r="C24" s="262"/>
      <c r="D24" s="297"/>
    </row>
    <row r="25" spans="1:4">
      <c r="A25" s="271" t="s">
        <v>349</v>
      </c>
      <c r="B25" s="72" t="s">
        <v>353</v>
      </c>
      <c r="C25" s="108" t="s">
        <v>9</v>
      </c>
      <c r="D25" s="298">
        <f>+'PTA-001'!H45</f>
        <v>210966</v>
      </c>
    </row>
    <row r="26" spans="1:4" ht="17.25" customHeight="1">
      <c r="A26" s="271" t="s">
        <v>348</v>
      </c>
      <c r="B26" s="264" t="s">
        <v>271</v>
      </c>
      <c r="C26" s="108" t="s">
        <v>9</v>
      </c>
      <c r="D26" s="298">
        <f>+'PTA-002'!H45</f>
        <v>199216</v>
      </c>
    </row>
    <row r="27" spans="1:4" ht="32.4" customHeight="1">
      <c r="A27" s="271" t="s">
        <v>350</v>
      </c>
      <c r="B27" s="286" t="s">
        <v>283</v>
      </c>
      <c r="C27" s="108" t="s">
        <v>5</v>
      </c>
      <c r="D27" s="298">
        <f>+'PTA-003'!H45</f>
        <v>102188</v>
      </c>
    </row>
    <row r="28" spans="1:4" ht="32.4" customHeight="1">
      <c r="A28" s="271" t="s">
        <v>351</v>
      </c>
      <c r="B28" s="286" t="s">
        <v>334</v>
      </c>
      <c r="C28" s="108" t="s">
        <v>5</v>
      </c>
      <c r="D28" s="298">
        <f>+'PTA-004'!H48</f>
        <v>108719</v>
      </c>
    </row>
    <row r="29" spans="1:4" ht="28.8">
      <c r="A29" s="271" t="s">
        <v>352</v>
      </c>
      <c r="B29" s="264" t="s">
        <v>402</v>
      </c>
      <c r="C29" s="108" t="s">
        <v>9</v>
      </c>
      <c r="D29" s="298">
        <f>+'PTA-005'!H48</f>
        <v>143058</v>
      </c>
    </row>
    <row r="30" spans="1:4">
      <c r="A30" s="271" t="s">
        <v>355</v>
      </c>
      <c r="B30" s="264" t="s">
        <v>272</v>
      </c>
      <c r="C30" s="108" t="s">
        <v>249</v>
      </c>
      <c r="D30" s="298">
        <f>+'PTA-006'!H48</f>
        <v>71941</v>
      </c>
    </row>
    <row r="31" spans="1:4">
      <c r="A31" s="271" t="s">
        <v>450</v>
      </c>
      <c r="B31" s="264" t="s">
        <v>449</v>
      </c>
      <c r="C31" s="126" t="s">
        <v>9</v>
      </c>
      <c r="D31" s="298">
        <f>+'PTA-007'!H48</f>
        <v>71344</v>
      </c>
    </row>
    <row r="32" spans="1:4">
      <c r="A32" s="271" t="s">
        <v>469</v>
      </c>
      <c r="B32" s="264" t="s">
        <v>470</v>
      </c>
      <c r="C32" s="126" t="s">
        <v>9</v>
      </c>
      <c r="D32" s="298">
        <f>+'PTA-008'!H48</f>
        <v>129294</v>
      </c>
    </row>
    <row r="33" spans="1:4">
      <c r="A33" s="271" t="s">
        <v>476</v>
      </c>
      <c r="B33" s="264" t="s">
        <v>478</v>
      </c>
      <c r="C33" s="126" t="s">
        <v>9</v>
      </c>
      <c r="D33" s="298">
        <f>+'PTA-009'!H48</f>
        <v>16372</v>
      </c>
    </row>
    <row r="34" spans="1:4">
      <c r="A34" s="271" t="s">
        <v>479</v>
      </c>
      <c r="B34" s="376" t="s">
        <v>480</v>
      </c>
      <c r="C34" s="126" t="s">
        <v>9</v>
      </c>
      <c r="D34" s="298">
        <f>+'PTA-010'!H48</f>
        <v>16395</v>
      </c>
    </row>
    <row r="35" spans="1:4">
      <c r="A35" s="271" t="s">
        <v>510</v>
      </c>
      <c r="B35" s="264" t="s">
        <v>511</v>
      </c>
      <c r="C35" s="126" t="s">
        <v>9</v>
      </c>
      <c r="D35" s="298">
        <f>+'PTA-011'!H48</f>
        <v>21848</v>
      </c>
    </row>
    <row r="36" spans="1:4">
      <c r="A36" s="271" t="s">
        <v>512</v>
      </c>
      <c r="B36" s="264" t="s">
        <v>514</v>
      </c>
      <c r="C36" s="126" t="s">
        <v>9</v>
      </c>
      <c r="D36" s="298">
        <f>+'PTA-012'!H48</f>
        <v>91611</v>
      </c>
    </row>
    <row r="37" spans="1:4">
      <c r="A37" s="271" t="s">
        <v>515</v>
      </c>
      <c r="B37" s="264" t="s">
        <v>516</v>
      </c>
      <c r="C37" s="126" t="s">
        <v>9</v>
      </c>
      <c r="D37" s="298">
        <f>+'PTA-013'!H48</f>
        <v>89850</v>
      </c>
    </row>
    <row r="38" spans="1:4">
      <c r="A38" s="271" t="s">
        <v>521</v>
      </c>
      <c r="B38" s="264" t="s">
        <v>524</v>
      </c>
      <c r="C38" s="126" t="s">
        <v>9</v>
      </c>
      <c r="D38" s="298">
        <f>+'PTA-014'!H48</f>
        <v>20161</v>
      </c>
    </row>
    <row r="39" spans="1:4">
      <c r="A39" s="271" t="s">
        <v>526</v>
      </c>
      <c r="B39" s="264" t="s">
        <v>525</v>
      </c>
      <c r="C39" s="126" t="s">
        <v>249</v>
      </c>
      <c r="D39" s="298">
        <f>+'PTA-015'!H48</f>
        <v>14102</v>
      </c>
    </row>
    <row r="40" spans="1:4">
      <c r="A40" s="271" t="s">
        <v>536</v>
      </c>
      <c r="B40" s="264" t="s">
        <v>540</v>
      </c>
      <c r="C40" s="126" t="s">
        <v>9</v>
      </c>
      <c r="D40" s="298">
        <f>+'PTA-016'!H48</f>
        <v>54084</v>
      </c>
    </row>
    <row r="41" spans="1:4" ht="43.2">
      <c r="A41" s="271" t="s">
        <v>565</v>
      </c>
      <c r="B41" s="264" t="s">
        <v>564</v>
      </c>
      <c r="C41" s="126" t="s">
        <v>9</v>
      </c>
      <c r="D41" s="298">
        <f>+'PTA-017'!H48</f>
        <v>118313</v>
      </c>
    </row>
    <row r="42" spans="1:4" ht="57.6">
      <c r="A42" s="271" t="s">
        <v>570</v>
      </c>
      <c r="B42" s="264" t="s">
        <v>609</v>
      </c>
      <c r="C42" s="126" t="s">
        <v>9</v>
      </c>
      <c r="D42" s="298">
        <f>+'PTA-018'!H48</f>
        <v>38921</v>
      </c>
    </row>
    <row r="43" spans="1:4">
      <c r="A43" s="271" t="s">
        <v>601</v>
      </c>
      <c r="B43" s="264" t="s">
        <v>602</v>
      </c>
      <c r="C43" s="126" t="s">
        <v>9</v>
      </c>
      <c r="D43" s="298">
        <f>+'PTA-019'!H48</f>
        <v>86053</v>
      </c>
    </row>
    <row r="44" spans="1:4">
      <c r="A44" s="271" t="s">
        <v>603</v>
      </c>
      <c r="B44" s="264" t="s">
        <v>604</v>
      </c>
      <c r="C44" s="126" t="s">
        <v>9</v>
      </c>
      <c r="D44" s="298">
        <f>+'PTA-020'!H48</f>
        <v>32597</v>
      </c>
    </row>
    <row r="45" spans="1:4">
      <c r="A45" s="271" t="s">
        <v>611</v>
      </c>
      <c r="B45" s="264" t="s">
        <v>612</v>
      </c>
      <c r="C45" s="126" t="s">
        <v>9</v>
      </c>
      <c r="D45" s="298">
        <f>+'PTA-021'!H48</f>
        <v>22913</v>
      </c>
    </row>
    <row r="46" spans="1:4">
      <c r="A46" s="271" t="s">
        <v>643</v>
      </c>
      <c r="B46" s="264" t="s">
        <v>645</v>
      </c>
      <c r="C46" s="126" t="s">
        <v>9</v>
      </c>
      <c r="D46" s="298">
        <f>+'PTA-022'!H48</f>
        <v>151072</v>
      </c>
    </row>
    <row r="47" spans="1:4">
      <c r="A47" s="271"/>
      <c r="B47" s="264"/>
      <c r="C47" s="126"/>
      <c r="D47" s="299"/>
    </row>
    <row r="48" spans="1:4" s="122" customFormat="1">
      <c r="A48" s="260" t="s">
        <v>341</v>
      </c>
      <c r="B48" s="261" t="s">
        <v>357</v>
      </c>
      <c r="C48" s="262"/>
      <c r="D48" s="297"/>
    </row>
    <row r="49" spans="1:4">
      <c r="A49" s="296" t="s">
        <v>380</v>
      </c>
      <c r="B49" s="264" t="s">
        <v>59</v>
      </c>
      <c r="C49" s="108" t="s">
        <v>11</v>
      </c>
      <c r="D49" s="298">
        <f>+'CMR-001'!H48</f>
        <v>10449</v>
      </c>
    </row>
    <row r="50" spans="1:4">
      <c r="A50" s="296" t="s">
        <v>381</v>
      </c>
      <c r="B50" s="72" t="s">
        <v>289</v>
      </c>
      <c r="C50" s="108" t="s">
        <v>10</v>
      </c>
      <c r="D50" s="298">
        <f>+'CMR-002'!H48</f>
        <v>1111084</v>
      </c>
    </row>
    <row r="51" spans="1:4" ht="57.6">
      <c r="A51" s="108" t="s">
        <v>382</v>
      </c>
      <c r="B51" s="264" t="s">
        <v>419</v>
      </c>
      <c r="C51" s="266" t="s">
        <v>11</v>
      </c>
      <c r="D51" s="300"/>
    </row>
    <row r="52" spans="1:4">
      <c r="A52" s="296" t="s">
        <v>473</v>
      </c>
      <c r="B52" s="264" t="s">
        <v>474</v>
      </c>
      <c r="C52" s="266" t="s">
        <v>9</v>
      </c>
      <c r="D52" s="298">
        <f>+'CMR-004'!H48</f>
        <v>126819</v>
      </c>
    </row>
    <row r="53" spans="1:4">
      <c r="A53" s="296" t="s">
        <v>506</v>
      </c>
      <c r="B53" s="264" t="s">
        <v>507</v>
      </c>
      <c r="C53" s="266" t="s">
        <v>10</v>
      </c>
      <c r="D53" s="298">
        <f>+'CMR-005'!H48</f>
        <v>1342397</v>
      </c>
    </row>
    <row r="54" spans="1:4">
      <c r="A54" s="296" t="s">
        <v>541</v>
      </c>
      <c r="B54" s="264" t="s">
        <v>554</v>
      </c>
      <c r="C54" s="266" t="s">
        <v>10</v>
      </c>
      <c r="D54" s="298">
        <f>+'CMR-006'!H48</f>
        <v>501872</v>
      </c>
    </row>
    <row r="55" spans="1:4">
      <c r="A55" s="296" t="s">
        <v>555</v>
      </c>
      <c r="B55" s="264" t="s">
        <v>556</v>
      </c>
      <c r="C55" s="266" t="s">
        <v>9</v>
      </c>
      <c r="D55" s="298">
        <f>+'CMR-007'!H48</f>
        <v>17543</v>
      </c>
    </row>
    <row r="56" spans="1:4" ht="28.8">
      <c r="A56" s="296" t="s">
        <v>567</v>
      </c>
      <c r="B56" s="264" t="s">
        <v>620</v>
      </c>
      <c r="C56" s="266" t="s">
        <v>249</v>
      </c>
      <c r="D56" s="298">
        <f>+'CMR-008'!H48</f>
        <v>141273</v>
      </c>
    </row>
    <row r="57" spans="1:4">
      <c r="A57" s="296" t="s">
        <v>613</v>
      </c>
      <c r="B57" s="264" t="s">
        <v>616</v>
      </c>
      <c r="C57" s="266" t="s">
        <v>249</v>
      </c>
      <c r="D57" s="298">
        <f>+'CMR-009'!H48</f>
        <v>61440</v>
      </c>
    </row>
    <row r="58" spans="1:4">
      <c r="A58" s="108" t="s">
        <v>614</v>
      </c>
      <c r="B58" s="264" t="s">
        <v>617</v>
      </c>
      <c r="C58" s="266" t="s">
        <v>5</v>
      </c>
      <c r="D58" s="298">
        <f>+'CMR-010'!H48</f>
        <v>330681</v>
      </c>
    </row>
    <row r="59" spans="1:4">
      <c r="A59" s="108" t="s">
        <v>615</v>
      </c>
      <c r="B59" s="264" t="s">
        <v>618</v>
      </c>
      <c r="C59" s="266" t="s">
        <v>249</v>
      </c>
      <c r="D59" s="298">
        <f>+'CMR-011'!H48</f>
        <v>152644</v>
      </c>
    </row>
    <row r="60" spans="1:4" ht="28.8">
      <c r="A60" s="108" t="s">
        <v>621</v>
      </c>
      <c r="B60" s="264" t="s">
        <v>619</v>
      </c>
      <c r="C60" s="266" t="s">
        <v>9</v>
      </c>
      <c r="D60" s="298">
        <f>+'CMR-012'!H48</f>
        <v>106831</v>
      </c>
    </row>
    <row r="61" spans="1:4">
      <c r="B61" s="264"/>
      <c r="C61" s="266"/>
      <c r="D61" s="300"/>
    </row>
    <row r="62" spans="1:4">
      <c r="B62" s="264"/>
      <c r="C62" s="266"/>
      <c r="D62" s="300"/>
    </row>
    <row r="63" spans="1:4">
      <c r="A63" s="108" t="s">
        <v>356</v>
      </c>
      <c r="B63" s="261" t="s">
        <v>358</v>
      </c>
      <c r="C63" s="266"/>
      <c r="D63" s="300"/>
    </row>
    <row r="64" spans="1:4" s="122" customFormat="1" ht="43.8" customHeight="1">
      <c r="A64" s="260" t="s">
        <v>383</v>
      </c>
      <c r="B64" s="354" t="s">
        <v>420</v>
      </c>
      <c r="C64" s="355" t="s">
        <v>5</v>
      </c>
      <c r="D64" s="297"/>
    </row>
    <row r="65" spans="1:4">
      <c r="A65" s="108" t="s">
        <v>384</v>
      </c>
      <c r="B65" s="264" t="s">
        <v>293</v>
      </c>
      <c r="C65" s="266" t="s">
        <v>5</v>
      </c>
      <c r="D65" s="301"/>
    </row>
    <row r="66" spans="1:4">
      <c r="A66" s="296" t="s">
        <v>385</v>
      </c>
      <c r="B66" s="264" t="s">
        <v>273</v>
      </c>
      <c r="C66" s="266" t="s">
        <v>249</v>
      </c>
      <c r="D66" s="300">
        <f>+'ELC-003'!H48</f>
        <v>33165</v>
      </c>
    </row>
    <row r="67" spans="1:4">
      <c r="A67" s="296" t="s">
        <v>431</v>
      </c>
      <c r="B67" s="264" t="s">
        <v>430</v>
      </c>
      <c r="C67" s="266" t="s">
        <v>5</v>
      </c>
      <c r="D67" s="300">
        <f>+'ELC-004'!H48</f>
        <v>30640</v>
      </c>
    </row>
    <row r="68" spans="1:4" ht="28.8">
      <c r="A68" s="296" t="s">
        <v>434</v>
      </c>
      <c r="B68" s="264" t="s">
        <v>436</v>
      </c>
      <c r="C68" s="266" t="s">
        <v>5</v>
      </c>
      <c r="D68" s="300">
        <f>+'ELC-005'!H48</f>
        <v>74576</v>
      </c>
    </row>
    <row r="69" spans="1:4">
      <c r="A69" s="296" t="s">
        <v>435</v>
      </c>
      <c r="B69" s="264" t="s">
        <v>437</v>
      </c>
      <c r="C69" s="266" t="s">
        <v>5</v>
      </c>
      <c r="D69" s="300">
        <f>+'ELC-006'!H48</f>
        <v>53732</v>
      </c>
    </row>
    <row r="70" spans="1:4">
      <c r="A70" s="296" t="s">
        <v>446</v>
      </c>
      <c r="B70" s="264" t="s">
        <v>447</v>
      </c>
      <c r="C70" s="266" t="s">
        <v>249</v>
      </c>
      <c r="D70" s="300">
        <f>+'ELC-007'!H48</f>
        <v>105654</v>
      </c>
    </row>
    <row r="71" spans="1:4">
      <c r="A71" s="296" t="s">
        <v>467</v>
      </c>
      <c r="B71" s="264" t="s">
        <v>468</v>
      </c>
      <c r="C71" s="266" t="s">
        <v>5</v>
      </c>
      <c r="D71" s="300" t="e">
        <f>+'ELC-008'!H48</f>
        <v>#VALUE!</v>
      </c>
    </row>
    <row r="72" spans="1:4" ht="28.8">
      <c r="A72" s="296" t="s">
        <v>527</v>
      </c>
      <c r="B72" s="264" t="s">
        <v>528</v>
      </c>
      <c r="C72" s="266" t="s">
        <v>5</v>
      </c>
      <c r="D72" s="300">
        <f>+'ELC-009'!H48</f>
        <v>1325151</v>
      </c>
    </row>
    <row r="73" spans="1:4" ht="28.8">
      <c r="A73" s="296" t="s">
        <v>651</v>
      </c>
      <c r="B73" s="264" t="s">
        <v>652</v>
      </c>
      <c r="C73" s="266" t="s">
        <v>5</v>
      </c>
      <c r="D73" s="300">
        <f>+'ELC-010'!H48</f>
        <v>265051</v>
      </c>
    </row>
    <row r="74" spans="1:4" ht="28.8">
      <c r="A74" s="296" t="s">
        <v>656</v>
      </c>
      <c r="B74" s="264" t="s">
        <v>657</v>
      </c>
      <c r="C74" s="266" t="s">
        <v>5</v>
      </c>
      <c r="D74" s="300"/>
    </row>
    <row r="75" spans="1:4">
      <c r="A75" s="296"/>
      <c r="B75" s="264"/>
      <c r="C75" s="266"/>
      <c r="D75" s="300"/>
    </row>
    <row r="76" spans="1:4">
      <c r="A76" s="296"/>
      <c r="B76" s="264"/>
      <c r="C76" s="266"/>
      <c r="D76" s="300"/>
    </row>
    <row r="77" spans="1:4">
      <c r="A77" s="108" t="s">
        <v>359</v>
      </c>
      <c r="B77" s="261" t="s">
        <v>378</v>
      </c>
      <c r="C77" s="266"/>
      <c r="D77" s="300"/>
    </row>
    <row r="78" spans="1:4">
      <c r="A78" s="296" t="s">
        <v>370</v>
      </c>
      <c r="B78" s="107" t="s">
        <v>360</v>
      </c>
      <c r="C78" s="108" t="s">
        <v>5</v>
      </c>
      <c r="D78" s="301">
        <f>+'HS-001'!H48</f>
        <v>537446</v>
      </c>
    </row>
    <row r="79" spans="1:4">
      <c r="A79" s="296" t="s">
        <v>371</v>
      </c>
      <c r="B79" s="107" t="s">
        <v>366</v>
      </c>
      <c r="C79" s="108" t="s">
        <v>5</v>
      </c>
      <c r="D79" s="300">
        <f>+'HS-002'!H48</f>
        <v>929939</v>
      </c>
    </row>
    <row r="80" spans="1:4" s="122" customFormat="1" ht="28.8">
      <c r="A80" s="296" t="s">
        <v>372</v>
      </c>
      <c r="B80" s="285" t="s">
        <v>361</v>
      </c>
      <c r="C80" s="287" t="s">
        <v>5</v>
      </c>
      <c r="D80" s="300">
        <f>+'HS-003'!H48</f>
        <v>378563</v>
      </c>
    </row>
    <row r="81" spans="1:4">
      <c r="A81" s="296" t="s">
        <v>373</v>
      </c>
      <c r="B81" s="72" t="s">
        <v>362</v>
      </c>
      <c r="C81" s="126" t="s">
        <v>5</v>
      </c>
      <c r="D81" s="300">
        <f>+'HS-004'!H48</f>
        <v>185875</v>
      </c>
    </row>
    <row r="82" spans="1:4">
      <c r="A82" s="296" t="s">
        <v>374</v>
      </c>
      <c r="B82" s="107" t="s">
        <v>363</v>
      </c>
      <c r="C82" s="108" t="s">
        <v>5</v>
      </c>
      <c r="D82" s="300">
        <f>+'HS-005'!H48</f>
        <v>81744</v>
      </c>
    </row>
    <row r="83" spans="1:4">
      <c r="A83" s="296" t="s">
        <v>375</v>
      </c>
      <c r="B83" s="267" t="s">
        <v>392</v>
      </c>
      <c r="C83" s="268" t="s">
        <v>5</v>
      </c>
      <c r="D83" s="300">
        <f>+'HS-006'!H48</f>
        <v>152931</v>
      </c>
    </row>
    <row r="84" spans="1:4" ht="28.8">
      <c r="A84" s="296" t="s">
        <v>377</v>
      </c>
      <c r="B84" s="293" t="s">
        <v>376</v>
      </c>
      <c r="C84" s="289" t="s">
        <v>5</v>
      </c>
      <c r="D84" s="300">
        <f>+'HS-007'!H48</f>
        <v>350686</v>
      </c>
    </row>
    <row r="85" spans="1:4">
      <c r="A85" s="296" t="s">
        <v>379</v>
      </c>
      <c r="B85" s="72" t="s">
        <v>393</v>
      </c>
      <c r="C85" s="289" t="s">
        <v>5</v>
      </c>
      <c r="D85" s="300">
        <f>+'HS-008'!H48</f>
        <v>185875</v>
      </c>
    </row>
    <row r="86" spans="1:4">
      <c r="A86" s="296" t="s">
        <v>390</v>
      </c>
      <c r="B86" s="72" t="s">
        <v>391</v>
      </c>
      <c r="C86" s="289" t="s">
        <v>5</v>
      </c>
      <c r="D86" s="300">
        <f>+'HS-009'!H48</f>
        <v>104244</v>
      </c>
    </row>
    <row r="87" spans="1:4">
      <c r="A87" s="296" t="s">
        <v>458</v>
      </c>
      <c r="B87" s="72" t="s">
        <v>459</v>
      </c>
      <c r="C87" s="289" t="s">
        <v>5</v>
      </c>
      <c r="D87" s="300">
        <f>+'HS-010'!H48</f>
        <v>81744</v>
      </c>
    </row>
    <row r="88" spans="1:4">
      <c r="A88" s="296" t="s">
        <v>460</v>
      </c>
      <c r="B88" s="293" t="s">
        <v>461</v>
      </c>
      <c r="C88" s="289" t="s">
        <v>5</v>
      </c>
      <c r="D88" s="300">
        <f>+'HS-011'!H48</f>
        <v>20303</v>
      </c>
    </row>
    <row r="89" spans="1:4" ht="28.8">
      <c r="A89" s="296" t="s">
        <v>493</v>
      </c>
      <c r="B89" s="390" t="s">
        <v>494</v>
      </c>
      <c r="C89" s="289" t="s">
        <v>5</v>
      </c>
      <c r="D89" s="300">
        <f>+'HS-012'!H48</f>
        <v>1547295</v>
      </c>
    </row>
    <row r="90" spans="1:4">
      <c r="A90" s="296" t="s">
        <v>495</v>
      </c>
      <c r="B90" s="72" t="s">
        <v>496</v>
      </c>
      <c r="C90" s="289" t="s">
        <v>249</v>
      </c>
      <c r="D90" s="300">
        <f>+'HS-013'!H48</f>
        <v>2155825</v>
      </c>
    </row>
    <row r="91" spans="1:4" ht="28.8">
      <c r="A91" s="296" t="s">
        <v>558</v>
      </c>
      <c r="B91" s="390" t="s">
        <v>559</v>
      </c>
      <c r="C91" s="289" t="s">
        <v>249</v>
      </c>
      <c r="D91" s="300">
        <f>+'HS-014'!H48</f>
        <v>148953</v>
      </c>
    </row>
    <row r="92" spans="1:4">
      <c r="A92" s="108" t="s">
        <v>705</v>
      </c>
      <c r="B92" s="72" t="s">
        <v>707</v>
      </c>
      <c r="C92" s="126" t="s">
        <v>249</v>
      </c>
      <c r="D92" s="300">
        <f>+'HS-015'!H48</f>
        <v>14762</v>
      </c>
    </row>
    <row r="94" spans="1:4">
      <c r="B94" s="72"/>
      <c r="C94" s="126"/>
      <c r="D94" s="300"/>
    </row>
    <row r="95" spans="1:4">
      <c r="A95" s="108" t="s">
        <v>364</v>
      </c>
      <c r="B95" s="261" t="s">
        <v>395</v>
      </c>
      <c r="C95" s="289"/>
      <c r="D95" s="303"/>
    </row>
    <row r="96" spans="1:4">
      <c r="A96" s="296" t="s">
        <v>386</v>
      </c>
      <c r="B96" s="72" t="s">
        <v>365</v>
      </c>
      <c r="C96" s="126" t="s">
        <v>9</v>
      </c>
      <c r="D96" s="300">
        <f>+'CIE-001'!H48</f>
        <v>65187</v>
      </c>
    </row>
    <row r="97" spans="1:7">
      <c r="A97" s="296" t="s">
        <v>387</v>
      </c>
      <c r="B97" s="288" t="s">
        <v>389</v>
      </c>
      <c r="C97" s="289" t="s">
        <v>249</v>
      </c>
      <c r="D97" s="300">
        <f>+'CIE-002'!H48</f>
        <v>47287</v>
      </c>
    </row>
    <row r="98" spans="1:7">
      <c r="A98" s="296" t="s">
        <v>394</v>
      </c>
      <c r="B98" s="288" t="s">
        <v>416</v>
      </c>
      <c r="C98" s="289" t="s">
        <v>9</v>
      </c>
      <c r="D98" s="300">
        <f>+'CIE-003'!H48</f>
        <v>72187</v>
      </c>
    </row>
    <row r="99" spans="1:7">
      <c r="A99" s="296" t="s">
        <v>444</v>
      </c>
      <c r="B99" s="288" t="s">
        <v>443</v>
      </c>
      <c r="C99" s="289" t="s">
        <v>249</v>
      </c>
      <c r="D99" s="300">
        <f>+'CIE-004'!H48</f>
        <v>33203</v>
      </c>
    </row>
    <row r="100" spans="1:7">
      <c r="A100" s="296" t="s">
        <v>452</v>
      </c>
      <c r="B100" s="288" t="s">
        <v>457</v>
      </c>
      <c r="C100" s="289" t="s">
        <v>9</v>
      </c>
      <c r="D100" s="300">
        <f>+'CIE-005'!H48</f>
        <v>41903</v>
      </c>
    </row>
    <row r="101" spans="1:7">
      <c r="A101" s="296" t="s">
        <v>462</v>
      </c>
      <c r="B101" s="288" t="s">
        <v>463</v>
      </c>
      <c r="C101" s="289" t="s">
        <v>249</v>
      </c>
      <c r="D101" s="300">
        <f>+'CIE-006'!H48</f>
        <v>40595</v>
      </c>
    </row>
    <row r="102" spans="1:7">
      <c r="A102" s="296" t="s">
        <v>464</v>
      </c>
      <c r="B102" s="371" t="s">
        <v>465</v>
      </c>
      <c r="C102" s="289" t="s">
        <v>249</v>
      </c>
      <c r="D102" s="300">
        <f>+'CIE-007'!H48</f>
        <v>40578</v>
      </c>
    </row>
    <row r="103" spans="1:7" ht="28.8">
      <c r="A103" s="296" t="s">
        <v>538</v>
      </c>
      <c r="B103" s="293" t="s">
        <v>539</v>
      </c>
      <c r="C103" s="289" t="s">
        <v>9</v>
      </c>
      <c r="D103" s="300">
        <f>+'CIE-008'!H48</f>
        <v>27168</v>
      </c>
    </row>
    <row r="104" spans="1:7">
      <c r="A104" s="296"/>
      <c r="B104" s="288"/>
      <c r="C104" s="289"/>
      <c r="D104" s="300"/>
    </row>
    <row r="105" spans="1:7">
      <c r="A105" s="296"/>
      <c r="B105" s="288"/>
      <c r="C105" s="289"/>
      <c r="D105" s="300"/>
    </row>
    <row r="106" spans="1:7">
      <c r="A106" s="108" t="s">
        <v>368</v>
      </c>
      <c r="B106" s="261" t="s">
        <v>396</v>
      </c>
      <c r="C106" s="126"/>
      <c r="D106" s="300"/>
    </row>
    <row r="107" spans="1:7">
      <c r="A107" s="296" t="s">
        <v>388</v>
      </c>
      <c r="B107" s="72" t="s">
        <v>422</v>
      </c>
      <c r="C107" s="269" t="s">
        <v>10</v>
      </c>
      <c r="D107" s="300">
        <f>+'LF-001'!H48</f>
        <v>30981</v>
      </c>
    </row>
    <row r="108" spans="1:7">
      <c r="B108" s="107"/>
      <c r="C108" s="108"/>
      <c r="D108" s="301"/>
    </row>
    <row r="109" spans="1:7">
      <c r="B109" s="267"/>
      <c r="C109" s="268"/>
      <c r="D109" s="302"/>
    </row>
    <row r="110" spans="1:7" ht="22.5" customHeight="1">
      <c r="B110" s="107"/>
      <c r="C110" s="108"/>
      <c r="D110" s="301"/>
    </row>
    <row r="111" spans="1:7" ht="22.5" customHeight="1">
      <c r="B111" s="72"/>
      <c r="C111" s="126"/>
      <c r="D111" s="300"/>
    </row>
    <row r="112" spans="1:7" ht="22.5" customHeight="1">
      <c r="B112" s="107"/>
      <c r="C112" s="108"/>
      <c r="D112" s="301"/>
      <c r="G112" s="122"/>
    </row>
    <row r="113" spans="1:4" ht="19.5" customHeight="1">
      <c r="B113" s="72"/>
      <c r="C113" s="108"/>
      <c r="D113" s="300"/>
    </row>
    <row r="114" spans="1:4">
      <c r="B114" s="72"/>
      <c r="C114" s="126"/>
      <c r="D114" s="300"/>
    </row>
    <row r="115" spans="1:4">
      <c r="A115" s="108" t="s">
        <v>531</v>
      </c>
      <c r="B115" s="399" t="s">
        <v>530</v>
      </c>
      <c r="C115" s="126"/>
      <c r="D115" s="300"/>
    </row>
    <row r="116" spans="1:4">
      <c r="A116" s="296" t="s">
        <v>532</v>
      </c>
      <c r="B116" s="72" t="s">
        <v>533</v>
      </c>
      <c r="C116" s="126" t="s">
        <v>5</v>
      </c>
      <c r="D116" s="300">
        <f>+'MED-001'!H48</f>
        <v>888031</v>
      </c>
    </row>
    <row r="117" spans="1:4" ht="43.2">
      <c r="A117" s="108" t="s">
        <v>542</v>
      </c>
      <c r="B117" s="390" t="s">
        <v>544</v>
      </c>
      <c r="C117" s="289" t="s">
        <v>5</v>
      </c>
      <c r="D117" s="300">
        <f>+'MED-002'!H48</f>
        <v>22102750</v>
      </c>
    </row>
    <row r="118" spans="1:4" ht="57.6">
      <c r="A118" s="296" t="s">
        <v>543</v>
      </c>
      <c r="B118" s="390" t="s">
        <v>635</v>
      </c>
      <c r="C118" s="289" t="s">
        <v>5</v>
      </c>
      <c r="D118" s="300">
        <f>+'MED-003'!H48</f>
        <v>4903732</v>
      </c>
    </row>
    <row r="119" spans="1:4" ht="43.2">
      <c r="A119" s="108" t="s">
        <v>545</v>
      </c>
      <c r="B119" s="390" t="s">
        <v>636</v>
      </c>
      <c r="C119" s="289" t="s">
        <v>5</v>
      </c>
      <c r="D119" s="300">
        <f>+'MED-004'!H48</f>
        <v>4452127</v>
      </c>
    </row>
    <row r="120" spans="1:4" ht="43.2">
      <c r="A120" s="108" t="s">
        <v>546</v>
      </c>
      <c r="B120" s="390" t="s">
        <v>637</v>
      </c>
      <c r="C120" s="289" t="s">
        <v>5</v>
      </c>
      <c r="D120" s="300">
        <f>+'MED-005'!H48</f>
        <v>4316109</v>
      </c>
    </row>
    <row r="121" spans="1:4" ht="57.6">
      <c r="A121" s="108" t="s">
        <v>547</v>
      </c>
      <c r="B121" s="390" t="s">
        <v>638</v>
      </c>
      <c r="C121" s="289" t="s">
        <v>5</v>
      </c>
      <c r="D121" s="300">
        <f>+'MED-006'!H48</f>
        <v>5219082</v>
      </c>
    </row>
    <row r="122" spans="1:4" ht="57.6">
      <c r="A122" s="108" t="s">
        <v>548</v>
      </c>
      <c r="B122" s="390" t="s">
        <v>639</v>
      </c>
      <c r="C122" s="289" t="s">
        <v>5</v>
      </c>
      <c r="D122" s="300">
        <f>+'MED-007'!H48</f>
        <v>4330747</v>
      </c>
    </row>
    <row r="123" spans="1:4" ht="43.2">
      <c r="A123" s="108" t="s">
        <v>549</v>
      </c>
      <c r="B123" s="390" t="s">
        <v>640</v>
      </c>
      <c r="C123" s="289" t="s">
        <v>5</v>
      </c>
      <c r="D123" s="300">
        <f>+'MED-008'!H48</f>
        <v>4508294</v>
      </c>
    </row>
    <row r="124" spans="1:4" ht="43.2">
      <c r="A124" s="108" t="s">
        <v>642</v>
      </c>
      <c r="B124" s="390" t="s">
        <v>641</v>
      </c>
      <c r="C124" s="289" t="s">
        <v>5</v>
      </c>
      <c r="D124" s="300">
        <f>+'MED-009'!H48</f>
        <v>3386719</v>
      </c>
    </row>
    <row r="125" spans="1:4">
      <c r="A125" s="296" t="s">
        <v>647</v>
      </c>
      <c r="B125" s="390" t="s">
        <v>654</v>
      </c>
      <c r="C125" s="126" t="s">
        <v>249</v>
      </c>
      <c r="D125" s="300">
        <f>+'MED-010'!H48</f>
        <v>987526</v>
      </c>
    </row>
    <row r="126" spans="1:4">
      <c r="A126" s="108" t="s">
        <v>648</v>
      </c>
      <c r="B126" s="72" t="s">
        <v>649</v>
      </c>
      <c r="C126" s="126" t="s">
        <v>249</v>
      </c>
      <c r="D126" s="300">
        <f>+'MED-011'!H48</f>
        <v>291896</v>
      </c>
    </row>
    <row r="127" spans="1:4">
      <c r="B127" s="72"/>
      <c r="C127" s="72"/>
      <c r="D127" s="300"/>
    </row>
    <row r="128" spans="1:4">
      <c r="B128" s="72"/>
      <c r="C128" s="72"/>
      <c r="D128" s="300"/>
    </row>
    <row r="129" spans="1:4">
      <c r="B129" s="72"/>
      <c r="C129" s="72"/>
      <c r="D129" s="300"/>
    </row>
    <row r="130" spans="1:4">
      <c r="A130" s="419" t="s">
        <v>663</v>
      </c>
      <c r="B130" s="399" t="s">
        <v>664</v>
      </c>
      <c r="C130" s="72"/>
      <c r="D130" s="300"/>
    </row>
    <row r="131" spans="1:4" ht="28.8">
      <c r="A131" s="268" t="s">
        <v>665</v>
      </c>
      <c r="B131" s="390" t="s">
        <v>666</v>
      </c>
      <c r="C131" s="289" t="s">
        <v>10</v>
      </c>
      <c r="D131" s="300">
        <f>+'PAV-001'!H48</f>
        <v>493862</v>
      </c>
    </row>
    <row r="132" spans="1:4" ht="28.8">
      <c r="A132" s="108" t="s">
        <v>667</v>
      </c>
      <c r="B132" s="390" t="s">
        <v>693</v>
      </c>
      <c r="C132" s="289" t="s">
        <v>10</v>
      </c>
      <c r="D132" s="300">
        <f>+'PAV-002'!H49</f>
        <v>1195941</v>
      </c>
    </row>
    <row r="133" spans="1:4">
      <c r="A133" s="108" t="s">
        <v>668</v>
      </c>
      <c r="B133" s="72" t="s">
        <v>669</v>
      </c>
      <c r="C133" s="289" t="s">
        <v>11</v>
      </c>
      <c r="D133" s="300">
        <f>+'PAV-003'!H48</f>
        <v>10979</v>
      </c>
    </row>
    <row r="134" spans="1:4" ht="33" customHeight="1">
      <c r="A134" s="108" t="s">
        <v>670</v>
      </c>
      <c r="B134" s="72" t="s">
        <v>671</v>
      </c>
      <c r="C134" s="289" t="s">
        <v>249</v>
      </c>
      <c r="D134" s="300">
        <f>+'PAV-004'!H48</f>
        <v>129259</v>
      </c>
    </row>
    <row r="135" spans="1:4">
      <c r="A135" s="108" t="s">
        <v>680</v>
      </c>
      <c r="B135" s="72" t="s">
        <v>681</v>
      </c>
      <c r="C135" s="126" t="s">
        <v>10</v>
      </c>
      <c r="D135" s="300"/>
    </row>
    <row r="136" spans="1:4">
      <c r="A136" s="108" t="s">
        <v>695</v>
      </c>
      <c r="B136" s="72" t="s">
        <v>694</v>
      </c>
      <c r="C136" s="126" t="s">
        <v>10</v>
      </c>
      <c r="D136" s="300">
        <f>+'PAV-006'!H49</f>
        <v>1247734</v>
      </c>
    </row>
    <row r="137" spans="1:4">
      <c r="B137" s="72"/>
      <c r="C137" s="72"/>
      <c r="D137" s="300"/>
    </row>
    <row r="138" spans="1:4">
      <c r="B138" s="72"/>
      <c r="C138" s="72"/>
      <c r="D138" s="300"/>
    </row>
    <row r="139" spans="1:4">
      <c r="B139" s="72"/>
      <c r="C139" s="72"/>
      <c r="D139" s="300"/>
    </row>
    <row r="140" spans="1:4" ht="24" customHeight="1">
      <c r="B140" s="72"/>
      <c r="C140" s="72"/>
      <c r="D140" s="300"/>
    </row>
    <row r="141" spans="1:4">
      <c r="B141" s="72"/>
      <c r="C141" s="72"/>
      <c r="D141" s="300"/>
    </row>
    <row r="142" spans="1:4">
      <c r="B142" s="72"/>
      <c r="C142" s="72"/>
      <c r="D142" s="300"/>
    </row>
    <row r="143" spans="1:4">
      <c r="B143" s="72"/>
      <c r="C143" s="72"/>
      <c r="D143" s="300"/>
    </row>
    <row r="144" spans="1:4">
      <c r="B144" s="72"/>
      <c r="C144" s="72"/>
      <c r="D144" s="300"/>
    </row>
    <row r="145" spans="2:4">
      <c r="B145" s="72"/>
      <c r="C145" s="72"/>
      <c r="D145" s="300"/>
    </row>
    <row r="146" spans="2:4">
      <c r="B146" s="72"/>
      <c r="C146" s="72"/>
      <c r="D146" s="300"/>
    </row>
    <row r="147" spans="2:4">
      <c r="B147" s="72"/>
      <c r="C147" s="72"/>
      <c r="D147" s="300"/>
    </row>
    <row r="148" spans="2:4">
      <c r="B148" s="72"/>
      <c r="C148" s="72"/>
      <c r="D148" s="300"/>
    </row>
    <row r="149" spans="2:4">
      <c r="B149" s="72"/>
      <c r="C149" s="72"/>
      <c r="D149" s="300"/>
    </row>
    <row r="150" spans="2:4">
      <c r="B150" s="72"/>
      <c r="C150" s="72"/>
      <c r="D150" s="300"/>
    </row>
    <row r="151" spans="2:4">
      <c r="B151" s="72"/>
      <c r="C151" s="72"/>
      <c r="D151" s="300"/>
    </row>
  </sheetData>
  <phoneticPr fontId="8" type="noConversion"/>
  <hyperlinks>
    <hyperlink ref="A3" location="'P-0001'!A1" display="P-0001" xr:uid="{D270111A-C4C8-4D0F-A46C-04E44493DA53}"/>
    <hyperlink ref="A4:A8" location="'P-0001'!A1" display="P-0001" xr:uid="{392950A8-9ACC-4351-B5C4-2D24E9353A08}"/>
    <hyperlink ref="A4" location="'P-0002'!A1" display="P-0002" xr:uid="{A20651BA-2600-4818-959A-58266751F270}"/>
    <hyperlink ref="A5" location="'P-0003'!A1" display="P-0003" xr:uid="{1EF7E35C-B981-4B7E-9885-9E1BB0877C36}"/>
    <hyperlink ref="A6" location="'P-0004'!A1" display="P-0004" xr:uid="{650EEF44-9F1C-4BF2-9E19-273C006E0973}"/>
    <hyperlink ref="A7" location="'P-0005'!A1" display="P-0005" xr:uid="{BC54D49D-D650-4017-802A-9B9DE4108477}"/>
    <hyperlink ref="A8" location="'P-0006'!A1" display="P-0006" xr:uid="{1DF2871F-D8EF-4310-9704-2BD4754EDFEA}"/>
    <hyperlink ref="A25" location="'PTA-001'!A1" display="PTA-001" xr:uid="{70EF5542-1A19-45B6-9A2B-45C753FABA57}"/>
    <hyperlink ref="A26" location="'PTA-002'!A1" display="PTA-002" xr:uid="{A56A543C-90AD-494B-8AB9-00620B9D4457}"/>
    <hyperlink ref="A27" location="'PTA-003'!A1" display="PTA-003" xr:uid="{9D8D2C57-85D2-497F-9751-6250D6863A06}"/>
    <hyperlink ref="A28" location="'PTA-004'!A1" display="PTA-004" xr:uid="{CA07D08F-8DCB-442C-A957-81B35C1D7FC7}"/>
    <hyperlink ref="A29" location="'PTA-005'!A1" display="PTA-005" xr:uid="{990702E7-E616-4FE1-B30E-2840A9704A34}"/>
    <hyperlink ref="A30" location="'PTA-006'!A1" display="PTA-006" xr:uid="{36987081-6470-463D-A78E-AAA83181979D}"/>
    <hyperlink ref="A9" location="'P-0001'!A1" display="P-0001" xr:uid="{3B09153B-631E-4878-8A27-49C3782FC3D2}"/>
    <hyperlink ref="A49" location="'CMR-001'!A1" display="CMR-001" xr:uid="{2AF239D2-E79A-4215-A598-FDA1E56C0AC5}"/>
    <hyperlink ref="A50" location="'CMR-002'!A1" display="CMR-002" xr:uid="{26920FF9-F51F-4DA4-888D-87998A275668}"/>
    <hyperlink ref="A66" location="'ELC-003'!A1" display="ELC-003" xr:uid="{4D68B427-446E-47C3-8AC8-7113D0E63726}"/>
    <hyperlink ref="A78" location="'HS-001'!A1" display="HS-001" xr:uid="{84FB5D3A-10C8-478C-8903-ABF4D2139A68}"/>
    <hyperlink ref="A79" location="'HS-002'!A1" display="HS-002" xr:uid="{36399037-1671-4557-BCF2-B50F0CC3907A}"/>
    <hyperlink ref="A80" location="'HS-003'!A1" display="HS-003" xr:uid="{6A9F08EC-29EB-46F1-9B66-94D079F579C5}"/>
    <hyperlink ref="A81" location="'HS-004'!A1" display="HS-004" xr:uid="{56CCF639-05A1-4EEC-9676-05AB5984B974}"/>
    <hyperlink ref="A82" location="'HS-005'!A1" display="HS-005" xr:uid="{3453C461-4F5F-4A47-BE2B-23DC961873A1}"/>
    <hyperlink ref="A83" location="'HS-006'!A1" display="HS-006" xr:uid="{7C94CB60-EE3E-4CD1-8ED8-4AF2F15AC96D}"/>
    <hyperlink ref="A84" location="'HS-007'!A1" display="HS-007" xr:uid="{F5010450-BB26-47D8-B5C9-30953536D5AC}"/>
    <hyperlink ref="A85" location="'HS-008'!A1" display="HS-008" xr:uid="{1F4F09AF-223E-48BF-BFCB-6CE69FE744D6}"/>
    <hyperlink ref="A86" location="'HS-009'!A1" display="HS-009" xr:uid="{ECE091C9-FF49-40DF-B3B2-C0EA9EB2FFB6}"/>
    <hyperlink ref="A96" location="'CIE-001'!A1" display="CIE-001" xr:uid="{37D759F8-4C5F-46C6-BD7E-CFC950B518E4}"/>
    <hyperlink ref="A97" location="'CIE-002'!A1" display="CIE-002" xr:uid="{A34071C8-EF1D-4B38-9295-B2359EA1AA73}"/>
    <hyperlink ref="A98" location="'CIE-003'!A1" display="CIE-003" xr:uid="{D21F849F-C516-4B86-8DB9-E4D02B3F4BF4}"/>
    <hyperlink ref="A67" location="'ELC-004'!A1" display="ELC-004" xr:uid="{C27939FE-CA1B-4D48-99C3-2BD0F08A44D0}"/>
    <hyperlink ref="A68" location="'ELC-005'!A1" display="ELC-005" xr:uid="{01185274-B054-4464-8FAD-ACA7FA28EA6B}"/>
    <hyperlink ref="A69" location="'ELC-006'!A1" display="ELC-006" xr:uid="{286B6638-3690-4A90-BBC3-6B60F621FC06}"/>
    <hyperlink ref="A99" location="'CIE-004'!A1" display="CIE-004" xr:uid="{6B62D21D-6344-4DD9-B7D0-330AEB8FE9AE}"/>
    <hyperlink ref="A70" location="'ELC-007'!A1" display="ELC-007" xr:uid="{8177B7F9-24DC-4356-AB75-E3E8B21614EB}"/>
    <hyperlink ref="A100" location="'CIE-005'!A1" display="CIE-005" xr:uid="{C7929079-925B-4A48-8FDF-45247B32FC98}"/>
    <hyperlink ref="A87" location="'HS-010'!A1" display="HS-010" xr:uid="{B535ACA6-43D7-488D-88AE-1F275BDFE418}"/>
    <hyperlink ref="A88" location="'HS-011'!A1" display="HS-011" xr:uid="{90215FFA-B230-42D4-9CC0-EFF5A4EB923A}"/>
    <hyperlink ref="A101" location="'CIE-006'!A1" display="CIE-006" xr:uid="{70A9395D-CD3A-47EF-A79A-ADF8639D141D}"/>
    <hyperlink ref="A102" location="'CIE-007'!A1" display="CIE-007" xr:uid="{38AE94CD-3D77-458D-A0D8-9AE8AA494D31}"/>
    <hyperlink ref="A52" location="'CMR-004'!A1" display="CMR-004" xr:uid="{209CCCCB-2B2B-4586-90FB-3833E4180503}"/>
    <hyperlink ref="A31" location="'PTA-007'!A1" display="PTA-007" xr:uid="{534653F1-F88A-4C0C-A853-D9DEDCE5674E}"/>
    <hyperlink ref="A32" location="'PTA-008'!A1" display="PTA-008" xr:uid="{51E2791E-1DCC-4126-B442-86E4BB5E4F9E}"/>
    <hyperlink ref="A33" location="'PTA-009'!A1" display="PTA-009" xr:uid="{39078262-498C-462D-9201-562067A383BD}"/>
    <hyperlink ref="A89" location="'HS-012'!A1" display="HS-012" xr:uid="{00FC4987-5BAA-4380-878D-1AA275B3F9F4}"/>
    <hyperlink ref="A10" location="'P-0008'!A1" display="P-0008" xr:uid="{8DFAE628-C37F-4B99-BFFC-F93C15B8CE4D}"/>
    <hyperlink ref="A11" location="'P-0009'!A1" display="P-0009" xr:uid="{37E74A8B-8C17-41D7-AD14-697819F2DB0C}"/>
    <hyperlink ref="A12" location="'P-0010'!A1" display="P-0010" xr:uid="{CDBDD979-EF33-427D-B227-50AB85843C31}"/>
    <hyperlink ref="A13" location="'P-0011'!A1" display="P-0011" xr:uid="{3AC083FB-8EFD-40A7-9BB6-EE8B52397E92}"/>
    <hyperlink ref="A107" location="'LF-001'!A1" display="LF-001" xr:uid="{21C21484-8468-4E33-87A5-853C2707B55A}"/>
    <hyperlink ref="A34" location="'PTA-010'!A1" display="PTA-010" xr:uid="{3CA4EFFC-0D8E-456E-A742-ADC6C5E86FE7}"/>
    <hyperlink ref="A35" location="'PTA-011'!A1" display="PTA-011" xr:uid="{49DD04DE-AD4D-41C2-BD3B-75F13CC1FAC9}"/>
    <hyperlink ref="A37" location="'PTA-013'!A1" display="PTA-013" xr:uid="{BB373E9D-C7C2-4537-B2D2-32483A80A824}"/>
    <hyperlink ref="A36" location="'PTA-012'!A1" display="PTA-012" xr:uid="{C9B81C01-4E98-4913-A732-7A2D79C9AE3B}"/>
    <hyperlink ref="A38" location="'PTA-014'!A1" display="PTA-014" xr:uid="{3D94B91F-75C3-4B02-9F9F-B246F6914007}"/>
    <hyperlink ref="A39" location="'PTA-015'!A1" display="PTA-015" xr:uid="{49598C58-0077-412E-A467-AE7044932C1C}"/>
    <hyperlink ref="A71" location="'ELC-008'!A1" display="ELC-008" xr:uid="{3AB7CAEB-2D3D-46B2-8AF5-7ADCA4E73C59}"/>
    <hyperlink ref="A116" location="'MED-001'!A1" display="MED-001" xr:uid="{83C8C65B-8DC5-4372-BB3C-6A7B4B9ED282}"/>
    <hyperlink ref="A90" location="'HS-013'!A1" display="HS-013" xr:uid="{221ADF19-0EFA-4F74-AA9C-C55486A0336F}"/>
    <hyperlink ref="A103" location="'CIE-008'!A1" display="CIE-008" xr:uid="{DBAC85B2-A42D-41BC-9117-4B0DD00E8DAF}"/>
    <hyperlink ref="A40" location="'PTA-016'!A1" display="PTA-016" xr:uid="{D8CBE5A7-6341-42D0-9718-FFAB03BE9058}"/>
    <hyperlink ref="A41" location="'PTA-017'!A1" display="PTA-017" xr:uid="{0AE35A0E-C116-459B-A1F2-34EB39EC9464}"/>
    <hyperlink ref="A42" location="'PTA-018'!A1" display="PTA-018" xr:uid="{8234B7C5-BD31-43A3-9357-681AB336CC06}"/>
    <hyperlink ref="A43" location="'PTA-019'!A1" display="PTA-019" xr:uid="{39AB8F5B-0B5A-4D02-B03B-B6B79DDFE6A2}"/>
    <hyperlink ref="A44" location="'PTA-020'!A1" display="PTA-020" xr:uid="{CFE452B6-AC97-4516-A840-C0C2DA5A96FF}"/>
    <hyperlink ref="A55" location="'CMR-007'!A1" display="CMR-007" xr:uid="{FE176908-9A2B-4838-BDB2-FE96779F2AB4}"/>
    <hyperlink ref="A56" location="'CMR-008'!A1" display="CMR-008" xr:uid="{E11B8EA6-7680-46AD-B0B8-55E23DB41F2E}"/>
    <hyperlink ref="A57" location="'CMR-009'!A1" display="CMR-009" xr:uid="{AE8FFE7C-D3DF-45E5-B083-2DFB63BD97B6}"/>
    <hyperlink ref="A118" location="'MED-003'!A1" display="MED-003" xr:uid="{AA66AB93-B4B6-424A-ADEE-CF901CDEB94C}"/>
    <hyperlink ref="A125" location="'MED-010'!A1" display="MED-010" xr:uid="{788852D6-FAB3-4B02-9025-3F9FC730EF35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C0886-9AE8-4E83-8D96-62AB86DB7EA9}">
  <dimension ref="A1:I154"/>
  <sheetViews>
    <sheetView topLeftCell="A83" workbookViewId="0">
      <selection activeCell="H95" sqref="H95"/>
    </sheetView>
  </sheetViews>
  <sheetFormatPr baseColWidth="10" defaultRowHeight="14.4"/>
  <cols>
    <col min="1" max="1" width="11.5546875" style="108"/>
    <col min="2" max="2" width="54" customWidth="1"/>
    <col min="3" max="3" width="11.88671875" style="108" customWidth="1"/>
    <col min="5" max="5" width="18.77734375" style="118" customWidth="1"/>
    <col min="6" max="9" width="18.77734375" customWidth="1"/>
  </cols>
  <sheetData>
    <row r="1" spans="1:9" ht="17.25" customHeight="1">
      <c r="A1" s="311" t="s">
        <v>335</v>
      </c>
      <c r="B1" s="310" t="s">
        <v>325</v>
      </c>
      <c r="C1" s="310" t="s">
        <v>5</v>
      </c>
      <c r="D1" s="133" t="s">
        <v>265</v>
      </c>
      <c r="E1" s="311" t="s">
        <v>397</v>
      </c>
      <c r="F1" s="311" t="s">
        <v>398</v>
      </c>
      <c r="G1" s="311" t="s">
        <v>399</v>
      </c>
      <c r="H1" s="311" t="s">
        <v>400</v>
      </c>
      <c r="I1" s="312" t="s">
        <v>401</v>
      </c>
    </row>
    <row r="2" spans="1:9" ht="17.25" customHeight="1">
      <c r="A2" s="319" t="str">
        <f>+LIST!A1</f>
        <v>ID</v>
      </c>
      <c r="B2" s="73"/>
      <c r="C2" s="125"/>
      <c r="D2" s="74"/>
      <c r="E2" s="114" t="s">
        <v>252</v>
      </c>
      <c r="F2" s="114" t="s">
        <v>253</v>
      </c>
      <c r="G2" s="114" t="s">
        <v>256</v>
      </c>
      <c r="H2" s="114" t="s">
        <v>257</v>
      </c>
      <c r="I2" s="306" t="s">
        <v>258</v>
      </c>
    </row>
    <row r="3" spans="1:9">
      <c r="A3" s="321" t="str">
        <f>+LIST!A2</f>
        <v>P</v>
      </c>
      <c r="B3" s="329" t="str">
        <f>+LIST!B2</f>
        <v>PRELIMINARES (P)</v>
      </c>
      <c r="C3" s="323"/>
      <c r="D3" s="324"/>
      <c r="E3" s="325"/>
      <c r="F3" s="326"/>
      <c r="G3" s="326"/>
      <c r="H3" s="327"/>
      <c r="I3" s="328"/>
    </row>
    <row r="4" spans="1:9">
      <c r="A4" s="108" t="str">
        <f>+LIST!A3</f>
        <v>P-0001</v>
      </c>
      <c r="B4" s="82" t="str">
        <f>+_xlfn.XLOOKUP($A4,LIST[ID],LIST[DESCRIPCIÓN])</f>
        <v>DEMOLICIÓN PLACA e= 0.10m INCLUYE TRANSPORTE</v>
      </c>
      <c r="C4" s="3" t="str">
        <f>+_xlfn.XLOOKUP($A4,LIST[ID],LIST[UNIDAD])</f>
        <v>M2</v>
      </c>
      <c r="D4" s="3" t="s">
        <v>251</v>
      </c>
      <c r="E4" s="115">
        <v>0.8</v>
      </c>
      <c r="F4" s="119">
        <v>0.55000000000000004</v>
      </c>
      <c r="G4" s="115">
        <v>0.4</v>
      </c>
      <c r="H4" s="115">
        <v>0.35</v>
      </c>
      <c r="I4" s="307"/>
    </row>
    <row r="5" spans="1:9" ht="29.4" customHeight="1">
      <c r="A5" s="108" t="str">
        <f>+LIST!A4</f>
        <v>P-0002</v>
      </c>
      <c r="B5" s="320" t="str">
        <f>+_xlfn.XLOOKUP($A5,LIST[ID],LIST[DESCRIPCIÓN])</f>
        <v>DEMOLICIÓN MURO LADRILLO HASTA 15 CM ANCHO, INCLUYE RETIRO DE ESCOMBROS A 5 KM</v>
      </c>
      <c r="C5" s="3" t="str">
        <f>+_xlfn.XLOOKUP($A5,LIST[ID],LIST[UNIDAD])</f>
        <v>M2</v>
      </c>
      <c r="D5" s="76" t="s">
        <v>251</v>
      </c>
      <c r="E5" s="115"/>
      <c r="F5" s="119">
        <v>0.5</v>
      </c>
      <c r="G5" s="71"/>
      <c r="H5" s="115"/>
      <c r="I5" s="131"/>
    </row>
    <row r="6" spans="1:9" ht="28.8">
      <c r="A6" s="108" t="str">
        <f>+LIST!A5</f>
        <v>P-0003</v>
      </c>
      <c r="B6" s="320" t="str">
        <f>+_xlfn.XLOOKUP($A6,LIST[ID],LIST[DESCRIPCIÓN])</f>
        <v>DESMONTE DE MOTOBOMBAS, TABLEROS, Y ELEMENTOS ELECTRONICOS.</v>
      </c>
      <c r="C6" s="3" t="str">
        <f>+_xlfn.XLOOKUP($A6,LIST[ID],LIST[UNIDAD])</f>
        <v>GLOBAL</v>
      </c>
      <c r="D6" s="3" t="s">
        <v>251</v>
      </c>
      <c r="E6" s="115"/>
      <c r="F6" s="115"/>
      <c r="G6" s="115">
        <v>10</v>
      </c>
      <c r="H6" s="115"/>
      <c r="I6" s="307"/>
    </row>
    <row r="7" spans="1:9">
      <c r="A7" s="108" t="str">
        <f>+LIST!A6</f>
        <v>P-0004</v>
      </c>
      <c r="B7" s="82" t="str">
        <f>+_xlfn.XLOOKUP($A7,LIST[ID],LIST[DESCRIPCIÓN])</f>
        <v>RETIRO DE ADOQUIN DEFECTUOSO Y EN MAL ESTADO</v>
      </c>
      <c r="C7" s="3" t="str">
        <f>+_xlfn.XLOOKUP($A7,LIST[ID],LIST[UNIDAD])</f>
        <v>M2</v>
      </c>
      <c r="D7" s="76" t="s">
        <v>251</v>
      </c>
      <c r="E7" s="115"/>
      <c r="F7" s="115">
        <v>0.3</v>
      </c>
      <c r="G7" s="115">
        <v>0.23</v>
      </c>
      <c r="H7" s="115"/>
      <c r="I7" s="308"/>
    </row>
    <row r="8" spans="1:9">
      <c r="A8" s="108" t="str">
        <f>+LIST!A7</f>
        <v>P-0005</v>
      </c>
      <c r="B8" s="82" t="str">
        <f>+_xlfn.XLOOKUP($A8,LIST[ID],LIST[DESCRIPCIÓN])</f>
        <v>EXCAVACIÓN MANUAL EN MATERIAL COMÚN 0-2 MTS</v>
      </c>
      <c r="C8" s="3" t="str">
        <f>+_xlfn.XLOOKUP($A8,LIST[ID],LIST[UNIDAD])</f>
        <v>M3</v>
      </c>
      <c r="D8" s="83" t="s">
        <v>251</v>
      </c>
      <c r="E8" s="115"/>
      <c r="F8" s="115">
        <v>0.7</v>
      </c>
      <c r="G8" s="116">
        <v>0.56999999999999995</v>
      </c>
      <c r="H8" s="115">
        <v>0.48</v>
      </c>
      <c r="I8" s="309"/>
    </row>
    <row r="9" spans="1:9">
      <c r="A9" s="108" t="str">
        <f>+LIST!A8</f>
        <v>P-0006</v>
      </c>
      <c r="B9" s="82" t="str">
        <f>+_xlfn.XLOOKUP($A9,LIST[ID],LIST[DESCRIPCIÓN])</f>
        <v xml:space="preserve">RELLENO EN ARENA </v>
      </c>
      <c r="C9" s="3" t="str">
        <f>+_xlfn.XLOOKUP($A9,LIST[ID],LIST[UNIDAD])</f>
        <v>M3</v>
      </c>
      <c r="D9" s="83" t="s">
        <v>251</v>
      </c>
      <c r="E9" s="115"/>
      <c r="F9" s="115">
        <v>0.3</v>
      </c>
      <c r="G9" s="116">
        <v>0.25</v>
      </c>
      <c r="H9" s="115">
        <v>0.23</v>
      </c>
      <c r="I9" s="309"/>
    </row>
    <row r="10" spans="1:9">
      <c r="A10" s="108" t="str">
        <f>+LIST!A9</f>
        <v>P-0007</v>
      </c>
      <c r="B10" s="82" t="str">
        <f>+_xlfn.XLOOKUP($A10,LIST[ID],LIST[DESCRIPCIÓN])</f>
        <v>DESMONTE DE APARATOS SANITARIOS</v>
      </c>
      <c r="C10" s="3" t="str">
        <f>+_xlfn.XLOOKUP($A10,LIST[ID],LIST[UNIDAD])</f>
        <v>UND</v>
      </c>
      <c r="D10" s="83" t="s">
        <v>251</v>
      </c>
      <c r="E10" s="115">
        <v>2.1</v>
      </c>
      <c r="F10" s="115">
        <v>1.6</v>
      </c>
      <c r="G10" s="116">
        <v>1.3</v>
      </c>
      <c r="H10" s="115"/>
      <c r="I10" s="309"/>
    </row>
    <row r="11" spans="1:9">
      <c r="A11" s="108" t="str">
        <f>+LIST!A10</f>
        <v>P-0008</v>
      </c>
      <c r="B11" s="82" t="str">
        <f>+_xlfn.XLOOKUP($A11,LIST[ID],LIST[DESCRIPCIÓN])</f>
        <v>LOCALIZACIÓN Y REPLANTEO (AREA)</v>
      </c>
      <c r="C11" s="3" t="str">
        <f>+_xlfn.XLOOKUP($A11,LIST[ID],LIST[UNIDAD])</f>
        <v>M2</v>
      </c>
      <c r="D11" s="83" t="s">
        <v>251</v>
      </c>
      <c r="E11" s="315">
        <v>0.05</v>
      </c>
      <c r="F11" s="337"/>
      <c r="G11" s="347"/>
      <c r="H11" s="336">
        <f t="shared" ref="H11:H12" si="0">+AVERAGE(E11:G11)</f>
        <v>0.05</v>
      </c>
      <c r="I11" s="377"/>
    </row>
    <row r="12" spans="1:9">
      <c r="A12" s="108" t="str">
        <f>+LIST!A11</f>
        <v>P-0009</v>
      </c>
      <c r="B12" s="82" t="str">
        <f>+_xlfn.XLOOKUP($A12,LIST[ID],LIST[DESCRIPCIÓN])</f>
        <v>DEMOLICIÓN DE PLACA CONCRETO e=0.15m INCLUYE TRANSPORTE</v>
      </c>
      <c r="C12" s="3" t="str">
        <f>+_xlfn.XLOOKUP($A12,LIST[ID],LIST[UNIDAD])</f>
        <v>M2</v>
      </c>
      <c r="D12" s="83" t="s">
        <v>251</v>
      </c>
      <c r="E12" s="315">
        <v>0.9</v>
      </c>
      <c r="F12" s="337">
        <v>0.65</v>
      </c>
      <c r="G12" s="347"/>
      <c r="H12" s="336">
        <f t="shared" si="0"/>
        <v>0.77500000000000002</v>
      </c>
      <c r="I12" s="377"/>
    </row>
    <row r="13" spans="1:9">
      <c r="A13" s="108" t="str">
        <f>+LIST!A12</f>
        <v>P-0010</v>
      </c>
      <c r="B13" s="82" t="str">
        <f>+_xlfn.XLOOKUP($A13,LIST[ID],LIST[DESCRIPCIÓN])</f>
        <v>DEMOLICIÓN DE MURO EN CONCRETO REFORZADO INCLUYE TRANSPORTE</v>
      </c>
      <c r="C13" s="3" t="str">
        <f>+_xlfn.XLOOKUP($A13,LIST[ID],LIST[UNIDAD])</f>
        <v>M2</v>
      </c>
      <c r="D13" s="83" t="s">
        <v>251</v>
      </c>
      <c r="E13" s="315">
        <v>1.2</v>
      </c>
      <c r="F13" s="337">
        <v>1.1000000000000001</v>
      </c>
      <c r="G13" s="347"/>
      <c r="H13" s="336"/>
      <c r="I13" s="377"/>
    </row>
    <row r="14" spans="1:9">
      <c r="A14" s="108" t="str">
        <f>+LIST!A13</f>
        <v>P-0011</v>
      </c>
      <c r="B14" s="82" t="str">
        <f>+_xlfn.XLOOKUP($A14,LIST[ID],LIST[DESCRIPCIÓN])</f>
        <v>EXCAVACIÓN MECANICA EN MATERIAL COMÚN</v>
      </c>
      <c r="C14" s="3" t="str">
        <f>+_xlfn.XLOOKUP($A14,LIST[ID],LIST[UNIDAD])</f>
        <v>M3</v>
      </c>
      <c r="D14" s="83" t="s">
        <v>251</v>
      </c>
      <c r="E14" s="315">
        <v>0.12</v>
      </c>
      <c r="F14" s="337">
        <v>0.1</v>
      </c>
      <c r="G14" s="347"/>
      <c r="H14" s="336">
        <f t="shared" ref="H14" si="1">+AVERAGE(E14:G14)</f>
        <v>0.11</v>
      </c>
      <c r="I14" s="377"/>
    </row>
    <row r="15" spans="1:9">
      <c r="A15" s="108" t="str">
        <f>+LIST!A14</f>
        <v>P-0012</v>
      </c>
      <c r="B15" s="82" t="str">
        <f>+_xlfn.XLOOKUP($A15,LIST[ID],LIST[DESCRIPCIÓN])</f>
        <v>RELLENO EN RECEBO COMPACTADO</v>
      </c>
      <c r="C15" s="3" t="str">
        <f>+_xlfn.XLOOKUP($A15,LIST[ID],LIST[UNIDAD])</f>
        <v>M3</v>
      </c>
      <c r="D15" s="83" t="s">
        <v>251</v>
      </c>
      <c r="E15" s="315"/>
      <c r="F15" s="337">
        <v>0.2</v>
      </c>
      <c r="G15" s="347"/>
      <c r="H15" s="336"/>
      <c r="I15" s="377"/>
    </row>
    <row r="16" spans="1:9">
      <c r="A16" s="108" t="str">
        <f>+LIST!A15</f>
        <v>P-0013</v>
      </c>
      <c r="B16" s="82" t="str">
        <f>+_xlfn.XLOOKUP($A16,LIST[ID],LIST[DESCRIPCIÓN])</f>
        <v>DESCAPOTE MANUAL DE TERRENO E=0,15 CM, INCLUYE RETIRO</v>
      </c>
      <c r="C16" s="3" t="str">
        <f>+_xlfn.XLOOKUP($A16,LIST[ID],LIST[UNIDAD])</f>
        <v>M2</v>
      </c>
      <c r="D16" s="83" t="s">
        <v>251</v>
      </c>
      <c r="E16" s="315">
        <v>0.26</v>
      </c>
      <c r="F16" s="337"/>
      <c r="G16" s="347"/>
      <c r="H16" s="336"/>
      <c r="I16" s="377"/>
    </row>
    <row r="17" spans="1:9">
      <c r="A17" s="108" t="str">
        <f>+LIST!A16</f>
        <v>P-0014</v>
      </c>
      <c r="B17" s="82" t="str">
        <f>+_xlfn.XLOOKUP($A17,LIST[ID],LIST[DESCRIPCIÓN])</f>
        <v>DESMONTE DE CUBIERTA EXISTENTE</v>
      </c>
      <c r="C17" s="3" t="str">
        <f>+_xlfn.XLOOKUP($A17,LIST[ID],LIST[UNIDAD])</f>
        <v>M2</v>
      </c>
      <c r="D17" s="83" t="s">
        <v>251</v>
      </c>
      <c r="E17" s="315"/>
      <c r="F17" s="337">
        <v>0.35</v>
      </c>
      <c r="G17" s="116"/>
      <c r="H17" s="115"/>
      <c r="I17" s="309"/>
    </row>
    <row r="18" spans="1:9">
      <c r="A18" s="108" t="str">
        <f>+LIST!A17</f>
        <v>P-0015</v>
      </c>
      <c r="B18" s="82" t="str">
        <f>+_xlfn.XLOOKUP($A18,LIST[ID],LIST[DESCRIPCIÓN])</f>
        <v>LAVADO DE SUPERFICIE DE CANCHA CON ACIDO MURIATICO 10%</v>
      </c>
      <c r="C18" s="3" t="str">
        <f>+_xlfn.XLOOKUP($A18,LIST[ID],LIST[UNIDAD])</f>
        <v>M2</v>
      </c>
      <c r="D18" s="83" t="s">
        <v>251</v>
      </c>
      <c r="E18" s="315">
        <v>0.1</v>
      </c>
      <c r="F18" s="115"/>
      <c r="G18" s="116"/>
      <c r="H18" s="115"/>
      <c r="I18" s="309"/>
    </row>
    <row r="19" spans="1:9">
      <c r="A19" s="108" t="str">
        <f>+LIST!A18</f>
        <v>P-0016</v>
      </c>
      <c r="B19" s="82" t="str">
        <f>+_xlfn.XLOOKUP($A19,LIST[ID],LIST[DESCRIPCIÓN])</f>
        <v>CERRAMIENTO EN LONA VERDE PROVISIONAL H:2 METROS</v>
      </c>
      <c r="C19" s="3" t="str">
        <f>+_xlfn.XLOOKUP($A19,LIST[ID],LIST[UNIDAD])</f>
        <v>M</v>
      </c>
      <c r="D19" s="83" t="s">
        <v>251</v>
      </c>
      <c r="E19" s="315"/>
      <c r="F19" s="115">
        <v>0.08</v>
      </c>
      <c r="G19" s="116"/>
      <c r="H19" s="316"/>
      <c r="I19" s="309"/>
    </row>
    <row r="20" spans="1:9">
      <c r="A20" s="108" t="str">
        <f>+LIST!A19</f>
        <v>P-0017</v>
      </c>
      <c r="B20" s="82" t="str">
        <f>+_xlfn.XLOOKUP($A20,LIST[ID],LIST[DESCRIPCIÓN])</f>
        <v>DEMOLICIÓN DE PAVIMENTO EN CONCRETO RIGIDO, INCLUYE RETIRO</v>
      </c>
      <c r="C20" s="3" t="str">
        <f>+_xlfn.XLOOKUP($A20,LIST[ID],LIST[UNIDAD])</f>
        <v>M3</v>
      </c>
      <c r="D20" s="83" t="s">
        <v>251</v>
      </c>
      <c r="E20" s="315"/>
      <c r="F20" s="115">
        <v>0.25</v>
      </c>
      <c r="G20" s="116"/>
      <c r="H20" s="316"/>
      <c r="I20" s="309"/>
    </row>
    <row r="21" spans="1:9">
      <c r="A21" s="108">
        <f>+LIST!A20</f>
        <v>0</v>
      </c>
      <c r="B21" s="408"/>
      <c r="C21" s="83"/>
      <c r="D21" s="83"/>
      <c r="E21" s="315"/>
      <c r="F21" s="77"/>
      <c r="G21" s="116"/>
      <c r="H21" s="316"/>
      <c r="I21" s="309"/>
    </row>
    <row r="22" spans="1:9">
      <c r="A22" s="108">
        <f>+LIST!A21</f>
        <v>0</v>
      </c>
      <c r="B22" s="408"/>
      <c r="C22" s="83"/>
      <c r="D22" s="83"/>
      <c r="E22" s="315"/>
      <c r="F22" s="77"/>
      <c r="G22" s="116"/>
      <c r="H22" s="316"/>
      <c r="I22" s="309"/>
    </row>
    <row r="23" spans="1:9">
      <c r="A23" s="108">
        <f>+LIST!A22</f>
        <v>0</v>
      </c>
      <c r="B23" s="408"/>
      <c r="C23" s="83"/>
      <c r="D23" s="83"/>
      <c r="E23" s="315"/>
      <c r="F23" s="115"/>
      <c r="G23" s="116"/>
      <c r="H23" s="115"/>
      <c r="I23" s="309"/>
    </row>
    <row r="24" spans="1:9">
      <c r="A24" s="108">
        <f>+LIST!A23</f>
        <v>0</v>
      </c>
      <c r="B24" s="305"/>
      <c r="C24" s="314"/>
      <c r="D24" s="83"/>
      <c r="E24" s="315"/>
      <c r="F24" s="115"/>
      <c r="G24" s="116"/>
      <c r="H24" s="115"/>
      <c r="I24" s="309"/>
    </row>
    <row r="25" spans="1:9">
      <c r="A25" s="108" t="str">
        <f>+LIST!A24</f>
        <v>PTA</v>
      </c>
      <c r="B25" s="322" t="str">
        <f>+LIST!B24</f>
        <v>PISOS CERAMICOS, TERMINADOS Y ACABADOS (PTA)</v>
      </c>
      <c r="C25" s="323"/>
      <c r="D25" s="324"/>
      <c r="E25" s="325"/>
      <c r="F25" s="326"/>
      <c r="G25" s="326"/>
      <c r="H25" s="327"/>
      <c r="I25" s="328"/>
    </row>
    <row r="26" spans="1:9" ht="36" customHeight="1">
      <c r="A26" s="108" t="str">
        <f>+LIST!A25</f>
        <v>PTA-001</v>
      </c>
      <c r="B26" s="320" t="str">
        <f>+_xlfn.XLOOKUP($A26,LIST[ID],LIST[DESCRIPCIÓN])</f>
        <v>ADOQUIN RECTANGULAR ADOP-A O SIMILAR COLOR GRIS (20 X10X 8)</v>
      </c>
      <c r="C26" s="294" t="str">
        <f>+_xlfn.XLOOKUP($A26,LIST[ID],LIST[UNIDAD])</f>
        <v>M2</v>
      </c>
      <c r="D26" s="83" t="s">
        <v>251</v>
      </c>
      <c r="E26" s="115"/>
      <c r="F26" s="115">
        <v>1</v>
      </c>
      <c r="G26" s="71"/>
      <c r="H26" s="78"/>
      <c r="I26" s="131"/>
    </row>
    <row r="27" spans="1:9" ht="30.6" customHeight="1">
      <c r="A27" s="108" t="str">
        <f>+LIST!A26</f>
        <v>PTA-002</v>
      </c>
      <c r="B27" s="320" t="str">
        <f>+_xlfn.XLOOKUP($A27,LIST[ID],LIST[DESCRIPCIÓN])</f>
        <v>ADOQUIN INDUPISO PIZARRA O SIMILAR COLOR ARENA (20X20X8)</v>
      </c>
      <c r="C27" s="294" t="str">
        <f>+_xlfn.XLOOKUP($A27,LIST[ID],LIST[UNIDAD])</f>
        <v>M2</v>
      </c>
      <c r="D27" s="83" t="s">
        <v>251</v>
      </c>
      <c r="E27" s="115"/>
      <c r="F27" s="115">
        <v>1</v>
      </c>
      <c r="G27" s="71"/>
      <c r="H27" s="78"/>
      <c r="I27" s="131"/>
    </row>
    <row r="28" spans="1:9" ht="28.8">
      <c r="A28" s="108" t="str">
        <f>+LIST!A27</f>
        <v>PTA-003</v>
      </c>
      <c r="B28" s="320" t="str">
        <f>+_xlfn.XLOOKUP($A28,LIST[ID],LIST[DESCRIPCIÓN])</f>
        <v>PINTURA DE SILLAS REDONDAS DIAMETRO 50CM H=60CM TIPO 1 EXTERIOR COLOR BLANCO (INCLUYE RESANE)</v>
      </c>
      <c r="C28" s="294" t="str">
        <f>+_xlfn.XLOOKUP($A28,LIST[ID],LIST[UNIDAD])</f>
        <v>UND</v>
      </c>
      <c r="D28" s="83" t="s">
        <v>251</v>
      </c>
      <c r="E28" s="115"/>
      <c r="F28" s="115">
        <v>1.2</v>
      </c>
      <c r="G28" s="71"/>
      <c r="H28" s="78"/>
      <c r="I28" s="131"/>
    </row>
    <row r="29" spans="1:9" ht="28.8">
      <c r="A29" s="108" t="str">
        <f>+LIST!A28</f>
        <v>PTA-004</v>
      </c>
      <c r="B29" s="320" t="str">
        <f>+_xlfn.XLOOKUP($A29,LIST[ID],LIST[DESCRIPCIÓN])</f>
        <v>PINTURA DE MATERA RECTANGULAR 40X60X30 TIPO 1 EXTERIOR COLOR BLANCO (INCLUYE RESANE)</v>
      </c>
      <c r="C29" s="294" t="str">
        <f>+_xlfn.XLOOKUP($A29,LIST[ID],LIST[UNIDAD])</f>
        <v>UND</v>
      </c>
      <c r="D29" s="83" t="s">
        <v>251</v>
      </c>
      <c r="E29" s="115"/>
      <c r="F29" s="115">
        <v>1.2</v>
      </c>
      <c r="G29" s="71"/>
      <c r="H29" s="78"/>
      <c r="I29" s="131"/>
    </row>
    <row r="30" spans="1:9" ht="28.8">
      <c r="A30" s="108" t="str">
        <f>+LIST!A29</f>
        <v>PTA-005</v>
      </c>
      <c r="B30" s="320" t="str">
        <f>+_xlfn.XLOOKUP($A30,LIST[ID],LIST[DESCRIPCIÓN])</f>
        <v>MURO EN BLOQUE ABUJARDADO CON DOVELAS 14X19X39 PARA ALCORQUE DE ARBOL</v>
      </c>
      <c r="C30" s="294" t="str">
        <f>+_xlfn.XLOOKUP($A30,LIST[ID],LIST[UNIDAD])</f>
        <v>M2</v>
      </c>
      <c r="D30" s="3" t="s">
        <v>251</v>
      </c>
      <c r="E30" s="115">
        <v>1.1000000000000001</v>
      </c>
      <c r="F30" s="115">
        <v>1</v>
      </c>
      <c r="G30" s="71"/>
      <c r="H30" s="78"/>
      <c r="I30" s="131"/>
    </row>
    <row r="31" spans="1:9">
      <c r="A31" s="108" t="str">
        <f>+LIST!A30</f>
        <v>PTA-006</v>
      </c>
      <c r="B31" s="320" t="str">
        <f>+_xlfn.XLOOKUP($A31,LIST[ID],LIST[DESCRIPCIÓN])</f>
        <v>ALFAGIA PREFABRICADA DE ANCHO 25CMX100CM</v>
      </c>
      <c r="C31" s="294" t="str">
        <f>+_xlfn.XLOOKUP($A31,LIST[ID],LIST[UNIDAD])</f>
        <v>M</v>
      </c>
      <c r="D31" s="3" t="s">
        <v>251</v>
      </c>
      <c r="E31" s="115">
        <v>0.7</v>
      </c>
      <c r="F31" s="115">
        <v>0.6</v>
      </c>
      <c r="G31" s="116"/>
      <c r="H31" s="115">
        <f t="shared" ref="H31" si="2">+AVERAGE(E31:G31)</f>
        <v>0.64999999999999991</v>
      </c>
      <c r="I31" s="309"/>
    </row>
    <row r="32" spans="1:9">
      <c r="A32" s="108" t="str">
        <f>+LIST!A31</f>
        <v>PTA-007</v>
      </c>
      <c r="B32" s="320" t="str">
        <f>+_xlfn.XLOOKUP($A32,LIST[ID],LIST[DESCRIPCIÓN])</f>
        <v>CIELO RASO PVC 9 MM INCLUYE ESTRUCTURA</v>
      </c>
      <c r="C32" s="294" t="str">
        <f>+_xlfn.XLOOKUP($A32,LIST[ID],LIST[UNIDAD])</f>
        <v>M2</v>
      </c>
      <c r="D32" s="3" t="s">
        <v>251</v>
      </c>
      <c r="E32" s="315">
        <v>1</v>
      </c>
      <c r="F32" s="77"/>
      <c r="G32" s="116"/>
      <c r="H32" s="316"/>
      <c r="I32" s="309"/>
    </row>
    <row r="33" spans="1:9">
      <c r="A33" s="108" t="str">
        <f>+LIST!A32</f>
        <v>PTA-008</v>
      </c>
      <c r="B33" s="320" t="str">
        <f>+_xlfn.XLOOKUP($A33,LIST[ID],LIST[DESCRIPCIÓN])</f>
        <v xml:space="preserve">ENCHAPE EN GRES ROJO </v>
      </c>
      <c r="C33" s="294" t="str">
        <f>+_xlfn.XLOOKUP($A33,LIST[ID],LIST[UNIDAD])</f>
        <v>M2</v>
      </c>
      <c r="D33" s="3" t="s">
        <v>251</v>
      </c>
      <c r="E33" s="315">
        <v>1</v>
      </c>
      <c r="F33" s="77"/>
      <c r="G33" s="116"/>
      <c r="H33" s="316"/>
      <c r="I33" s="309"/>
    </row>
    <row r="34" spans="1:9">
      <c r="A34" s="108" t="str">
        <f>+LIST!A33</f>
        <v>PTA-009</v>
      </c>
      <c r="B34" s="320" t="str">
        <f>+_xlfn.XLOOKUP($A34,LIST[ID],LIST[DESCRIPCIÓN])</f>
        <v>PINTURA TIPO 1 INTERIOR, DOS MANOS</v>
      </c>
      <c r="C34" s="294" t="str">
        <f>+_xlfn.XLOOKUP($A34,LIST[ID],LIST[UNIDAD])</f>
        <v>M2</v>
      </c>
      <c r="D34" s="3" t="s">
        <v>251</v>
      </c>
      <c r="E34" s="315">
        <v>0.26</v>
      </c>
      <c r="F34" s="77"/>
      <c r="G34" s="116"/>
      <c r="H34" s="316"/>
      <c r="I34" s="309"/>
    </row>
    <row r="35" spans="1:9">
      <c r="A35" s="108" t="str">
        <f>+LIST!A34</f>
        <v>PTA-010</v>
      </c>
      <c r="B35" s="320" t="str">
        <f>+_xlfn.XLOOKUP($A35,LIST[ID],LIST[DESCRIPCIÓN])</f>
        <v>RESANE EN ESTUCO ACRILICO 100%</v>
      </c>
      <c r="C35" s="294" t="str">
        <f>+_xlfn.XLOOKUP($A35,LIST[ID],LIST[UNIDAD])</f>
        <v>M2</v>
      </c>
      <c r="D35" s="83" t="s">
        <v>251</v>
      </c>
      <c r="E35" s="315">
        <v>0.3</v>
      </c>
      <c r="F35" s="77"/>
      <c r="G35" s="116"/>
      <c r="H35" s="316"/>
      <c r="I35" s="309"/>
    </row>
    <row r="36" spans="1:9">
      <c r="A36" s="108" t="str">
        <f>+LIST!A35</f>
        <v>PTA-011</v>
      </c>
      <c r="B36" s="320" t="str">
        <f>+_xlfn.XLOOKUP($A36,LIST[ID],LIST[DESCRIPCIÓN])</f>
        <v>PINTURA TIPO 1 EXTERIOR 100% ACRILICA, DOS MANOS</v>
      </c>
      <c r="C36" s="294" t="str">
        <f>+_xlfn.XLOOKUP($A36,LIST[ID],LIST[UNIDAD])</f>
        <v>M2</v>
      </c>
      <c r="D36" s="83" t="s">
        <v>251</v>
      </c>
      <c r="E36" s="315">
        <v>0.3</v>
      </c>
      <c r="F36" s="77"/>
      <c r="G36" s="116"/>
      <c r="H36" s="316"/>
      <c r="I36" s="309"/>
    </row>
    <row r="37" spans="1:9" ht="28.8">
      <c r="A37" s="108" t="str">
        <f>+LIST!A36</f>
        <v>PTA-012</v>
      </c>
      <c r="B37" s="320" t="str">
        <f>+_xlfn.XLOOKUP($A37,LIST[ID],LIST[DESCRIPCIÓN])</f>
        <v>POLARIZADO PARA VENTANAS PELICULA PROTECCIÓN 100% UV 2 MM</v>
      </c>
      <c r="C37" s="294" t="str">
        <f>+_xlfn.XLOOKUP($A37,LIST[ID],LIST[UNIDAD])</f>
        <v>M2</v>
      </c>
      <c r="D37" s="83" t="s">
        <v>251</v>
      </c>
      <c r="E37" s="315">
        <v>0.65</v>
      </c>
      <c r="F37" s="77"/>
      <c r="G37" s="116"/>
      <c r="H37" s="316"/>
      <c r="I37" s="309"/>
    </row>
    <row r="38" spans="1:9">
      <c r="A38" s="108" t="str">
        <f>+LIST!A37</f>
        <v>PTA-013</v>
      </c>
      <c r="B38" s="320" t="str">
        <f>+_xlfn.XLOOKUP($A38,LIST[ID],LIST[DESCRIPCIÓN])</f>
        <v>ENCHAPE CERAMICO 20X30 CM COLOR BLANCO (PARED)</v>
      </c>
      <c r="C38" s="294" t="str">
        <f>+_xlfn.XLOOKUP($A38,LIST[ID],LIST[UNIDAD])</f>
        <v>M2</v>
      </c>
      <c r="D38" s="83" t="s">
        <v>251</v>
      </c>
      <c r="E38" s="315">
        <v>0.8</v>
      </c>
      <c r="F38" s="77"/>
      <c r="G38" s="116"/>
      <c r="H38" s="316"/>
      <c r="I38" s="309"/>
    </row>
    <row r="39" spans="1:9">
      <c r="A39" s="108" t="str">
        <f>+LIST!A38</f>
        <v>PTA-014</v>
      </c>
      <c r="B39" s="320" t="str">
        <f>+_xlfn.XLOOKUP($A39,LIST[ID],LIST[DESCRIPCIÓN])</f>
        <v>PINTURA ESMALTE ELEMENTOS METALICOS (AREA)</v>
      </c>
      <c r="C39" s="294" t="str">
        <f>+_xlfn.XLOOKUP($A39,LIST[ID],LIST[UNIDAD])</f>
        <v>M2</v>
      </c>
      <c r="D39" s="83" t="s">
        <v>251</v>
      </c>
      <c r="E39" s="315">
        <v>0.22</v>
      </c>
      <c r="F39" s="77"/>
      <c r="G39" s="116"/>
      <c r="H39" s="316">
        <f t="shared" ref="H39:H42" si="3">+AVERAGE(E39:G39)</f>
        <v>0.22</v>
      </c>
      <c r="I39" s="309"/>
    </row>
    <row r="40" spans="1:9">
      <c r="A40" s="108" t="str">
        <f>+LIST!A39</f>
        <v>PTA-015</v>
      </c>
      <c r="B40" s="320" t="str">
        <f>+_xlfn.XLOOKUP($A40,LIST[ID],LIST[DESCRIPCIÓN])</f>
        <v>PINTURA ESMALTE ELEMENTOS METALICOS (LINEAL BARANDA)</v>
      </c>
      <c r="C40" s="294" t="str">
        <f>+_xlfn.XLOOKUP($A40,LIST[ID],LIST[UNIDAD])</f>
        <v>M</v>
      </c>
      <c r="D40" s="83" t="s">
        <v>251</v>
      </c>
      <c r="E40" s="315">
        <v>0.18</v>
      </c>
      <c r="F40" s="77"/>
      <c r="G40" s="116"/>
      <c r="H40" s="316">
        <f t="shared" si="3"/>
        <v>0.18</v>
      </c>
      <c r="I40" s="309"/>
    </row>
    <row r="41" spans="1:9">
      <c r="A41" s="108" t="str">
        <f>+LIST!A40</f>
        <v>PTA-016</v>
      </c>
      <c r="B41" s="320" t="str">
        <f>+_xlfn.XLOOKUP($A41,LIST[ID],LIST[DESCRIPCIÓN])</f>
        <v>MURAL DECORATIVO CON IDENTIFICACIÓN CULTURAL</v>
      </c>
      <c r="C41" s="294" t="str">
        <f>+_xlfn.XLOOKUP($A41,LIST[ID],LIST[UNIDAD])</f>
        <v>M2</v>
      </c>
      <c r="D41" s="83" t="s">
        <v>251</v>
      </c>
      <c r="E41" s="315">
        <v>0.5</v>
      </c>
      <c r="F41" s="77"/>
      <c r="G41" s="116"/>
      <c r="H41" s="316">
        <f t="shared" si="3"/>
        <v>0.5</v>
      </c>
      <c r="I41" s="309"/>
    </row>
    <row r="42" spans="1:9" ht="43.2">
      <c r="A42" s="108" t="str">
        <f>+LIST!A41</f>
        <v>PTA-017</v>
      </c>
      <c r="B42" s="320" t="str">
        <f>+_xlfn.XLOOKUP($A42,LIST[ID],LIST[DESCRIPCIÓN])</f>
        <v>RECUBRIMIENTO DE TRUFLEX ANTIDESLIZANTE DE 3 CAPAS  (UNA BASE DE CUARZO Y DOS CAPAS DE COLOR) PARA ZONA EQUIPOS BIOSALUDABLES Y PARQUE INFANTIL.</v>
      </c>
      <c r="C42" s="294" t="str">
        <f>+_xlfn.XLOOKUP($A42,LIST[ID],LIST[UNIDAD])</f>
        <v>M2</v>
      </c>
      <c r="D42" s="83" t="s">
        <v>251</v>
      </c>
      <c r="E42" s="315">
        <v>1</v>
      </c>
      <c r="F42" s="77"/>
      <c r="G42" s="116"/>
      <c r="H42" s="316">
        <f t="shared" si="3"/>
        <v>1</v>
      </c>
      <c r="I42" s="309"/>
    </row>
    <row r="43" spans="1:9" ht="57.6">
      <c r="A43" s="108" t="str">
        <f>+LIST!A42</f>
        <v>PTA-018</v>
      </c>
      <c r="B43" s="320" t="str">
        <f>+_xlfn.XLOOKUP($A43,LIST[ID],LIST[DESCRIPCIÓN])</f>
        <v>PINTURA ACRILICA PARA TRAFICO PESADO TIPO CANCHA Y/O PISOS SOBRE UNA BASE EN IMPRIMANTE EPOXICO DE DOS COMPONENTES, PARA DEMARCACION DE CANCHA MULTIPLE (VOLEIBOL, MICROFUTBOL Y BALONCESTO) (2 MANOS)</v>
      </c>
      <c r="C43" s="294" t="str">
        <f>+_xlfn.XLOOKUP($A43,LIST[ID],LIST[UNIDAD])</f>
        <v>M2</v>
      </c>
      <c r="D43" s="83" t="s">
        <v>251</v>
      </c>
      <c r="E43" s="315">
        <v>0.35</v>
      </c>
      <c r="F43" s="77"/>
      <c r="G43" s="116"/>
      <c r="H43" s="316">
        <f t="shared" ref="H43:H44" si="4">+AVERAGE(E43:G43)</f>
        <v>0.35</v>
      </c>
      <c r="I43" s="309"/>
    </row>
    <row r="44" spans="1:9">
      <c r="A44" s="108" t="str">
        <f>+LIST!A43</f>
        <v>PTA-019</v>
      </c>
      <c r="B44" s="320" t="str">
        <f>+_xlfn.XLOOKUP($A44,LIST[ID],LIST[DESCRIPCIÓN])</f>
        <v>SUMINISTRO E INSTALACIÓN DE LADRILLO TOLETE 25X12X6CM</v>
      </c>
      <c r="C44" s="294" t="str">
        <f>+_xlfn.XLOOKUP($A44,LIST[ID],LIST[UNIDAD])</f>
        <v>M2</v>
      </c>
      <c r="D44" s="83" t="s">
        <v>251</v>
      </c>
      <c r="E44" s="315">
        <v>0.65</v>
      </c>
      <c r="F44" s="77"/>
      <c r="G44" s="116"/>
      <c r="H44" s="316">
        <f t="shared" si="4"/>
        <v>0.65</v>
      </c>
      <c r="I44" s="309"/>
    </row>
    <row r="45" spans="1:9">
      <c r="A45" s="108" t="str">
        <f>+LIST!A44</f>
        <v>PTA-020</v>
      </c>
      <c r="B45" s="320" t="str">
        <f>+_xlfn.XLOOKUP($A45,LIST[ID],LIST[DESCRIPCIÓN])</f>
        <v>PAÑETE MURO 1:4   E=0.02M</v>
      </c>
      <c r="C45" s="294" t="str">
        <f>+_xlfn.XLOOKUP($A45,LIST[ID],LIST[UNIDAD])</f>
        <v>M2</v>
      </c>
      <c r="D45" s="83" t="s">
        <v>251</v>
      </c>
      <c r="E45" s="315">
        <v>0.57999999999999996</v>
      </c>
      <c r="F45" s="77"/>
      <c r="G45" s="116"/>
      <c r="H45" s="316">
        <f t="shared" ref="H45:H46" si="5">+AVERAGE(E45:G45)</f>
        <v>0.57999999999999996</v>
      </c>
      <c r="I45" s="309"/>
    </row>
    <row r="46" spans="1:9">
      <c r="A46" s="108" t="str">
        <f>+LIST!A45</f>
        <v>PTA-021</v>
      </c>
      <c r="B46" s="320" t="str">
        <f>+_xlfn.XLOOKUP($A46,LIST[ID],LIST[DESCRIPCIÓN])</f>
        <v>PINTURA TIPO 1 INTERIOR, TRES MANOS</v>
      </c>
      <c r="C46" s="294" t="str">
        <f>+_xlfn.XLOOKUP($A46,LIST[ID],LIST[UNIDAD])</f>
        <v>M2</v>
      </c>
      <c r="D46" s="83" t="s">
        <v>251</v>
      </c>
      <c r="E46" s="315">
        <v>0.34</v>
      </c>
      <c r="F46" s="77"/>
      <c r="G46" s="116"/>
      <c r="H46" s="316">
        <f t="shared" si="5"/>
        <v>0.34</v>
      </c>
      <c r="I46" s="309"/>
    </row>
    <row r="47" spans="1:9">
      <c r="A47" s="108" t="str">
        <f>+LIST!A46</f>
        <v>PTA-022</v>
      </c>
      <c r="B47" s="320" t="str">
        <f>+_xlfn.XLOOKUP($A47,LIST[ID],LIST[DESCRIPCIÓN])</f>
        <v xml:space="preserve">GRAMA NATURAL, INCLUYE TIERRA </v>
      </c>
      <c r="C47" s="294" t="str">
        <f>+_xlfn.XLOOKUP($A47,LIST[ID],LIST[UNIDAD])</f>
        <v>M2</v>
      </c>
      <c r="D47" s="83" t="s">
        <v>251</v>
      </c>
      <c r="E47" s="315">
        <v>0.5</v>
      </c>
      <c r="F47" s="77"/>
      <c r="G47" s="116"/>
      <c r="H47" s="316">
        <f>+AVERAGE(E47:G47)</f>
        <v>0.5</v>
      </c>
      <c r="I47" s="309"/>
    </row>
    <row r="48" spans="1:9">
      <c r="A48" s="108">
        <f>+LIST!A47</f>
        <v>0</v>
      </c>
      <c r="B48" s="305"/>
      <c r="C48" s="83"/>
      <c r="D48" s="83"/>
      <c r="E48" s="315"/>
      <c r="F48" s="77"/>
      <c r="G48" s="116"/>
      <c r="H48" s="316"/>
      <c r="I48" s="309"/>
    </row>
    <row r="49" spans="1:9">
      <c r="A49" s="108" t="str">
        <f>+LIST!A48</f>
        <v>CMR</v>
      </c>
      <c r="B49" s="322" t="str">
        <f>+LIST!B48</f>
        <v>CONCRETOS, MORTEROS Y REFUERZOS (CMR)</v>
      </c>
      <c r="C49" s="330"/>
      <c r="D49" s="331"/>
      <c r="E49" s="325"/>
      <c r="F49" s="325"/>
      <c r="G49" s="332"/>
      <c r="H49" s="325"/>
      <c r="I49" s="333"/>
    </row>
    <row r="50" spans="1:9">
      <c r="A50" s="108" t="str">
        <f>+LIST!A49</f>
        <v>CMR-001</v>
      </c>
      <c r="B50" s="320" t="str">
        <f>+_xlfn.XLOOKUP($A50,LIST[ID],LIST[DESCRIPCIÓN])</f>
        <v>ACERO DE REFUERZO 60.000 PSI</v>
      </c>
      <c r="C50" s="83" t="s">
        <v>11</v>
      </c>
      <c r="D50" s="3" t="s">
        <v>251</v>
      </c>
      <c r="E50" s="115">
        <v>0.08</v>
      </c>
      <c r="F50" s="115">
        <v>0.06</v>
      </c>
      <c r="G50" s="116">
        <v>0.05</v>
      </c>
      <c r="H50" s="316">
        <f>+AVERAGE(E50:G50)</f>
        <v>6.3333333333333339E-2</v>
      </c>
      <c r="I50" s="309"/>
    </row>
    <row r="51" spans="1:9">
      <c r="A51" s="108" t="str">
        <f>+LIST!A50</f>
        <v>CMR-002</v>
      </c>
      <c r="B51" s="320" t="str">
        <f>+_xlfn.XLOOKUP($A51,LIST[ID],LIST[DESCRIPCIÓN])</f>
        <v xml:space="preserve">CONCRETO 3.000 PSI </v>
      </c>
      <c r="C51" s="294" t="str">
        <f>+_xlfn.XLOOKUP($A51,LIST[ID],LIST[UNIDAD])</f>
        <v>M3</v>
      </c>
      <c r="D51" s="83" t="s">
        <v>251</v>
      </c>
      <c r="E51" s="115">
        <v>7</v>
      </c>
      <c r="F51" s="115">
        <v>5</v>
      </c>
      <c r="G51" s="116">
        <v>4.5</v>
      </c>
      <c r="H51" s="115">
        <v>4</v>
      </c>
      <c r="I51" s="309"/>
    </row>
    <row r="52" spans="1:9" ht="57.6">
      <c r="A52" s="108" t="str">
        <f>+LIST!A51</f>
        <v>CMR-003</v>
      </c>
      <c r="B52" s="320" t="str">
        <f>+_xlfn.XLOOKUP($A52,LIST[ID],LIST[DESCRIPCIÓN])</f>
        <v>SUMINISTRO E INSTALACION DE TUBERIA PETROLERA DE  20" y  10", INCLUYE ESCALERA DE ACCESO, ESTRUCTURA DE FIJACION DE LA PANTALLA Y TODOS LOS ELEMENTROS NECESARIOS PARA SU CORRECTO FUNCIONAMIENTO</v>
      </c>
      <c r="C52" s="294" t="str">
        <f>+_xlfn.XLOOKUP($A52,LIST[ID],LIST[UNIDAD])</f>
        <v>KG</v>
      </c>
      <c r="D52" s="81" t="s">
        <v>251</v>
      </c>
      <c r="E52" s="115"/>
      <c r="F52" s="115"/>
      <c r="G52" s="116"/>
      <c r="H52" s="115"/>
      <c r="I52" s="131"/>
    </row>
    <row r="53" spans="1:9">
      <c r="A53" s="108" t="str">
        <f>+LIST!A52</f>
        <v>CMR-004</v>
      </c>
      <c r="B53" s="320" t="str">
        <f>+_xlfn.XLOOKUP($A53,LIST[ID],LIST[DESCRIPCIÓN])</f>
        <v>PLACA CONCRETO 3.000 PSI E=10CM</v>
      </c>
      <c r="C53" s="294" t="str">
        <f>+_xlfn.XLOOKUP($A53,LIST[ID],LIST[UNIDAD])</f>
        <v>M2</v>
      </c>
      <c r="D53" s="81" t="s">
        <v>251</v>
      </c>
      <c r="E53" s="315">
        <v>0.38</v>
      </c>
      <c r="F53" s="77"/>
      <c r="G53" s="116"/>
      <c r="H53" s="316"/>
      <c r="I53" s="131"/>
    </row>
    <row r="54" spans="1:9" ht="28.8">
      <c r="A54" s="108" t="str">
        <f>+LIST!A53</f>
        <v>CMR-005</v>
      </c>
      <c r="B54" s="320" t="str">
        <f>+_xlfn.XLOOKUP($A54,LIST[ID],LIST[DESCRIPCIÓN])</f>
        <v>CONCRETO 3.000 PSI PARA CONSTRUCCIÓN DE CANAL EN CONCRETO</v>
      </c>
      <c r="C54" s="294" t="str">
        <f>+_xlfn.XLOOKUP($A54,LIST[ID],LIST[UNIDAD])</f>
        <v>M3</v>
      </c>
      <c r="D54" s="81" t="s">
        <v>251</v>
      </c>
      <c r="E54" s="315"/>
      <c r="F54" s="337">
        <v>2</v>
      </c>
      <c r="G54" s="347">
        <v>1.8</v>
      </c>
      <c r="H54" s="336"/>
      <c r="I54" s="131"/>
    </row>
    <row r="55" spans="1:9">
      <c r="A55" s="108" t="str">
        <f>+LIST!A54</f>
        <v>CMR-006</v>
      </c>
      <c r="B55" s="320" t="str">
        <f>+_xlfn.XLOOKUP($A55,LIST[ID],LIST[DESCRIPCIÓN])</f>
        <v>MURO EN GAVIÓN CON MALLA DOBLE TORSIÓN CAL. 13</v>
      </c>
      <c r="C55" s="294" t="str">
        <f>+_xlfn.XLOOKUP($A55,LIST[ID],LIST[UNIDAD])</f>
        <v>M3</v>
      </c>
      <c r="D55" s="81" t="s">
        <v>251</v>
      </c>
      <c r="E55" s="315"/>
      <c r="F55" s="337">
        <v>3.4</v>
      </c>
      <c r="G55" s="347"/>
      <c r="H55" s="336"/>
      <c r="I55" s="131"/>
    </row>
    <row r="56" spans="1:9">
      <c r="A56" s="108" t="str">
        <f>+LIST!A55</f>
        <v>CMR-007</v>
      </c>
      <c r="B56" s="320" t="str">
        <f>+_xlfn.XLOOKUP($A56,LIST[ID],LIST[DESCRIPCIÓN])</f>
        <v xml:space="preserve">SUMINISTRO E INSTALACIÓN DE GEOTEXTIL NT1600S </v>
      </c>
      <c r="C56" s="294" t="str">
        <f>+_xlfn.XLOOKUP($A56,LIST[ID],LIST[UNIDAD])</f>
        <v>M2</v>
      </c>
      <c r="D56" s="81" t="s">
        <v>251</v>
      </c>
      <c r="E56" s="315">
        <v>0.3</v>
      </c>
      <c r="F56" s="337"/>
      <c r="G56" s="347"/>
      <c r="H56" s="336"/>
      <c r="I56" s="131"/>
    </row>
    <row r="57" spans="1:9" ht="28.8">
      <c r="A57" s="108" t="str">
        <f>+LIST!A56</f>
        <v>CMR-008</v>
      </c>
      <c r="B57" s="320" t="str">
        <f>+_xlfn.XLOOKUP($A57,LIST[ID],LIST[DESCRIPCIÓN])</f>
        <v>CONSTRUCCIÓN DE SARDINEL INSITU E=0,15 M H=0,45M, CONCRETO 3.000 PSI (INCLUYE REFUERZO)</v>
      </c>
      <c r="C57" s="294" t="str">
        <f>+_xlfn.XLOOKUP($A57,LIST[ID],LIST[UNIDAD])</f>
        <v>M</v>
      </c>
      <c r="D57" s="81" t="s">
        <v>251</v>
      </c>
      <c r="E57" s="315"/>
      <c r="F57" s="115">
        <v>0.3</v>
      </c>
      <c r="G57" s="116"/>
      <c r="H57" s="115"/>
      <c r="I57" s="131"/>
    </row>
    <row r="58" spans="1:9">
      <c r="A58" s="108" t="str">
        <f>+LIST!A57</f>
        <v>CMR-009</v>
      </c>
      <c r="B58" s="320" t="str">
        <f>+_xlfn.XLOOKUP($A58,LIST[ID],LIST[DESCRIPCIÓN])</f>
        <v>COLUMNA CONCRETO 3.000 PSI 20X12 CM</v>
      </c>
      <c r="C58" s="294" t="str">
        <f>+_xlfn.XLOOKUP($A58,LIST[ID],LIST[UNIDAD])</f>
        <v>M</v>
      </c>
      <c r="D58" s="81" t="s">
        <v>251</v>
      </c>
      <c r="E58" s="315"/>
      <c r="F58" s="336">
        <v>0.25</v>
      </c>
      <c r="G58" s="347"/>
      <c r="H58" s="336"/>
      <c r="I58" s="377"/>
    </row>
    <row r="59" spans="1:9">
      <c r="A59" s="108" t="str">
        <f>+LIST!A58</f>
        <v>CMR-010</v>
      </c>
      <c r="B59" s="320" t="str">
        <f>+_xlfn.XLOOKUP($A59,LIST[ID],LIST[DESCRIPCIÓN])</f>
        <v>ZAPATA CONCRETO 3.000 PSI 120X70X30 CM</v>
      </c>
      <c r="C59" s="294" t="str">
        <f>+_xlfn.XLOOKUP($A59,LIST[ID],LIST[UNIDAD])</f>
        <v>UND</v>
      </c>
      <c r="D59" s="81" t="s">
        <v>251</v>
      </c>
      <c r="E59" s="315"/>
      <c r="F59" s="336">
        <v>0.5</v>
      </c>
      <c r="G59" s="347"/>
      <c r="H59" s="336"/>
      <c r="I59" s="377"/>
    </row>
    <row r="60" spans="1:9">
      <c r="A60" s="108" t="str">
        <f>+LIST!A59</f>
        <v>CMR-011</v>
      </c>
      <c r="B60" s="320" t="str">
        <f>+_xlfn.XLOOKUP($A60,LIST[ID],LIST[DESCRIPCIÓN])</f>
        <v>COLUMNA CONCRETO 3.000 PSI 30X30 CM</v>
      </c>
      <c r="C60" s="294" t="str">
        <f>+_xlfn.XLOOKUP($A60,LIST[ID],LIST[UNIDAD])</f>
        <v>M</v>
      </c>
      <c r="D60" s="81" t="s">
        <v>251</v>
      </c>
      <c r="E60" s="315"/>
      <c r="F60" s="336">
        <v>0.3</v>
      </c>
      <c r="G60" s="347"/>
      <c r="H60" s="336"/>
      <c r="I60" s="377"/>
    </row>
    <row r="61" spans="1:9" ht="28.8">
      <c r="A61" s="108" t="str">
        <f>+LIST!A60</f>
        <v>CMR-012</v>
      </c>
      <c r="B61" s="320" t="str">
        <f>+_xlfn.XLOOKUP($A61,LIST[ID],LIST[DESCRIPCIÓN])</f>
        <v>ADHESIVO EPOXICO DE CONCRETO FRESCO CON CONCRETO ANTIGUO (USO ESTRUCTURAL)</v>
      </c>
      <c r="C61" s="294" t="str">
        <f>+_xlfn.XLOOKUP($A61,LIST[ID],LIST[UNIDAD])</f>
        <v>M2</v>
      </c>
      <c r="D61" s="81" t="s">
        <v>251</v>
      </c>
      <c r="E61" s="315">
        <v>0.25</v>
      </c>
      <c r="F61" s="336"/>
      <c r="G61" s="347"/>
      <c r="H61" s="336"/>
      <c r="I61" s="377"/>
    </row>
    <row r="62" spans="1:9">
      <c r="A62" s="108">
        <f>+LIST!A61</f>
        <v>0</v>
      </c>
      <c r="B62" s="305"/>
      <c r="C62" s="83"/>
      <c r="D62" s="81"/>
      <c r="E62" s="315"/>
      <c r="F62" s="77"/>
      <c r="G62" s="116"/>
      <c r="H62" s="316"/>
      <c r="I62" s="131"/>
    </row>
    <row r="63" spans="1:9">
      <c r="A63" s="108">
        <f>+LIST!A62</f>
        <v>0</v>
      </c>
      <c r="B63" s="305"/>
      <c r="C63" s="83"/>
      <c r="D63" s="81"/>
      <c r="E63" s="315"/>
      <c r="F63" s="77"/>
      <c r="G63" s="116"/>
      <c r="H63" s="316"/>
      <c r="I63" s="131"/>
    </row>
    <row r="64" spans="1:9">
      <c r="A64" s="108" t="str">
        <f>+LIST!A63</f>
        <v>ELC</v>
      </c>
      <c r="B64" s="322" t="str">
        <f>+LIST!B63</f>
        <v>ELECTRICIDAD Y ACCESORIOS ELECTRICOS (ELC)</v>
      </c>
      <c r="C64" s="331"/>
      <c r="D64" s="334"/>
      <c r="E64" s="325"/>
      <c r="F64" s="325"/>
      <c r="G64" s="325"/>
      <c r="H64" s="325"/>
      <c r="I64" s="335"/>
    </row>
    <row r="65" spans="1:9" ht="57.6">
      <c r="A65" s="108" t="str">
        <f>+LIST!A64</f>
        <v>ELC-001</v>
      </c>
      <c r="B65" s="320" t="str">
        <f>+_xlfn.XLOOKUP($A65,LIST[ID],LIST[DESCRIPCIÓN])</f>
        <v>SUMINISTRO E INSTALACION DE PANTALLA EXTERIO  3,9 PICH CON 15 GRADO DE 7680 HZ #500 X1000 MM CON PROCESADOR Tb40 , INCLUYE CONEXIÓN ELECTRICA, CAJA DE CONTROL Y PUESTA EN FUNCIONAMIENTO.</v>
      </c>
      <c r="C65" s="294" t="str">
        <f>+_xlfn.XLOOKUP($A65,LIST[ID],LIST[UNIDAD])</f>
        <v>UND</v>
      </c>
      <c r="D65" s="81" t="s">
        <v>251</v>
      </c>
      <c r="E65" s="115"/>
      <c r="F65" s="115"/>
      <c r="G65" s="116"/>
      <c r="H65" s="115"/>
      <c r="I65" s="131"/>
    </row>
    <row r="66" spans="1:9">
      <c r="A66" s="108" t="str">
        <f>+LIST!A65</f>
        <v>ELC-002</v>
      </c>
      <c r="B66" s="320" t="str">
        <f>+_xlfn.XLOOKUP($A66,LIST[ID],LIST[DESCRIPCIÓN])</f>
        <v>TABLERO ELECTRICO PARA INSTALACIÓN PANTALLA BIFASICO</v>
      </c>
      <c r="C66" s="294" t="str">
        <f>+_xlfn.XLOOKUP($A66,LIST[ID],LIST[UNIDAD])</f>
        <v>UND</v>
      </c>
      <c r="D66" s="3" t="s">
        <v>251</v>
      </c>
      <c r="E66" s="115"/>
      <c r="F66" s="115"/>
      <c r="G66" s="115"/>
      <c r="H66" s="115"/>
      <c r="I66" s="130"/>
    </row>
    <row r="67" spans="1:9" ht="18" customHeight="1">
      <c r="A67" s="108" t="str">
        <f>+LIST!A66</f>
        <v>ELC-003</v>
      </c>
      <c r="B67" s="320" t="str">
        <f>+_xlfn.XLOOKUP($A67,LIST[ID],LIST[DESCRIPCIÓN])</f>
        <v>RED ELECTRICA EN CABLE N°12 Y TUBO EMT 1/2" PVC</v>
      </c>
      <c r="C67" s="294" t="str">
        <f>+_xlfn.XLOOKUP($A67,LIST[ID],LIST[UNIDAD])</f>
        <v>M</v>
      </c>
      <c r="D67" s="3" t="s">
        <v>251</v>
      </c>
      <c r="E67" s="115">
        <v>0.4</v>
      </c>
      <c r="F67" s="115">
        <v>0.3</v>
      </c>
      <c r="G67" s="115">
        <v>0.25</v>
      </c>
      <c r="H67" s="115">
        <v>0.2</v>
      </c>
      <c r="I67" s="131"/>
    </row>
    <row r="68" spans="1:9" ht="18" customHeight="1">
      <c r="A68" s="108" t="str">
        <f>+LIST!A67</f>
        <v>ELC-004</v>
      </c>
      <c r="B68" s="320" t="str">
        <f>+_xlfn.XLOOKUP($A68,LIST[ID],LIST[DESCRIPCIÓN])</f>
        <v>PUNTO ELECTRICO DE CONEXIÓN DOBLE</v>
      </c>
      <c r="C68" s="294" t="str">
        <f>+_xlfn.XLOOKUP($A68,LIST[ID],LIST[UNIDAD])</f>
        <v>UND</v>
      </c>
      <c r="D68" s="3" t="s">
        <v>251</v>
      </c>
      <c r="E68" s="315">
        <v>0.5</v>
      </c>
      <c r="F68" s="337">
        <v>0.35</v>
      </c>
      <c r="G68" s="368"/>
      <c r="H68" s="336">
        <f>+AVERAGE(E68:G68)</f>
        <v>0.42499999999999999</v>
      </c>
      <c r="I68" s="131"/>
    </row>
    <row r="69" spans="1:9" ht="28.8">
      <c r="A69" s="108" t="str">
        <f>+LIST!A68</f>
        <v>ELC-005</v>
      </c>
      <c r="B69" s="320" t="str">
        <f>+_xlfn.XLOOKUP($A69,LIST[ID],LIST[DESCRIPCIÓN])</f>
        <v>PUNTO DE ILUMINACIÓN INCLUYE INTERRUPTOR, PLAFON Y BOMBILLO 50 W</v>
      </c>
      <c r="C69" s="294" t="str">
        <f>+_xlfn.XLOOKUP($A69,LIST[ID],LIST[UNIDAD])</f>
        <v>UND</v>
      </c>
      <c r="D69" s="3" t="s">
        <v>251</v>
      </c>
      <c r="E69" s="368">
        <v>0.56999999999999995</v>
      </c>
      <c r="F69" s="337">
        <v>0.45</v>
      </c>
      <c r="G69" s="368"/>
      <c r="H69" s="336"/>
      <c r="I69" s="131"/>
    </row>
    <row r="70" spans="1:9" ht="28.8">
      <c r="A70" s="108" t="str">
        <f>+LIST!A69</f>
        <v>ELC-006</v>
      </c>
      <c r="B70" s="320" t="str">
        <f>+_xlfn.XLOOKUP($A70,LIST[ID],LIST[DESCRIPCIÓN])</f>
        <v>PUNTO DE ILUMINACIÓN INCLUYE INTERRUPTOR Y LAMPARA 18W</v>
      </c>
      <c r="C70" s="294" t="str">
        <f>+_xlfn.XLOOKUP($A70,LIST[ID],LIST[UNIDAD])</f>
        <v>UND</v>
      </c>
      <c r="D70" s="3" t="s">
        <v>251</v>
      </c>
      <c r="E70" s="368">
        <v>0.5</v>
      </c>
      <c r="F70" s="337">
        <v>0.35</v>
      </c>
      <c r="G70" s="368"/>
      <c r="H70" s="336"/>
      <c r="I70" s="131"/>
    </row>
    <row r="71" spans="1:9" ht="18" customHeight="1">
      <c r="A71" s="108" t="str">
        <f>+LIST!A70</f>
        <v>ELC-007</v>
      </c>
      <c r="B71" s="320" t="str">
        <f>+_xlfn.XLOOKUP($A71,LIST[ID],LIST[DESCRIPCIÓN])</f>
        <v>CANALETA ELECTRICA 12CMX20CMX2M</v>
      </c>
      <c r="C71" s="294" t="str">
        <f>+_xlfn.XLOOKUP($A71,LIST[ID],LIST[UNIDAD])</f>
        <v>M</v>
      </c>
      <c r="D71" s="3" t="s">
        <v>251</v>
      </c>
      <c r="E71" s="315">
        <v>1.6</v>
      </c>
      <c r="F71" s="77"/>
      <c r="G71" s="315"/>
      <c r="H71" s="316"/>
      <c r="I71" s="131"/>
    </row>
    <row r="72" spans="1:9">
      <c r="A72" s="108" t="str">
        <f>+LIST!A71</f>
        <v>ELC-008</v>
      </c>
      <c r="B72" s="320" t="str">
        <f>+_xlfn.XLOOKUP($A72,LIST[ID],LIST[DESCRIPCIÓN])</f>
        <v>SUMINISTRO E INSTALACIÓN DE LAMPARA 18W</v>
      </c>
      <c r="C72" s="294" t="str">
        <f>+_xlfn.XLOOKUP($A72,LIST[ID],LIST[UNIDAD])</f>
        <v>UND</v>
      </c>
      <c r="D72" s="3" t="s">
        <v>251</v>
      </c>
      <c r="E72" s="315" t="s">
        <v>658</v>
      </c>
      <c r="F72" s="77"/>
      <c r="G72" s="315"/>
      <c r="H72" s="316"/>
      <c r="I72" s="131"/>
    </row>
    <row r="73" spans="1:9" ht="28.8">
      <c r="A73" s="108" t="str">
        <f>+LIST!A72</f>
        <v>ELC-009</v>
      </c>
      <c r="B73" s="320" t="str">
        <f>+_xlfn.XLOOKUP($A73,LIST[ID],LIST[DESCRIPCIÓN])</f>
        <v>SUMINISTRO E INSTALACIÓN DE LUMINARIA EXTERIOR TIPO ROMBO SOLAR UF 20</v>
      </c>
      <c r="C73" s="294" t="str">
        <f>+_xlfn.XLOOKUP($A73,LIST[ID],LIST[UNIDAD])</f>
        <v>UND</v>
      </c>
      <c r="D73" s="3" t="s">
        <v>251</v>
      </c>
      <c r="E73" s="315">
        <v>3</v>
      </c>
      <c r="F73" s="77"/>
      <c r="G73" s="315"/>
      <c r="H73" s="316"/>
      <c r="I73" s="131"/>
    </row>
    <row r="74" spans="1:9" ht="28.8">
      <c r="A74" s="296" t="str">
        <f>+LIST!A73</f>
        <v>ELC-010</v>
      </c>
      <c r="B74" s="320" t="str">
        <f>+_xlfn.XLOOKUP($A74,LIST[ID],LIST[DESCRIPCIÓN])</f>
        <v>SUMINISTRO E INSTALACION DE REFLECTOR 200W IP65, LUZ BLANCA 20.000 LM</v>
      </c>
      <c r="C74" s="294" t="str">
        <f>+_xlfn.XLOOKUP($A74,LIST[ID],LIST[UNIDAD])</f>
        <v>UND</v>
      </c>
      <c r="D74" s="3" t="s">
        <v>251</v>
      </c>
      <c r="E74" s="315">
        <v>3</v>
      </c>
      <c r="F74" s="337"/>
      <c r="G74" s="368"/>
      <c r="H74" s="336"/>
      <c r="I74" s="342"/>
    </row>
    <row r="75" spans="1:9" ht="18" customHeight="1">
      <c r="A75" s="108" t="str">
        <f>+LIST!A74</f>
        <v>ELC-011</v>
      </c>
      <c r="B75" s="320" t="str">
        <f>+_xlfn.XLOOKUP($A75,LIST[ID],LIST[DESCRIPCIÓN])</f>
        <v>SUMINISTRO E INSTALACIÓN DE LUMINARIA EXTERIOR LED TIPO FAROL DE 8.100 LM Y 60W</v>
      </c>
      <c r="C75" s="294" t="str">
        <f>+_xlfn.XLOOKUP($A75,LIST[ID],LIST[UNIDAD])</f>
        <v>UND</v>
      </c>
      <c r="D75" s="3" t="s">
        <v>251</v>
      </c>
      <c r="E75" s="315">
        <v>3</v>
      </c>
      <c r="F75" s="337"/>
      <c r="G75" s="368"/>
      <c r="H75" s="336"/>
      <c r="I75" s="342"/>
    </row>
    <row r="76" spans="1:9" ht="18" customHeight="1">
      <c r="A76" s="108">
        <f>+LIST!A75</f>
        <v>0</v>
      </c>
      <c r="B76" s="305"/>
      <c r="C76" s="83"/>
      <c r="D76" s="83"/>
      <c r="E76" s="315"/>
      <c r="F76" s="337"/>
      <c r="G76" s="368"/>
      <c r="H76" s="336"/>
      <c r="I76" s="342"/>
    </row>
    <row r="77" spans="1:9" ht="18" customHeight="1">
      <c r="A77" s="108">
        <f>+LIST!A76</f>
        <v>0</v>
      </c>
      <c r="B77" s="305"/>
      <c r="C77" s="83"/>
      <c r="D77" s="83"/>
      <c r="E77" s="315"/>
      <c r="F77" s="337"/>
      <c r="G77" s="368"/>
      <c r="H77" s="336"/>
      <c r="I77" s="342"/>
    </row>
    <row r="78" spans="1:9">
      <c r="A78" s="108" t="str">
        <f>+LIST!A77</f>
        <v>HS</v>
      </c>
      <c r="B78" s="322" t="str">
        <f>+LIST!B77</f>
        <v>HIDRAULICO Y SANITARIO (HS)</v>
      </c>
      <c r="C78" s="331"/>
      <c r="D78" s="334"/>
      <c r="E78" s="325"/>
      <c r="F78" s="325"/>
      <c r="G78" s="325"/>
      <c r="H78" s="325"/>
      <c r="I78" s="335"/>
    </row>
    <row r="79" spans="1:9" ht="28.8">
      <c r="A79" s="108" t="str">
        <f>+LIST!A78</f>
        <v>HS-001</v>
      </c>
      <c r="B79" s="320" t="str">
        <f>+_xlfn.XLOOKUP($A79,LIST[ID],LIST[DESCRIPCIÓN])</f>
        <v>SUMINISTRO E INSTALACION DE SANITARIO (INCLUYE GRIFERIA)</v>
      </c>
      <c r="C79" s="294" t="str">
        <f>+_xlfn.XLOOKUP($A79,LIST[ID],LIST[UNIDAD])</f>
        <v>UND</v>
      </c>
      <c r="D79" s="3" t="s">
        <v>251</v>
      </c>
      <c r="E79" s="337">
        <v>2.5</v>
      </c>
      <c r="F79" s="337"/>
      <c r="G79" s="337"/>
      <c r="H79" s="338"/>
      <c r="I79" s="339"/>
    </row>
    <row r="80" spans="1:9" ht="28.8">
      <c r="A80" s="108" t="str">
        <f>+LIST!A79</f>
        <v>HS-002</v>
      </c>
      <c r="B80" s="320" t="str">
        <f>+_xlfn.XLOOKUP($A80,LIST[ID],LIST[DESCRIPCIÓN])</f>
        <v>SUMINISTRO E INSTALACION DE SANITARIO INFANTIL (INCLUYE GRIFERIA)</v>
      </c>
      <c r="C80" s="294" t="str">
        <f>+_xlfn.XLOOKUP($A80,LIST[ID],LIST[UNIDAD])</f>
        <v>UND</v>
      </c>
      <c r="D80" s="3" t="s">
        <v>251</v>
      </c>
      <c r="E80" s="337">
        <v>1.5</v>
      </c>
      <c r="F80" s="337"/>
      <c r="G80" s="337"/>
      <c r="H80" s="338"/>
      <c r="I80" s="340"/>
    </row>
    <row r="81" spans="1:9" ht="28.8">
      <c r="A81" s="108" t="str">
        <f>+LIST!A80</f>
        <v>HS-003</v>
      </c>
      <c r="B81" s="320" t="str">
        <f>+_xlfn.XLOOKUP($A81,LIST[ID],LIST[DESCRIPCIÓN])</f>
        <v>SUMINISTRO E INSTALACION DE LAVAMOS DE EMPOTRAR (INCLUYE GRIFERIA)</v>
      </c>
      <c r="C81" s="294" t="str">
        <f>+_xlfn.XLOOKUP($A81,LIST[ID],LIST[UNIDAD])</f>
        <v>UND</v>
      </c>
      <c r="D81" s="3" t="s">
        <v>251</v>
      </c>
      <c r="E81" s="337">
        <v>1.2</v>
      </c>
      <c r="F81" s="337"/>
      <c r="G81" s="341"/>
      <c r="H81" s="338"/>
      <c r="I81" s="342"/>
    </row>
    <row r="82" spans="1:9">
      <c r="A82" s="108" t="str">
        <f>+LIST!A81</f>
        <v>HS-004</v>
      </c>
      <c r="B82" s="320" t="str">
        <f>+_xlfn.XLOOKUP($A82,LIST[ID],LIST[DESCRIPCIÓN])</f>
        <v>SUMINISTRO E INSTALACIÓN DE LLAVE LAVAMANOS TIPO PUSH</v>
      </c>
      <c r="C82" s="294" t="str">
        <f>+_xlfn.XLOOKUP($A82,LIST[ID],LIST[UNIDAD])</f>
        <v>UND</v>
      </c>
      <c r="D82" s="3" t="s">
        <v>251</v>
      </c>
      <c r="E82" s="336">
        <v>0.8</v>
      </c>
      <c r="F82" s="337"/>
      <c r="G82" s="341"/>
      <c r="H82" s="338"/>
      <c r="I82" s="342"/>
    </row>
    <row r="83" spans="1:9">
      <c r="A83" s="108" t="str">
        <f>+LIST!A82</f>
        <v>HS-005</v>
      </c>
      <c r="B83" s="320" t="str">
        <f>+_xlfn.XLOOKUP($A83,LIST[ID],LIST[DESCRIPCIÓN])</f>
        <v>SUMINISTRO E INSTALACIÓN DE DESAGUE PARA LAVAMOS</v>
      </c>
      <c r="C83" s="294" t="str">
        <f>+_xlfn.XLOOKUP($A83,LIST[ID],LIST[UNIDAD])</f>
        <v>UND</v>
      </c>
      <c r="D83" s="3" t="s">
        <v>251</v>
      </c>
      <c r="E83" s="336">
        <v>1</v>
      </c>
      <c r="F83" s="337"/>
      <c r="G83" s="337"/>
      <c r="H83" s="338"/>
      <c r="I83" s="339"/>
    </row>
    <row r="84" spans="1:9">
      <c r="A84" s="108" t="str">
        <f>+LIST!A83</f>
        <v>HS-006</v>
      </c>
      <c r="B84" s="320" t="str">
        <f>+_xlfn.XLOOKUP($A84,LIST[ID],LIST[DESCRIPCIÓN])</f>
        <v>MANTENIMIENTO RED SANITARIA (PUNTO OBSTRUIDO)</v>
      </c>
      <c r="C84" s="294" t="str">
        <f>+_xlfn.XLOOKUP($A84,LIST[ID],LIST[UNIDAD])</f>
        <v>UND</v>
      </c>
      <c r="D84" s="3" t="s">
        <v>251</v>
      </c>
      <c r="E84" s="336">
        <v>3</v>
      </c>
      <c r="F84" s="337"/>
      <c r="G84" s="337"/>
      <c r="H84" s="338"/>
      <c r="I84" s="340"/>
    </row>
    <row r="85" spans="1:9" ht="28.8">
      <c r="A85" s="108" t="str">
        <f>+LIST!A84</f>
        <v>HS-007</v>
      </c>
      <c r="B85" s="320" t="str">
        <f>+_xlfn.XLOOKUP($A85,LIST[ID],LIST[DESCRIPCIÓN])</f>
        <v>TAPA EN CONCRETO PARA CAJA DE INSPECCIÓN 1X1 M CON TERMINAL EN ANGULO 1/2"</v>
      </c>
      <c r="C85" s="294" t="str">
        <f>+_xlfn.XLOOKUP($A85,LIST[ID],LIST[UNIDAD])</f>
        <v>UND</v>
      </c>
      <c r="D85" s="3" t="s">
        <v>251</v>
      </c>
      <c r="E85" s="336">
        <v>4</v>
      </c>
      <c r="F85" s="337"/>
      <c r="G85" s="337"/>
      <c r="H85" s="338"/>
      <c r="I85" s="339"/>
    </row>
    <row r="86" spans="1:9" ht="22.5" customHeight="1">
      <c r="A86" s="108" t="str">
        <f>+LIST!A85</f>
        <v>HS-008</v>
      </c>
      <c r="B86" s="320" t="str">
        <f>+_xlfn.XLOOKUP($A86,LIST[ID],LIST[DESCRIPCIÓN])</f>
        <v>SUMINISTRO E INSTALACIÓN DE LLAVE ORINAL TIPO PUSH</v>
      </c>
      <c r="C86" s="294" t="str">
        <f>+_xlfn.XLOOKUP($A86,LIST[ID],LIST[UNIDAD])</f>
        <v>UND</v>
      </c>
      <c r="D86" s="3" t="s">
        <v>251</v>
      </c>
      <c r="E86" s="336">
        <v>0.8</v>
      </c>
      <c r="F86" s="337"/>
      <c r="G86" s="341"/>
      <c r="H86" s="338"/>
      <c r="I86" s="342"/>
    </row>
    <row r="87" spans="1:9" ht="22.5" customHeight="1">
      <c r="A87" s="108" t="str">
        <f>+LIST!A86</f>
        <v>HS-009</v>
      </c>
      <c r="B87" s="320" t="str">
        <f>+_xlfn.XLOOKUP($A87,LIST[ID],LIST[DESCRIPCIÓN])</f>
        <v>SUMINISTRO E INSTALACIÓN DE GRIFERIA PARA SANITARIO</v>
      </c>
      <c r="C87" s="294" t="str">
        <f>+_xlfn.XLOOKUP($A87,LIST[ID],LIST[UNIDAD])</f>
        <v>UND</v>
      </c>
      <c r="D87" s="3" t="s">
        <v>251</v>
      </c>
      <c r="E87" s="336">
        <v>1</v>
      </c>
      <c r="F87" s="337"/>
      <c r="G87" s="337"/>
      <c r="H87" s="338"/>
      <c r="I87" s="339"/>
    </row>
    <row r="88" spans="1:9">
      <c r="A88" s="108" t="str">
        <f>+LIST!A87</f>
        <v>HS-010</v>
      </c>
      <c r="B88" s="82" t="str">
        <f>+_xlfn.XLOOKUP($A88,LIST[ID],LIST[DESCRIPCIÓN])</f>
        <v>SUMINISTRO E INSTALACIÓN DE DESAGUE PARA LAVAPLATOS</v>
      </c>
      <c r="C88" s="3" t="str">
        <f>+_xlfn.XLOOKUP($A88,LIST[ID],LIST[UNIDAD])</f>
        <v>UND</v>
      </c>
      <c r="D88" s="83" t="s">
        <v>251</v>
      </c>
      <c r="E88" s="315">
        <v>1</v>
      </c>
      <c r="F88" s="77"/>
      <c r="G88" s="345"/>
      <c r="H88" s="78"/>
      <c r="I88" s="346"/>
    </row>
    <row r="89" spans="1:9">
      <c r="A89" s="108" t="str">
        <f>+LIST!A88</f>
        <v>HS-011</v>
      </c>
      <c r="B89" s="320" t="str">
        <f>+_xlfn.XLOOKUP($A89,LIST[ID],LIST[DESCRIPCIÓN])</f>
        <v>INSTALACIÓN MANGUERA DE ACOPLE 1/2"</v>
      </c>
      <c r="C89" s="294" t="str">
        <f>+_xlfn.XLOOKUP($A89,LIST[ID],LIST[UNIDAD])</f>
        <v>UND</v>
      </c>
      <c r="D89" s="3" t="s">
        <v>251</v>
      </c>
      <c r="E89" s="336">
        <v>0.3</v>
      </c>
      <c r="F89" s="337"/>
      <c r="G89" s="341"/>
      <c r="H89" s="338"/>
      <c r="I89" s="342"/>
    </row>
    <row r="90" spans="1:9" ht="28.8">
      <c r="A90" s="108" t="str">
        <f>+LIST!A89</f>
        <v>HS-012</v>
      </c>
      <c r="B90" s="320" t="str">
        <f>+_xlfn.XLOOKUP($A90,LIST[ID],LIST[DESCRIPCIÓN])</f>
        <v>CAJA EN CONCRETO PARA CAJA DE INSPECCIÓN 1X1 M CON TERMINAL EN ANGULO 1/2"</v>
      </c>
      <c r="C90" s="294" t="str">
        <f>+_xlfn.XLOOKUP($A90,LIST[ID],LIST[UNIDAD])</f>
        <v>UND</v>
      </c>
      <c r="D90" s="3" t="s">
        <v>251</v>
      </c>
      <c r="E90" s="315">
        <v>4.5</v>
      </c>
      <c r="F90" s="337"/>
      <c r="G90" s="341"/>
      <c r="H90" s="338"/>
      <c r="I90" s="342"/>
    </row>
    <row r="91" spans="1:9" ht="19.5" customHeight="1">
      <c r="A91" s="108" t="str">
        <f>+LIST!A90</f>
        <v>HS-013</v>
      </c>
      <c r="B91" s="320" t="str">
        <f>+_xlfn.XLOOKUP($A91,LIST[ID],LIST[DESCRIPCIÓN])</f>
        <v xml:space="preserve">TUBERIA ANILLADA PVC DE 36" </v>
      </c>
      <c r="C91" s="294" t="str">
        <f>+_xlfn.XLOOKUP($A91,LIST[ID],LIST[UNIDAD])</f>
        <v>M</v>
      </c>
      <c r="D91" s="3" t="s">
        <v>251</v>
      </c>
      <c r="E91" s="315"/>
      <c r="F91" s="337">
        <v>1.2</v>
      </c>
      <c r="G91" s="341"/>
      <c r="H91" s="338"/>
      <c r="I91" s="342"/>
    </row>
    <row r="92" spans="1:9" ht="32.4" customHeight="1">
      <c r="A92" s="108" t="str">
        <f>+LIST!A91</f>
        <v>HS-014</v>
      </c>
      <c r="B92" s="320" t="str">
        <f>+_xlfn.XLOOKUP($A92,LIST[ID],LIST[DESCRIPCIÓN])</f>
        <v>CANAL EN CONCRETO 3.000 PSI SECCIÓN TRAPEZOIDAL A1=50CM, A2=30CM Y H=15 CM, ESPESOR 10 CM</v>
      </c>
      <c r="C92" s="294" t="str">
        <f>+_xlfn.XLOOKUP($A92,LIST[ID],LIST[UNIDAD])</f>
        <v>M</v>
      </c>
      <c r="D92" s="3" t="s">
        <v>251</v>
      </c>
      <c r="E92" s="315">
        <v>2</v>
      </c>
      <c r="F92" s="337"/>
      <c r="G92" s="341"/>
      <c r="H92" s="338"/>
      <c r="I92" s="342"/>
    </row>
    <row r="93" spans="1:9">
      <c r="A93" s="108" t="str">
        <f>+LIST!A92</f>
        <v>HS-015</v>
      </c>
      <c r="B93" s="320" t="str">
        <f>+_xlfn.XLOOKUP($A93,LIST[ID],LIST[DESCRIPCIÓN])</f>
        <v>MANGUERA POLIURETANO DE ALTA PRESIÓN 1/2" RDE 9</v>
      </c>
      <c r="C93" s="294" t="str">
        <f>+_xlfn.XLOOKUP($A93,LIST[ID],LIST[UNIDAD])</f>
        <v>M</v>
      </c>
      <c r="D93" s="3" t="s">
        <v>251</v>
      </c>
      <c r="E93" s="336">
        <v>0.2</v>
      </c>
      <c r="F93" s="337"/>
      <c r="G93" s="341"/>
      <c r="H93" s="338"/>
      <c r="I93" s="342"/>
    </row>
    <row r="94" spans="1:9">
      <c r="A94" s="108">
        <f>+LIST!A93</f>
        <v>0</v>
      </c>
      <c r="B94" s="305"/>
      <c r="C94" s="83"/>
      <c r="D94" s="83"/>
      <c r="E94" s="315"/>
      <c r="F94" s="77"/>
      <c r="G94" s="341"/>
      <c r="H94" s="78"/>
      <c r="I94" s="342"/>
    </row>
    <row r="95" spans="1:9">
      <c r="A95" s="108">
        <f>+LIST!A94</f>
        <v>0</v>
      </c>
      <c r="B95" s="305"/>
      <c r="C95" s="83"/>
      <c r="D95" s="83"/>
      <c r="E95" s="315"/>
      <c r="F95" s="77"/>
      <c r="G95" s="341"/>
      <c r="H95" s="78"/>
      <c r="I95" s="342"/>
    </row>
    <row r="96" spans="1:9" ht="28.8">
      <c r="A96" s="108" t="str">
        <f>+LIST!A95</f>
        <v>CIE</v>
      </c>
      <c r="B96" s="322" t="str">
        <f>+LIST!B95</f>
        <v>CUBIERTAS, IMPERMEABILIZANTE Y ELEMENTOS DE SOPORTE (CIE)</v>
      </c>
      <c r="C96" s="348"/>
      <c r="D96" s="331"/>
      <c r="E96" s="349"/>
      <c r="F96" s="350"/>
      <c r="G96" s="351"/>
      <c r="H96" s="352"/>
      <c r="I96" s="353"/>
    </row>
    <row r="97" spans="1:9">
      <c r="A97" s="108" t="str">
        <f>+LIST!A96</f>
        <v>CIE-001</v>
      </c>
      <c r="B97" s="320" t="str">
        <f>+_xlfn.XLOOKUP($A97,LIST[ID],LIST[DESCRIPCIÓN])</f>
        <v>TEJA EN LAMINA GALVANIZADA CAL.28</v>
      </c>
      <c r="C97" s="294" t="str">
        <f>+_xlfn.XLOOKUP($A97,LIST[ID],LIST[UNIDAD])</f>
        <v>M2</v>
      </c>
      <c r="D97" s="83" t="s">
        <v>251</v>
      </c>
      <c r="E97" s="336">
        <v>0.65</v>
      </c>
      <c r="F97" s="337">
        <v>0.48</v>
      </c>
      <c r="G97" s="341"/>
      <c r="H97" s="78"/>
      <c r="I97" s="131"/>
    </row>
    <row r="98" spans="1:9">
      <c r="A98" s="108" t="str">
        <f>+LIST!A97</f>
        <v>CIE-002</v>
      </c>
      <c r="B98" s="320" t="str">
        <f>+_xlfn.XLOOKUP($A98,LIST[ID],LIST[DESCRIPCIÓN])</f>
        <v>TUBERÍA PVC 4" SANITARIO BAJANTE AGUAS LLUVIAS</v>
      </c>
      <c r="C98" s="294" t="str">
        <f>+_xlfn.XLOOKUP($A98,LIST[ID],LIST[UNIDAD])</f>
        <v>M</v>
      </c>
      <c r="D98" s="83" t="s">
        <v>251</v>
      </c>
      <c r="E98" s="364">
        <v>0.5</v>
      </c>
      <c r="F98" s="337">
        <v>0.42</v>
      </c>
      <c r="G98" s="341"/>
      <c r="H98" s="78"/>
      <c r="I98" s="131"/>
    </row>
    <row r="99" spans="1:9">
      <c r="A99" s="108" t="str">
        <f>+LIST!A98</f>
        <v>CIE-003</v>
      </c>
      <c r="B99" s="320" t="str">
        <f>+_xlfn.XLOOKUP($A99,LIST[ID],LIST[DESCRIPCIÓN])</f>
        <v xml:space="preserve">TEJA TERMOACISTICA ARQUITECTONICA CAL. 31 </v>
      </c>
      <c r="C99" s="294" t="str">
        <f>+_xlfn.XLOOKUP($A99,LIST[ID],LIST[UNIDAD])</f>
        <v>M2</v>
      </c>
      <c r="D99" s="83" t="s">
        <v>251</v>
      </c>
      <c r="E99" s="347">
        <v>0.65</v>
      </c>
      <c r="F99" s="337">
        <v>0.48</v>
      </c>
      <c r="G99" s="341"/>
      <c r="H99" s="78"/>
      <c r="I99" s="131"/>
    </row>
    <row r="100" spans="1:9">
      <c r="A100" s="108" t="str">
        <f>+LIST!A99</f>
        <v>CIE-004</v>
      </c>
      <c r="B100" s="320" t="str">
        <f>+_xlfn.XLOOKUP($A100,LIST[ID],LIST[DESCRIPCIÓN])</f>
        <v>FLANCHE METALICO CUBIERTA CAL.26</v>
      </c>
      <c r="C100" s="294" t="str">
        <f>+_xlfn.XLOOKUP($A100,LIST[ID],LIST[UNIDAD])</f>
        <v>M</v>
      </c>
      <c r="D100" s="83" t="s">
        <v>251</v>
      </c>
      <c r="E100" s="116">
        <v>0.3</v>
      </c>
      <c r="F100" s="77"/>
      <c r="G100" s="341"/>
      <c r="H100" s="78"/>
      <c r="I100" s="131"/>
    </row>
    <row r="101" spans="1:9">
      <c r="A101" s="108" t="str">
        <f>+LIST!A100</f>
        <v>CIE-005</v>
      </c>
      <c r="B101" s="320" t="str">
        <f>+_xlfn.XLOOKUP($A101,LIST[ID],LIST[DESCRIPCIÓN])</f>
        <v>TAPA GOTERAS CON SELLANTE, ACRILICO+FIBRA</v>
      </c>
      <c r="C101" s="294" t="str">
        <f>+_xlfn.XLOOKUP($A101,LIST[ID],LIST[UNIDAD])</f>
        <v>M2</v>
      </c>
      <c r="D101" s="83" t="s">
        <v>251</v>
      </c>
      <c r="E101" s="347">
        <v>0.22</v>
      </c>
      <c r="F101" s="337">
        <v>0.18</v>
      </c>
      <c r="G101" s="341"/>
      <c r="H101" s="78"/>
      <c r="I101" s="131"/>
    </row>
    <row r="102" spans="1:9">
      <c r="A102" s="108" t="str">
        <f>+LIST!A101</f>
        <v>CIE-006</v>
      </c>
      <c r="B102" s="320" t="str">
        <f>+_xlfn.XLOOKUP($A102,LIST[ID],LIST[DESCRIPCIÓN])</f>
        <v>IMPERMEABILIZANTE DE VIGACANALES EN CONCRETO</v>
      </c>
      <c r="C102" s="294" t="str">
        <f>+_xlfn.XLOOKUP($A102,LIST[ID],LIST[UNIDAD])</f>
        <v>M</v>
      </c>
      <c r="D102" s="83" t="s">
        <v>251</v>
      </c>
      <c r="E102" s="347">
        <v>0.35</v>
      </c>
      <c r="F102" s="337"/>
      <c r="G102" s="341"/>
      <c r="H102" s="78"/>
      <c r="I102" s="131"/>
    </row>
    <row r="103" spans="1:9">
      <c r="A103" s="108" t="str">
        <f>+LIST!A102</f>
        <v>CIE-007</v>
      </c>
      <c r="B103" s="320" t="str">
        <f>+_xlfn.XLOOKUP($A103,LIST[ID],LIST[DESCRIPCIÓN])</f>
        <v>TUBERIA CUADRADA 6X6CM BAJANTE AGUAS LLUVIAS</v>
      </c>
      <c r="C103" s="294" t="str">
        <f>+_xlfn.XLOOKUP($A103,LIST[ID],LIST[UNIDAD])</f>
        <v>M</v>
      </c>
      <c r="D103" s="83" t="s">
        <v>251</v>
      </c>
      <c r="E103" s="116">
        <v>0.5</v>
      </c>
      <c r="F103" s="337">
        <v>0.42</v>
      </c>
      <c r="G103" s="341"/>
      <c r="H103" s="78"/>
      <c r="I103" s="131"/>
    </row>
    <row r="104" spans="1:9" ht="28.8">
      <c r="A104" s="108" t="str">
        <f>+LIST!A103</f>
        <v>CIE-008</v>
      </c>
      <c r="B104" s="320" t="str">
        <f>+_xlfn.XLOOKUP($A104,LIST[ID],LIST[DESCRIPCIÓN])</f>
        <v>IMPERMEABILIZANTE PARA MUROS CON RESINA ACUOSA DE IMPREGNACIÓN</v>
      </c>
      <c r="C104" s="294" t="str">
        <f>+_xlfn.XLOOKUP($A104,LIST[ID],LIST[UNIDAD])</f>
        <v>M2</v>
      </c>
      <c r="D104" s="83" t="s">
        <v>251</v>
      </c>
      <c r="E104" s="116">
        <v>0.3</v>
      </c>
      <c r="F104" s="77"/>
      <c r="G104" s="341"/>
      <c r="H104" s="78"/>
      <c r="I104" s="131"/>
    </row>
    <row r="105" spans="1:9">
      <c r="A105" s="108">
        <f>+LIST!A104</f>
        <v>0</v>
      </c>
      <c r="B105" s="305"/>
      <c r="C105" s="83"/>
      <c r="D105" s="83"/>
      <c r="E105" s="116"/>
      <c r="F105" s="77"/>
      <c r="G105" s="341"/>
      <c r="H105" s="78"/>
      <c r="I105" s="131"/>
    </row>
    <row r="106" spans="1:9">
      <c r="A106" s="108">
        <f>+LIST!A105</f>
        <v>0</v>
      </c>
      <c r="B106" s="305"/>
      <c r="C106" s="83"/>
      <c r="D106" s="83"/>
      <c r="E106" s="116"/>
      <c r="F106" s="77"/>
      <c r="G106" s="341"/>
      <c r="H106" s="78"/>
      <c r="I106" s="131"/>
    </row>
    <row r="107" spans="1:9">
      <c r="A107" s="108" t="str">
        <f>+LIST!A106</f>
        <v>LF</v>
      </c>
      <c r="B107" s="356" t="str">
        <f>+LIST!B106</f>
        <v>LIMPIEZA Y FINALIZACIÓN DE OBRA (LF)</v>
      </c>
      <c r="C107" s="357"/>
      <c r="D107" s="357"/>
      <c r="E107" s="358"/>
      <c r="F107" s="359"/>
      <c r="G107" s="360"/>
      <c r="H107" s="361"/>
      <c r="I107" s="362"/>
    </row>
    <row r="108" spans="1:9">
      <c r="A108" s="108" t="str">
        <f>+LIST!A107</f>
        <v>LF-001</v>
      </c>
      <c r="B108" s="320" t="str">
        <f>+_xlfn.XLOOKUP($A108,LIST[ID],LIST[DESCRIPCIÓN])</f>
        <v>RETIRO DE MATERIAL SOBRANTE HASTA 5 KM</v>
      </c>
      <c r="C108" s="294" t="str">
        <f>+_xlfn.XLOOKUP($A108,LIST[ID],LIST[UNIDAD])</f>
        <v>M3</v>
      </c>
      <c r="D108" s="83" t="s">
        <v>251</v>
      </c>
      <c r="E108" s="116">
        <v>0.06</v>
      </c>
      <c r="F108" s="115">
        <v>0.05</v>
      </c>
      <c r="G108" s="71"/>
      <c r="H108" s="78"/>
      <c r="I108" s="131"/>
    </row>
    <row r="109" spans="1:9">
      <c r="A109" s="108">
        <f>+LIST!A108</f>
        <v>0</v>
      </c>
      <c r="B109" s="320" t="e">
        <f>+_xlfn.XLOOKUP($A109,LIST[ID],LIST[DESCRIPCIÓN])</f>
        <v>#N/A</v>
      </c>
      <c r="C109" s="294" t="e">
        <f>+_xlfn.XLOOKUP($A109,LIST[ID],LIST[UNIDAD])</f>
        <v>#N/A</v>
      </c>
      <c r="D109" s="83" t="s">
        <v>251</v>
      </c>
      <c r="E109" s="116"/>
      <c r="F109" s="77"/>
      <c r="G109" s="71"/>
      <c r="H109" s="78"/>
      <c r="I109" s="131"/>
    </row>
    <row r="110" spans="1:9">
      <c r="A110" s="108">
        <f>+LIST!A109</f>
        <v>0</v>
      </c>
      <c r="B110" s="320" t="e">
        <f>+_xlfn.XLOOKUP($A110,LIST[ID],LIST[DESCRIPCIÓN])</f>
        <v>#N/A</v>
      </c>
      <c r="C110" s="294" t="e">
        <f>+_xlfn.XLOOKUP($A110,LIST[ID],LIST[UNIDAD])</f>
        <v>#N/A</v>
      </c>
      <c r="D110" s="83" t="s">
        <v>251</v>
      </c>
      <c r="E110" s="313"/>
      <c r="F110" s="139"/>
      <c r="G110" s="138"/>
      <c r="H110" s="140"/>
      <c r="I110" s="141"/>
    </row>
    <row r="111" spans="1:9">
      <c r="A111" s="108">
        <f>+LIST!A110</f>
        <v>0</v>
      </c>
      <c r="B111" s="320" t="e">
        <f>+_xlfn.XLOOKUP($A111,LIST[ID],LIST[DESCRIPCIÓN])</f>
        <v>#N/A</v>
      </c>
      <c r="C111" s="294" t="e">
        <f>+_xlfn.XLOOKUP($A111,LIST[ID],LIST[UNIDAD])</f>
        <v>#N/A</v>
      </c>
      <c r="D111" s="83" t="s">
        <v>251</v>
      </c>
      <c r="E111" s="116"/>
      <c r="F111" s="77"/>
      <c r="G111" s="71"/>
      <c r="H111" s="400"/>
      <c r="I111" s="131"/>
    </row>
    <row r="112" spans="1:9">
      <c r="A112" s="108">
        <f>+LIST!A111</f>
        <v>0</v>
      </c>
      <c r="B112" s="320" t="e">
        <f>+_xlfn.XLOOKUP($A112,LIST[ID],LIST[DESCRIPCIÓN])</f>
        <v>#N/A</v>
      </c>
      <c r="C112" s="294" t="e">
        <f>+_xlfn.XLOOKUP($A112,LIST[ID],LIST[UNIDAD])</f>
        <v>#N/A</v>
      </c>
      <c r="D112" s="83" t="s">
        <v>251</v>
      </c>
      <c r="E112" s="116"/>
      <c r="F112" s="77"/>
      <c r="G112" s="71"/>
      <c r="H112" s="400"/>
      <c r="I112" s="131"/>
    </row>
    <row r="113" spans="1:9">
      <c r="A113" s="108">
        <f>+LIST!A112</f>
        <v>0</v>
      </c>
      <c r="B113" s="320" t="e">
        <f>+_xlfn.XLOOKUP($A113,LIST[ID],LIST[DESCRIPCIÓN])</f>
        <v>#N/A</v>
      </c>
      <c r="C113" s="294" t="e">
        <f>+_xlfn.XLOOKUP($A113,LIST[ID],LIST[UNIDAD])</f>
        <v>#N/A</v>
      </c>
      <c r="D113" s="83" t="s">
        <v>251</v>
      </c>
      <c r="E113" s="116"/>
      <c r="F113" s="77"/>
      <c r="G113" s="71"/>
      <c r="H113" s="400"/>
      <c r="I113" s="131"/>
    </row>
    <row r="114" spans="1:9">
      <c r="A114" s="108">
        <f>+LIST!A113</f>
        <v>0</v>
      </c>
      <c r="B114" s="320" t="e">
        <f>+_xlfn.XLOOKUP($A114,LIST[ID],LIST[DESCRIPCIÓN])</f>
        <v>#N/A</v>
      </c>
      <c r="C114" s="294" t="e">
        <f>+_xlfn.XLOOKUP($A114,LIST[ID],LIST[UNIDAD])</f>
        <v>#N/A</v>
      </c>
      <c r="D114" s="83" t="s">
        <v>251</v>
      </c>
      <c r="E114" s="116"/>
      <c r="F114" s="77"/>
      <c r="G114" s="71"/>
      <c r="H114" s="400"/>
      <c r="I114" s="131"/>
    </row>
    <row r="115" spans="1:9">
      <c r="A115" s="108">
        <f>+LIST!A114</f>
        <v>0</v>
      </c>
      <c r="B115" s="320" t="e">
        <f>+_xlfn.XLOOKUP($A115,LIST[ID],LIST[DESCRIPCIÓN])</f>
        <v>#N/A</v>
      </c>
      <c r="C115" s="294" t="e">
        <f>+_xlfn.XLOOKUP($A115,LIST[ID],LIST[UNIDAD])</f>
        <v>#N/A</v>
      </c>
      <c r="D115" s="83" t="s">
        <v>251</v>
      </c>
      <c r="E115" s="116"/>
      <c r="F115" s="77"/>
      <c r="G115" s="71"/>
      <c r="H115" s="400"/>
      <c r="I115" s="131"/>
    </row>
    <row r="116" spans="1:9">
      <c r="A116" s="108" t="str">
        <f>+LIST!A115</f>
        <v>MED</v>
      </c>
      <c r="B116" s="406" t="str">
        <f>+_xlfn.XLOOKUP($A116,LIST[ID],LIST[DESCRIPCIÓN])</f>
        <v>MOBILIARIO Y ELEMENTOS DECORATIVOS (MED)</v>
      </c>
      <c r="C116" s="401"/>
      <c r="D116" s="357"/>
      <c r="E116" s="402"/>
      <c r="F116" s="403"/>
      <c r="G116" s="404"/>
      <c r="H116" s="405"/>
      <c r="I116" s="362"/>
    </row>
    <row r="117" spans="1:9">
      <c r="A117" s="108" t="str">
        <f>+LIST!A116</f>
        <v>MED-001</v>
      </c>
      <c r="B117" s="320" t="str">
        <f>+_xlfn.XLOOKUP($A117,LIST[ID],LIST[DESCRIPCIÓN])</f>
        <v>SOPORTE PARED ORGANIZADOR DE GUITARRAS 2 MTS</v>
      </c>
      <c r="C117" s="294" t="str">
        <f>+_xlfn.XLOOKUP($A117,LIST[ID],LIST[UNIDAD])</f>
        <v>UND</v>
      </c>
      <c r="D117" s="83" t="s">
        <v>251</v>
      </c>
      <c r="E117" s="116">
        <v>3</v>
      </c>
      <c r="F117" s="77"/>
      <c r="G117" s="71"/>
      <c r="H117" s="400"/>
      <c r="I117" s="131"/>
    </row>
    <row r="118" spans="1:9" ht="57.6">
      <c r="A118" s="108" t="str">
        <f>+LIST!A117</f>
        <v>MED-002</v>
      </c>
      <c r="B118" s="320" t="str">
        <f>+_xlfn.XLOOKUP($A118,LIST[ID],LIST[DESCRIPCIÓN])</f>
        <v>PARQUE INFANTIL DE  PLATAFORMAS CON TUNEL COMUNICANTE, RODADERO CERRADO, ESPIRAL Y DOBLE, ESCALERAS METALICAS DE ACCESO, COLUMPIOS, DOS TECHOS Y ACCESORIOS. AREA (9X6,40MTS)</v>
      </c>
      <c r="C118" s="294" t="str">
        <f>+_xlfn.XLOOKUP($A118,LIST[ID],LIST[UNIDAD])</f>
        <v>UND</v>
      </c>
      <c r="D118" s="83" t="s">
        <v>251</v>
      </c>
      <c r="E118" s="347"/>
      <c r="F118" s="337"/>
      <c r="G118" s="341">
        <v>8</v>
      </c>
      <c r="H118" s="411"/>
      <c r="I118" s="342"/>
    </row>
    <row r="119" spans="1:9" ht="57.6">
      <c r="A119" s="108" t="str">
        <f>+LIST!A118</f>
        <v>MED-003</v>
      </c>
      <c r="B119" s="320" t="str">
        <f>+_xlfn.XLOOKUP($A119,LIST[ID],LIST[DESCRIPCIÓN])</f>
        <v>SUMINISTRO E INSTALACION DE MAQUINA BIOSALUDABLE DOBLE ABDOMINAL DE 1.5x1.0x1.0  CON CERTIFICADO TUV GS, ISO 9000 Y DEMAS NORMAS APLICABLES - INCLUYE TODO PARA SU CORRECTO FUNCIONAMIENTO.</v>
      </c>
      <c r="C119" s="294" t="str">
        <f>+_xlfn.XLOOKUP($A119,LIST[ID],LIST[UNIDAD])</f>
        <v>UND</v>
      </c>
      <c r="D119" s="83" t="s">
        <v>251</v>
      </c>
      <c r="E119" s="347"/>
      <c r="F119" s="337">
        <v>6</v>
      </c>
      <c r="G119" s="341"/>
      <c r="H119" s="411"/>
      <c r="I119" s="342"/>
    </row>
    <row r="120" spans="1:9" ht="57.6">
      <c r="A120" s="108" t="str">
        <f>+LIST!A119</f>
        <v>MED-004</v>
      </c>
      <c r="B120" s="320" t="str">
        <f>+_xlfn.XLOOKUP($A120,LIST[ID],LIST[DESCRIPCIÓN])</f>
        <v>SUMINISTRO E INSTALACION DE MAQUINA BIOSALUDABLE REMO DE 1.5x1.0x1,0 CON CERTIFICADO TUV GS, ISO 9000 Y DEMAS NORMAS APLICABLES - INCLUYE TODO PARA SU CORRECTO FUNCIONAMIENTO.</v>
      </c>
      <c r="C120" s="294" t="str">
        <f>+_xlfn.XLOOKUP($A120,LIST[ID],LIST[UNIDAD])</f>
        <v>UND</v>
      </c>
      <c r="D120" s="83" t="s">
        <v>251</v>
      </c>
      <c r="E120" s="416"/>
      <c r="F120" s="412">
        <v>6</v>
      </c>
      <c r="G120" s="413"/>
      <c r="H120" s="414"/>
      <c r="I120" s="415"/>
    </row>
    <row r="121" spans="1:9" ht="57.6">
      <c r="A121" s="108" t="str">
        <f>+LIST!A120</f>
        <v>MED-005</v>
      </c>
      <c r="B121" s="320" t="str">
        <f>+_xlfn.XLOOKUP($A121,LIST[ID],LIST[DESCRIPCIÓN])</f>
        <v>SUMINISTRO E INSTALACION DE MAQUINA BIOSALUDABLE ELIPTICA DE 1.0x0.5x1.7 CON CERTIFICADO TUV GS, ISO 9000 Y DEMAS NORMAS APLICABLES - INCLUYE TODO PARA SU CORRECTO FUNCIONAMIENTO.</v>
      </c>
      <c r="C121" s="294" t="str">
        <f>+_xlfn.XLOOKUP($A121,LIST[ID],LIST[UNIDAD])</f>
        <v>UND</v>
      </c>
      <c r="D121" s="83" t="s">
        <v>251</v>
      </c>
      <c r="E121" s="116"/>
      <c r="F121" s="337">
        <v>6</v>
      </c>
      <c r="G121" s="341"/>
      <c r="H121" s="411"/>
      <c r="I121" s="342"/>
    </row>
    <row r="122" spans="1:9" ht="57.6">
      <c r="A122" s="108" t="str">
        <f>+LIST!A121</f>
        <v>MED-006</v>
      </c>
      <c r="B122" s="320" t="str">
        <f>+_xlfn.XLOOKUP($A122,LIST[ID],LIST[DESCRIPCIÓN])</f>
        <v xml:space="preserve">SUMINISTRO E INSTALACION DE MAQUINA BIOSALUDABLE COLUMPIO DOBLE DE 1.9x0.5x1.6 CON CERTIFICADO TUV GS, ISO 9000 Y DEMAS NORMAS APLICABLES - INCLUYE TODO PARA SU CORRECTO FUNCIONAMIENTO </v>
      </c>
      <c r="C122" s="294" t="str">
        <f>+_xlfn.XLOOKUP($A122,LIST[ID],LIST[UNIDAD])</f>
        <v>UND</v>
      </c>
      <c r="D122" s="83" t="s">
        <v>251</v>
      </c>
      <c r="E122" s="116"/>
      <c r="F122" s="337">
        <v>6</v>
      </c>
      <c r="G122" s="341"/>
      <c r="H122" s="411"/>
      <c r="I122" s="342"/>
    </row>
    <row r="123" spans="1:9" ht="57.6">
      <c r="A123" s="108" t="str">
        <f>+LIST!A122</f>
        <v>MED-007</v>
      </c>
      <c r="B123" s="320" t="str">
        <f>+_xlfn.XLOOKUP($A123,LIST[ID],LIST[DESCRIPCIÓN])</f>
        <v>SUMINISTRO E INSTALACION DE MAQUINA BIOSALUDABLE SURF DOBLE DE 1.1x0.9x1.3 M. CON CERTIFICADO TUV GS, ISO 9000 Y DEMAS NORMAS APLICABLES - INCLUYE TODO PARA SU CORRECTO FUNCIONAMIENTO</v>
      </c>
      <c r="C123" s="294" t="str">
        <f>+_xlfn.XLOOKUP($A123,LIST[ID],LIST[UNIDAD])</f>
        <v>UND</v>
      </c>
      <c r="D123" s="83" t="s">
        <v>251</v>
      </c>
      <c r="E123" s="116"/>
      <c r="F123" s="337">
        <v>6</v>
      </c>
      <c r="G123" s="341"/>
      <c r="H123" s="411"/>
      <c r="I123" s="342"/>
    </row>
    <row r="124" spans="1:9" ht="57.6">
      <c r="A124" s="108" t="str">
        <f>+LIST!A123</f>
        <v>MED-008</v>
      </c>
      <c r="B124" s="320" t="str">
        <f>+_xlfn.XLOOKUP($A124,LIST[ID],LIST[DESCRIPCIÓN])</f>
        <v xml:space="preserve">SUMINISTRO E INSTALACION DE MAQUINA BIOSALUDABLE BICICLETA DE 0.9x0.6x1.5 M. CON CERTIFICADO TUV GS, ISO 9000 Y DEMAS NORMAS APLICABLES - INCLUYE TODO PARA SU CORRECTO FUNCIONAMIENTO </v>
      </c>
      <c r="C124" s="294" t="str">
        <f>+_xlfn.XLOOKUP($A124,LIST[ID],LIST[UNIDAD])</f>
        <v>UND</v>
      </c>
      <c r="D124" s="83" t="s">
        <v>251</v>
      </c>
      <c r="E124" s="116"/>
      <c r="F124" s="337">
        <v>6</v>
      </c>
      <c r="G124" s="341"/>
      <c r="H124" s="411"/>
      <c r="I124" s="342"/>
    </row>
    <row r="125" spans="1:9" ht="57.6">
      <c r="A125" s="108" t="str">
        <f>+LIST!A124</f>
        <v>MED-009</v>
      </c>
      <c r="B125" s="320" t="str">
        <f>+_xlfn.XLOOKUP($A125,LIST[ID],LIST[DESCRIPCIÓN])</f>
        <v xml:space="preserve">SUMINISTRO E INSTALACION DE MAQUINA BIOSALUDABLE PONY DE 1X0.6X1.5 M. CON CERTIFICADO TUV GS, ISO 9000 Y DEMAS NORMAS APLICABLES - INCLUYE TODO PARA SU CORRECTO FUNCIONAMIENTO </v>
      </c>
      <c r="C125" s="294" t="str">
        <f>+_xlfn.XLOOKUP($A125,LIST[ID],LIST[UNIDAD])</f>
        <v>UND</v>
      </c>
      <c r="D125" s="83" t="s">
        <v>251</v>
      </c>
      <c r="E125" s="116"/>
      <c r="F125" s="337">
        <v>6</v>
      </c>
      <c r="G125" s="341"/>
      <c r="H125" s="411"/>
      <c r="I125" s="342"/>
    </row>
    <row r="126" spans="1:9" ht="28.8">
      <c r="A126" s="108" t="str">
        <f>+LIST!A125</f>
        <v>MED-010</v>
      </c>
      <c r="B126" s="320" t="str">
        <f>+_xlfn.XLOOKUP($A126,LIST[ID],LIST[DESCRIPCIÓN])</f>
        <v>BARANDA EN ALUMINIO 5 TUBOS, INCLUYE POSTES Y ACCESORIOS</v>
      </c>
      <c r="C126" s="294" t="str">
        <f>+_xlfn.XLOOKUP($A126,LIST[ID],LIST[UNIDAD])</f>
        <v>M</v>
      </c>
      <c r="D126" s="83" t="s">
        <v>251</v>
      </c>
      <c r="E126" s="116"/>
      <c r="F126" s="337">
        <v>1</v>
      </c>
      <c r="G126" s="341"/>
      <c r="H126" s="411"/>
      <c r="I126" s="342"/>
    </row>
    <row r="127" spans="1:9" ht="28.8">
      <c r="A127" s="108" t="str">
        <f>+LIST!A126</f>
        <v>MED-011</v>
      </c>
      <c r="B127" s="320" t="str">
        <f>+_xlfn.XLOOKUP($A127,LIST[ID],LIST[DESCRIPCIÓN])</f>
        <v>BARANDA METÁLICA TUBO PETROLERO 2" TRES LINEAS (INCLUYE PINTURA)</v>
      </c>
      <c r="C127" s="294" t="str">
        <f>+_xlfn.XLOOKUP($A127,LIST[ID],LIST[UNIDAD])</f>
        <v>M</v>
      </c>
      <c r="D127" s="83" t="s">
        <v>251</v>
      </c>
      <c r="E127" s="116"/>
      <c r="F127" s="337">
        <v>1</v>
      </c>
      <c r="G127" s="341"/>
      <c r="H127" s="411"/>
      <c r="I127" s="131"/>
    </row>
    <row r="128" spans="1:9">
      <c r="A128" s="108">
        <f>+LIST!A127</f>
        <v>0</v>
      </c>
      <c r="B128" s="71"/>
      <c r="C128" s="83"/>
      <c r="D128" s="71"/>
      <c r="E128" s="116"/>
      <c r="F128" s="337"/>
      <c r="G128" s="341"/>
      <c r="H128" s="411"/>
      <c r="I128" s="131"/>
    </row>
    <row r="129" spans="1:9">
      <c r="A129" s="108">
        <f>+LIST!A128</f>
        <v>0</v>
      </c>
      <c r="B129" s="138"/>
      <c r="C129" s="145"/>
      <c r="D129" s="138"/>
      <c r="E129" s="313"/>
      <c r="F129" s="412"/>
      <c r="G129" s="413"/>
      <c r="H129" s="414"/>
      <c r="I129" s="141"/>
    </row>
    <row r="130" spans="1:9" ht="24" customHeight="1">
      <c r="A130" s="108">
        <f>+LIST!A129</f>
        <v>0</v>
      </c>
      <c r="B130" s="71"/>
      <c r="C130" s="83"/>
      <c r="D130" s="71"/>
      <c r="E130" s="116"/>
      <c r="F130" s="77"/>
      <c r="G130" s="71"/>
      <c r="H130" s="400"/>
      <c r="I130" s="131"/>
    </row>
    <row r="131" spans="1:9" s="429" customFormat="1">
      <c r="A131" s="420" t="str">
        <f>+LIST!A130</f>
        <v>PAV</v>
      </c>
      <c r="B131" s="421" t="str">
        <f>+_xlfn.XLOOKUP($A131,LIST[ID],LIST[DESCRIPCIÓN])</f>
        <v>PAVIMENTOS Y VIAS</v>
      </c>
      <c r="C131" s="422"/>
      <c r="D131" s="423"/>
      <c r="E131" s="424"/>
      <c r="F131" s="425"/>
      <c r="G131" s="426"/>
      <c r="H131" s="427"/>
      <c r="I131" s="428"/>
    </row>
    <row r="132" spans="1:9" ht="28.8">
      <c r="A132" s="108" t="str">
        <f>+LIST!A131</f>
        <v>PAV-001</v>
      </c>
      <c r="B132" s="320" t="str">
        <f>+_xlfn.XLOOKUP($A132,LIST[ID],LIST[DESCRIPCIÓN])</f>
        <v>SUMINISTRO, INSTALACION Y COMPACTACIÓN DE SUBBASE GRANULAR CLASE C</v>
      </c>
      <c r="C132" s="294" t="str">
        <f>+_xlfn.XLOOKUP($A132,LIST[ID],LIST[UNIDAD])</f>
        <v>M3</v>
      </c>
      <c r="D132" s="83" t="s">
        <v>251</v>
      </c>
      <c r="E132" s="116"/>
      <c r="F132" s="115">
        <v>0.3</v>
      </c>
      <c r="G132" s="116"/>
      <c r="H132" s="315"/>
      <c r="I132" s="309"/>
    </row>
    <row r="133" spans="1:9" ht="28.8">
      <c r="A133" s="108" t="str">
        <f>+LIST!A132</f>
        <v>PAV-002</v>
      </c>
      <c r="B133" s="320" t="str">
        <f>+_xlfn.XLOOKUP($A133,LIST[ID],LIST[DESCRIPCIÓN])</f>
        <v>CONCRETO PARA PAVIMENTO RÍGIDO MR-38, INCLUYE SELLADO DE JUNTAS</v>
      </c>
      <c r="C133" s="294" t="str">
        <f>+_xlfn.XLOOKUP($A133,LIST[ID],LIST[UNIDAD])</f>
        <v>M3</v>
      </c>
      <c r="D133" s="83" t="s">
        <v>251</v>
      </c>
      <c r="E133" s="116"/>
      <c r="F133" s="115"/>
      <c r="G133" s="116">
        <v>4.8</v>
      </c>
      <c r="H133" s="315"/>
      <c r="I133" s="309"/>
    </row>
    <row r="134" spans="1:9" ht="28.8">
      <c r="A134" s="108" t="str">
        <f>+LIST!A133</f>
        <v>PAV-003</v>
      </c>
      <c r="B134" s="320" t="str">
        <f>+_xlfn.XLOOKUP($A134,LIST[ID],LIST[DESCRIPCIÓN])</f>
        <v>ACERO DE REFUERZO FIGURADO ƒ'y= 4200 GRADO 60 (PAVIMENTO)</v>
      </c>
      <c r="C134" s="294" t="str">
        <f>+_xlfn.XLOOKUP($A134,LIST[ID],LIST[UNIDAD])</f>
        <v>KG</v>
      </c>
      <c r="D134" s="83" t="s">
        <v>251</v>
      </c>
      <c r="E134" s="115">
        <v>0.08</v>
      </c>
      <c r="F134" s="115">
        <v>0.06</v>
      </c>
      <c r="G134" s="116">
        <v>0.05</v>
      </c>
      <c r="H134" s="315"/>
      <c r="I134" s="309"/>
    </row>
    <row r="135" spans="1:9" ht="28.8">
      <c r="A135" s="108" t="str">
        <f>+LIST!A134</f>
        <v>PAV-004</v>
      </c>
      <c r="B135" s="320" t="str">
        <f>+_xlfn.XLOOKUP($A135,LIST[ID],LIST[DESCRIPCIÓN])</f>
        <v xml:space="preserve">BORDILLO FUNDIDO EN SITIO DE 15X40 CM  EN CONCRETO 3000 PSI </v>
      </c>
      <c r="C135" s="294" t="str">
        <f>+_xlfn.XLOOKUP($A135,LIST[ID],LIST[UNIDAD])</f>
        <v>M</v>
      </c>
      <c r="D135" s="83" t="s">
        <v>251</v>
      </c>
      <c r="E135" s="116"/>
      <c r="F135" s="115"/>
      <c r="G135" s="116">
        <v>0.5</v>
      </c>
      <c r="H135" s="315"/>
      <c r="I135" s="309"/>
    </row>
    <row r="136" spans="1:9" ht="28.8">
      <c r="A136" s="108" t="str">
        <f>+LIST!A135</f>
        <v>PAV-005</v>
      </c>
      <c r="B136" s="320" t="str">
        <f>+_xlfn.XLOOKUP($A136,LIST[ID],LIST[DESCRIPCIÓN])</f>
        <v>RELLENO EN AFIRMADO EN CAPAS COMPACTADAS DE NO MAS DE 20 CM</v>
      </c>
      <c r="C136" s="294" t="str">
        <f>+_xlfn.XLOOKUP($A136,LIST[ID],LIST[UNIDAD])</f>
        <v>M3</v>
      </c>
      <c r="D136" s="83" t="s">
        <v>251</v>
      </c>
      <c r="E136" s="116"/>
      <c r="F136" s="115"/>
      <c r="G136" s="116"/>
      <c r="H136" s="315"/>
      <c r="I136" s="309"/>
    </row>
    <row r="137" spans="1:9" ht="28.8">
      <c r="A137" s="108" t="str">
        <f>+LIST!A136</f>
        <v>PAV-006</v>
      </c>
      <c r="B137" s="320" t="str">
        <f>+_xlfn.XLOOKUP($A137,LIST[ID],LIST[DESCRIPCIÓN])</f>
        <v>CONCRETO PARA PAVIMENTO RÍGIDO MR-40, INCLUYE SELLADO DE JUNTAS</v>
      </c>
      <c r="C137" s="294" t="str">
        <f>+_xlfn.XLOOKUP($A137,LIST[ID],LIST[UNIDAD])</f>
        <v>M3</v>
      </c>
      <c r="D137" s="83" t="s">
        <v>251</v>
      </c>
      <c r="E137" s="116"/>
      <c r="F137" s="115"/>
      <c r="G137" s="116">
        <v>5</v>
      </c>
      <c r="H137" s="115"/>
      <c r="I137" s="309"/>
    </row>
    <row r="138" spans="1:9">
      <c r="A138" s="108">
        <f>+LIST!A137</f>
        <v>0</v>
      </c>
      <c r="B138" s="71"/>
      <c r="C138" s="83"/>
      <c r="D138" s="71"/>
      <c r="E138" s="116"/>
      <c r="F138" s="77"/>
      <c r="G138" s="71"/>
      <c r="H138" s="78"/>
      <c r="I138" s="131"/>
    </row>
    <row r="139" spans="1:9">
      <c r="A139" s="108">
        <f>+LIST!A138</f>
        <v>0</v>
      </c>
      <c r="B139" s="71"/>
      <c r="C139" s="83"/>
      <c r="D139" s="71"/>
      <c r="E139" s="116"/>
      <c r="F139" s="77"/>
      <c r="G139" s="71"/>
      <c r="H139" s="78"/>
      <c r="I139" s="131"/>
    </row>
    <row r="140" spans="1:9">
      <c r="A140" s="108">
        <f>+LIST!A139</f>
        <v>0</v>
      </c>
      <c r="B140" s="71"/>
      <c r="C140" s="83"/>
      <c r="D140" s="71"/>
      <c r="E140" s="116"/>
      <c r="F140" s="77"/>
      <c r="G140" s="71"/>
      <c r="H140" s="78"/>
      <c r="I140" s="131"/>
    </row>
    <row r="141" spans="1:9">
      <c r="A141" s="108">
        <f>+LIST!A140</f>
        <v>0</v>
      </c>
      <c r="B141" s="71"/>
      <c r="C141" s="83"/>
      <c r="D141" s="71"/>
      <c r="E141" s="116"/>
      <c r="F141" s="77"/>
      <c r="G141" s="71"/>
      <c r="H141" s="78"/>
      <c r="I141" s="131"/>
    </row>
    <row r="142" spans="1:9">
      <c r="A142" s="108">
        <f>+LIST!A141</f>
        <v>0</v>
      </c>
      <c r="B142" s="71"/>
      <c r="C142" s="83"/>
      <c r="D142" s="71"/>
      <c r="E142" s="116"/>
      <c r="F142" s="77"/>
      <c r="G142" s="71"/>
      <c r="H142" s="78"/>
      <c r="I142" s="131"/>
    </row>
    <row r="143" spans="1:9">
      <c r="A143" s="108">
        <f>+LIST!A142</f>
        <v>0</v>
      </c>
      <c r="B143" s="71"/>
      <c r="C143" s="83"/>
      <c r="D143" s="71"/>
      <c r="E143" s="116"/>
      <c r="F143" s="77"/>
      <c r="G143" s="71"/>
      <c r="H143" s="78"/>
      <c r="I143" s="131"/>
    </row>
    <row r="144" spans="1:9">
      <c r="A144" s="108">
        <f>+LIST!A143</f>
        <v>0</v>
      </c>
      <c r="B144" s="71"/>
      <c r="C144" s="83"/>
      <c r="D144" s="71"/>
      <c r="E144" s="116"/>
      <c r="F144" s="77"/>
      <c r="G144" s="71"/>
      <c r="H144" s="78"/>
      <c r="I144" s="131"/>
    </row>
    <row r="145" spans="1:9">
      <c r="A145" s="108">
        <f>+LIST!A144</f>
        <v>0</v>
      </c>
      <c r="B145" s="71"/>
      <c r="C145" s="83"/>
      <c r="D145" s="71"/>
      <c r="E145" s="116"/>
      <c r="F145" s="77"/>
      <c r="G145" s="71"/>
      <c r="H145" s="78"/>
      <c r="I145" s="131"/>
    </row>
    <row r="146" spans="1:9">
      <c r="A146" s="108">
        <f>+LIST!A145</f>
        <v>0</v>
      </c>
      <c r="B146" s="71"/>
      <c r="C146" s="83"/>
      <c r="D146" s="71"/>
      <c r="E146" s="116"/>
      <c r="F146" s="77"/>
      <c r="G146" s="71"/>
      <c r="H146" s="78"/>
      <c r="I146" s="131"/>
    </row>
    <row r="147" spans="1:9">
      <c r="A147" s="108">
        <f>+LIST!A146</f>
        <v>0</v>
      </c>
      <c r="B147" s="71"/>
      <c r="C147" s="83"/>
      <c r="D147" s="71"/>
      <c r="E147" s="116"/>
      <c r="F147" s="77"/>
      <c r="G147" s="71"/>
      <c r="H147" s="78"/>
      <c r="I147" s="131"/>
    </row>
    <row r="148" spans="1:9">
      <c r="A148" s="108">
        <f>+LIST!A147</f>
        <v>0</v>
      </c>
      <c r="B148" s="71"/>
      <c r="C148" s="83"/>
      <c r="D148" s="71"/>
      <c r="E148" s="116"/>
      <c r="F148" s="77"/>
      <c r="G148" s="71"/>
      <c r="H148" s="78"/>
      <c r="I148" s="131"/>
    </row>
    <row r="149" spans="1:9">
      <c r="A149" s="108">
        <f>+LIST!A148</f>
        <v>0</v>
      </c>
      <c r="B149" s="71"/>
      <c r="C149" s="83"/>
      <c r="D149" s="71"/>
      <c r="E149" s="116"/>
      <c r="F149" s="77"/>
      <c r="G149" s="71"/>
      <c r="H149" s="78"/>
      <c r="I149" s="131"/>
    </row>
    <row r="150" spans="1:9">
      <c r="A150" s="108">
        <f>+LIST!A149</f>
        <v>0</v>
      </c>
      <c r="B150" s="71"/>
      <c r="C150" s="83"/>
      <c r="D150" s="71"/>
      <c r="E150" s="116"/>
      <c r="F150" s="77"/>
      <c r="G150" s="71"/>
      <c r="H150" s="78"/>
      <c r="I150" s="131"/>
    </row>
    <row r="151" spans="1:9">
      <c r="A151" s="108">
        <f>+LIST!A150</f>
        <v>0</v>
      </c>
      <c r="B151" s="71"/>
      <c r="C151" s="83"/>
      <c r="D151" s="71"/>
      <c r="E151" s="116"/>
      <c r="F151" s="77"/>
      <c r="G151" s="71"/>
      <c r="H151" s="78"/>
      <c r="I151" s="131"/>
    </row>
    <row r="152" spans="1:9">
      <c r="A152" s="108">
        <f>+LIST!A151</f>
        <v>0</v>
      </c>
      <c r="B152" s="71"/>
      <c r="C152" s="83"/>
      <c r="D152" s="71"/>
      <c r="E152" s="116"/>
      <c r="F152" s="77"/>
      <c r="G152" s="71"/>
      <c r="H152" s="78"/>
      <c r="I152" s="131"/>
    </row>
    <row r="153" spans="1:9">
      <c r="A153" s="108">
        <f>+LIST!A152</f>
        <v>0</v>
      </c>
      <c r="B153" s="71"/>
      <c r="C153" s="83"/>
      <c r="D153" s="71"/>
      <c r="E153" s="116"/>
      <c r="F153" s="77"/>
      <c r="G153" s="71"/>
      <c r="H153" s="78"/>
      <c r="I153" s="131"/>
    </row>
    <row r="154" spans="1:9">
      <c r="A154" s="108">
        <f>+LIST!A153</f>
        <v>0</v>
      </c>
      <c r="B154" s="138"/>
      <c r="C154" s="145"/>
      <c r="D154" s="138"/>
      <c r="E154" s="313"/>
      <c r="F154" s="139"/>
      <c r="G154" s="138"/>
      <c r="H154" s="140"/>
      <c r="I154" s="141"/>
    </row>
  </sheetData>
  <phoneticPr fontId="8" type="noConversion"/>
  <hyperlinks>
    <hyperlink ref="A74" location="'ELC-010'!A1" display="'ELC-010'!A1" xr:uid="{1681B49B-655C-4CA6-9676-E735004CAC6F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92B3-1CDF-4F94-ACF9-2E6E49C48552}">
  <dimension ref="A1:E64"/>
  <sheetViews>
    <sheetView topLeftCell="A7" workbookViewId="0">
      <selection activeCell="A19" sqref="A19:E51"/>
    </sheetView>
  </sheetViews>
  <sheetFormatPr baseColWidth="10" defaultRowHeight="14.4"/>
  <cols>
    <col min="1" max="1" width="45.44140625" customWidth="1"/>
    <col min="3" max="3" width="15.5546875" customWidth="1"/>
    <col min="4" max="4" width="14.5546875" customWidth="1"/>
    <col min="5" max="5" width="15.109375" customWidth="1"/>
  </cols>
  <sheetData>
    <row r="1" spans="1:5" ht="17.25" customHeight="1">
      <c r="A1" s="372" t="s">
        <v>325</v>
      </c>
      <c r="B1" s="133" t="s">
        <v>26</v>
      </c>
      <c r="C1" s="134" t="s">
        <v>255</v>
      </c>
      <c r="D1" s="133" t="s">
        <v>488</v>
      </c>
      <c r="E1" s="382" t="s">
        <v>37</v>
      </c>
    </row>
    <row r="2" spans="1:5">
      <c r="A2" s="110" t="s">
        <v>68</v>
      </c>
      <c r="B2" s="3" t="s">
        <v>254</v>
      </c>
      <c r="C2" s="77">
        <v>50000</v>
      </c>
      <c r="D2" s="77"/>
      <c r="E2" s="378">
        <v>0.2</v>
      </c>
    </row>
    <row r="3" spans="1:5" ht="18" customHeight="1">
      <c r="A3" s="127" t="s">
        <v>69</v>
      </c>
      <c r="B3" s="3" t="s">
        <v>254</v>
      </c>
      <c r="C3" s="77">
        <v>50000</v>
      </c>
      <c r="D3" s="77"/>
      <c r="E3" s="379">
        <v>0.2</v>
      </c>
    </row>
    <row r="4" spans="1:5">
      <c r="A4" s="110" t="s">
        <v>290</v>
      </c>
      <c r="B4" s="3" t="s">
        <v>254</v>
      </c>
      <c r="C4" s="60">
        <v>10000</v>
      </c>
      <c r="D4" s="77"/>
      <c r="E4" s="378">
        <v>2.5</v>
      </c>
    </row>
    <row r="5" spans="1:5">
      <c r="A5" s="110" t="s">
        <v>56</v>
      </c>
      <c r="B5" s="3" t="s">
        <v>254</v>
      </c>
      <c r="C5" s="60">
        <v>7000</v>
      </c>
      <c r="D5" s="77"/>
      <c r="E5" s="378">
        <v>2.5</v>
      </c>
    </row>
    <row r="6" spans="1:5">
      <c r="A6" s="127" t="s">
        <v>412</v>
      </c>
      <c r="B6" s="83" t="s">
        <v>254</v>
      </c>
      <c r="C6" s="77">
        <v>5000</v>
      </c>
      <c r="D6" s="77"/>
      <c r="E6" s="377">
        <v>2</v>
      </c>
    </row>
    <row r="7" spans="1:5">
      <c r="A7" s="127" t="s">
        <v>423</v>
      </c>
      <c r="B7" s="83" t="s">
        <v>254</v>
      </c>
      <c r="C7" s="77">
        <v>168000</v>
      </c>
      <c r="D7" s="77"/>
      <c r="E7" s="377">
        <v>0.1</v>
      </c>
    </row>
    <row r="8" spans="1:5">
      <c r="A8" s="128" t="s">
        <v>429</v>
      </c>
      <c r="B8" s="76" t="s">
        <v>418</v>
      </c>
      <c r="C8" s="77">
        <v>10000</v>
      </c>
      <c r="D8" s="77"/>
      <c r="E8" s="380">
        <v>0.1</v>
      </c>
    </row>
    <row r="9" spans="1:5" ht="17.25" customHeight="1">
      <c r="A9" s="127" t="s">
        <v>487</v>
      </c>
      <c r="B9" s="83" t="s">
        <v>254</v>
      </c>
      <c r="C9" s="77">
        <v>12000</v>
      </c>
      <c r="D9" s="77"/>
      <c r="E9" s="131">
        <v>0.2</v>
      </c>
    </row>
    <row r="10" spans="1:5" ht="21" customHeight="1">
      <c r="A10" s="127" t="s">
        <v>492</v>
      </c>
      <c r="B10" s="83" t="s">
        <v>418</v>
      </c>
      <c r="C10" s="77">
        <v>50000</v>
      </c>
      <c r="D10" s="77"/>
      <c r="E10" s="131">
        <v>0.01</v>
      </c>
    </row>
    <row r="11" spans="1:5">
      <c r="A11" s="127" t="s">
        <v>501</v>
      </c>
      <c r="B11" s="83" t="s">
        <v>254</v>
      </c>
      <c r="C11" s="77">
        <v>168000</v>
      </c>
      <c r="D11" s="77"/>
      <c r="E11" s="131">
        <v>0.15</v>
      </c>
    </row>
    <row r="12" spans="1:5">
      <c r="A12" s="127" t="s">
        <v>504</v>
      </c>
      <c r="B12" s="3" t="s">
        <v>418</v>
      </c>
      <c r="C12" s="77">
        <v>45000</v>
      </c>
      <c r="D12" s="77"/>
      <c r="E12" s="131">
        <v>0.15</v>
      </c>
    </row>
    <row r="13" spans="1:5">
      <c r="A13" s="127" t="s">
        <v>519</v>
      </c>
      <c r="B13" s="3" t="s">
        <v>418</v>
      </c>
      <c r="C13" s="77">
        <v>35000</v>
      </c>
      <c r="D13" s="77"/>
      <c r="E13" s="131">
        <v>7.0000000000000007E-2</v>
      </c>
    </row>
    <row r="14" spans="1:5">
      <c r="A14" s="127" t="s">
        <v>523</v>
      </c>
      <c r="B14" s="3" t="s">
        <v>418</v>
      </c>
      <c r="C14" s="77">
        <v>55000</v>
      </c>
      <c r="D14" s="77"/>
      <c r="E14" s="131">
        <v>0.01</v>
      </c>
    </row>
    <row r="15" spans="1:5">
      <c r="A15" s="127" t="s">
        <v>683</v>
      </c>
      <c r="B15" s="83" t="s">
        <v>254</v>
      </c>
      <c r="C15" s="77">
        <v>220000</v>
      </c>
      <c r="D15" s="77"/>
      <c r="E15" s="131">
        <v>0.15</v>
      </c>
    </row>
    <row r="16" spans="1:5">
      <c r="A16" s="127" t="s">
        <v>684</v>
      </c>
      <c r="B16" s="83" t="s">
        <v>254</v>
      </c>
      <c r="C16" s="77">
        <v>100000</v>
      </c>
      <c r="D16" s="77"/>
      <c r="E16" s="131">
        <v>0.15</v>
      </c>
    </row>
    <row r="17" spans="1:5">
      <c r="A17" s="127" t="s">
        <v>689</v>
      </c>
      <c r="B17" s="83" t="s">
        <v>418</v>
      </c>
      <c r="C17" s="77">
        <v>180000</v>
      </c>
      <c r="D17" s="77"/>
      <c r="E17" s="131">
        <v>0.2</v>
      </c>
    </row>
    <row r="18" spans="1:5">
      <c r="A18" s="110" t="s">
        <v>690</v>
      </c>
      <c r="B18" s="3" t="s">
        <v>418</v>
      </c>
      <c r="C18" s="60">
        <v>80000</v>
      </c>
      <c r="D18" s="77"/>
      <c r="E18" s="378">
        <v>0.1</v>
      </c>
    </row>
    <row r="19" spans="1:5">
      <c r="A19" s="110"/>
      <c r="B19" s="3"/>
      <c r="C19" s="77"/>
      <c r="D19" s="77"/>
      <c r="E19" s="381"/>
    </row>
    <row r="20" spans="1:5" ht="18" customHeight="1">
      <c r="A20" s="127"/>
      <c r="B20" s="83"/>
      <c r="C20" s="77"/>
      <c r="D20" s="77"/>
      <c r="E20" s="131"/>
    </row>
    <row r="21" spans="1:5" ht="31.5" customHeight="1">
      <c r="A21" s="127"/>
      <c r="B21" s="83"/>
      <c r="C21" s="77"/>
      <c r="D21" s="77"/>
      <c r="E21" s="131"/>
    </row>
    <row r="22" spans="1:5">
      <c r="A22" s="110"/>
      <c r="B22" s="3"/>
      <c r="C22" s="77"/>
      <c r="D22" s="77"/>
      <c r="E22" s="381"/>
    </row>
    <row r="23" spans="1:5">
      <c r="A23" s="128"/>
      <c r="B23" s="76"/>
      <c r="C23" s="77"/>
      <c r="D23" s="77"/>
      <c r="E23" s="381"/>
    </row>
    <row r="24" spans="1:5">
      <c r="A24" s="127"/>
      <c r="B24" s="83"/>
      <c r="C24" s="77"/>
      <c r="D24" s="77"/>
      <c r="E24" s="131"/>
    </row>
    <row r="25" spans="1:5">
      <c r="A25" s="127"/>
      <c r="B25" s="81"/>
      <c r="C25" s="77"/>
      <c r="D25" s="77"/>
      <c r="E25" s="131"/>
    </row>
    <row r="26" spans="1:5">
      <c r="A26" s="110"/>
      <c r="B26" s="3"/>
      <c r="C26" s="77"/>
      <c r="D26" s="77"/>
      <c r="E26" s="381"/>
    </row>
    <row r="27" spans="1:5">
      <c r="A27" s="128"/>
      <c r="B27" s="76"/>
      <c r="C27" s="77"/>
      <c r="D27" s="77"/>
      <c r="E27" s="381"/>
    </row>
    <row r="28" spans="1:5" ht="22.5" customHeight="1">
      <c r="A28" s="110"/>
      <c r="B28" s="3"/>
      <c r="C28" s="77"/>
      <c r="D28" s="77"/>
      <c r="E28" s="381"/>
    </row>
    <row r="29" spans="1:5" ht="22.5" customHeight="1">
      <c r="A29" s="127"/>
      <c r="B29" s="83"/>
      <c r="C29" s="77"/>
      <c r="D29" s="77"/>
      <c r="E29" s="131"/>
    </row>
    <row r="30" spans="1:5" ht="22.5" customHeight="1">
      <c r="A30" s="110"/>
      <c r="B30" s="3"/>
      <c r="C30" s="77"/>
      <c r="D30" s="77"/>
      <c r="E30" s="381"/>
    </row>
    <row r="31" spans="1:5" ht="19.5" customHeight="1">
      <c r="A31" s="127"/>
      <c r="B31" s="3"/>
      <c r="C31" s="77"/>
      <c r="D31" s="77"/>
      <c r="E31" s="131"/>
    </row>
    <row r="32" spans="1:5">
      <c r="A32" s="127"/>
      <c r="B32" s="83"/>
      <c r="C32" s="77"/>
      <c r="D32" s="77"/>
      <c r="E32" s="131"/>
    </row>
    <row r="33" spans="1:5">
      <c r="A33" s="127"/>
      <c r="B33" s="83"/>
      <c r="C33" s="77"/>
      <c r="D33" s="77"/>
      <c r="E33" s="131"/>
    </row>
    <row r="34" spans="1:5">
      <c r="A34" s="127"/>
      <c r="B34" s="71"/>
      <c r="C34" s="77"/>
      <c r="D34" s="77"/>
      <c r="E34" s="131"/>
    </row>
    <row r="35" spans="1:5" ht="32.25" customHeight="1">
      <c r="A35" s="129"/>
      <c r="B35" s="71"/>
      <c r="C35" s="71"/>
      <c r="D35" s="77"/>
      <c r="E35" s="131"/>
    </row>
    <row r="36" spans="1:5">
      <c r="A36" s="127"/>
      <c r="B36" s="71"/>
      <c r="C36" s="71"/>
      <c r="D36" s="77"/>
      <c r="E36" s="131"/>
    </row>
    <row r="37" spans="1:5">
      <c r="A37" s="127"/>
      <c r="B37" s="71"/>
      <c r="C37" s="71"/>
      <c r="D37" s="77"/>
      <c r="E37" s="131"/>
    </row>
    <row r="38" spans="1:5">
      <c r="A38" s="137"/>
      <c r="B38" s="138"/>
      <c r="C38" s="138"/>
      <c r="D38" s="139"/>
      <c r="E38" s="141"/>
    </row>
    <row r="39" spans="1:5">
      <c r="A39" s="72"/>
      <c r="B39" s="72"/>
      <c r="C39" s="72"/>
      <c r="D39" s="72"/>
      <c r="E39" s="72"/>
    </row>
    <row r="40" spans="1:5">
      <c r="A40" s="72"/>
      <c r="B40" s="72"/>
      <c r="C40" s="72"/>
      <c r="D40" s="72"/>
      <c r="E40" s="72"/>
    </row>
    <row r="41" spans="1:5">
      <c r="A41" s="72"/>
      <c r="B41" s="72"/>
      <c r="C41" s="72"/>
      <c r="D41" s="72"/>
      <c r="E41" s="72"/>
    </row>
    <row r="42" spans="1:5">
      <c r="A42" s="72"/>
      <c r="B42" s="72"/>
      <c r="C42" s="72"/>
      <c r="D42" s="72"/>
      <c r="E42" s="72"/>
    </row>
    <row r="43" spans="1:5">
      <c r="A43" s="72"/>
      <c r="B43" s="72"/>
      <c r="C43" s="72"/>
      <c r="D43" s="72"/>
      <c r="E43" s="72"/>
    </row>
    <row r="44" spans="1:5">
      <c r="A44" s="72"/>
      <c r="B44" s="72"/>
      <c r="C44" s="72"/>
      <c r="D44" s="72"/>
      <c r="E44" s="72"/>
    </row>
    <row r="45" spans="1:5">
      <c r="A45" s="72"/>
      <c r="B45" s="72"/>
      <c r="C45" s="72"/>
      <c r="D45" s="72"/>
      <c r="E45" s="72"/>
    </row>
    <row r="46" spans="1:5">
      <c r="A46" s="72"/>
      <c r="B46" s="72"/>
      <c r="C46" s="72"/>
      <c r="D46" s="72"/>
      <c r="E46" s="72"/>
    </row>
    <row r="47" spans="1:5">
      <c r="A47" s="72"/>
      <c r="B47" s="72"/>
      <c r="C47" s="72"/>
      <c r="D47" s="72"/>
      <c r="E47" s="72"/>
    </row>
    <row r="48" spans="1:5">
      <c r="A48" s="72"/>
      <c r="B48" s="72"/>
      <c r="C48" s="72"/>
      <c r="D48" s="72"/>
      <c r="E48" s="72"/>
    </row>
    <row r="49" spans="1:5">
      <c r="A49" s="72"/>
      <c r="B49" s="72"/>
      <c r="C49" s="72"/>
      <c r="D49" s="72"/>
      <c r="E49" s="72"/>
    </row>
    <row r="50" spans="1:5">
      <c r="A50" s="72"/>
      <c r="B50" s="72"/>
      <c r="C50" s="72"/>
      <c r="D50" s="72"/>
      <c r="E50" s="72"/>
    </row>
    <row r="51" spans="1:5">
      <c r="A51" s="72"/>
      <c r="B51" s="72"/>
      <c r="C51" s="72"/>
      <c r="D51" s="72"/>
      <c r="E51" s="72"/>
    </row>
    <row r="52" spans="1:5" ht="33" customHeight="1">
      <c r="A52" s="72"/>
      <c r="B52" s="72"/>
      <c r="C52" s="72"/>
      <c r="D52" s="72"/>
      <c r="E52" s="72"/>
    </row>
    <row r="53" spans="1:5">
      <c r="A53" s="72"/>
      <c r="B53" s="72"/>
      <c r="C53" s="72"/>
      <c r="D53" s="72"/>
      <c r="E53" s="72"/>
    </row>
    <row r="54" spans="1:5">
      <c r="A54" s="72"/>
      <c r="B54" s="72"/>
      <c r="C54" s="72"/>
      <c r="D54" s="72"/>
      <c r="E54" s="72"/>
    </row>
    <row r="55" spans="1:5">
      <c r="A55" s="72"/>
      <c r="B55" s="72"/>
      <c r="C55" s="72"/>
      <c r="D55" s="72"/>
      <c r="E55" s="72"/>
    </row>
    <row r="56" spans="1:5">
      <c r="A56" s="72"/>
      <c r="B56" s="72"/>
      <c r="C56" s="72"/>
      <c r="D56" s="72"/>
      <c r="E56" s="72"/>
    </row>
    <row r="57" spans="1:5">
      <c r="A57" s="72"/>
      <c r="B57" s="72"/>
      <c r="C57" s="72"/>
      <c r="D57" s="72"/>
      <c r="E57" s="72"/>
    </row>
    <row r="58" spans="1:5" ht="24" customHeight="1">
      <c r="A58" s="72"/>
      <c r="B58" s="72"/>
      <c r="C58" s="72"/>
      <c r="D58" s="72"/>
      <c r="E58" s="72"/>
    </row>
    <row r="59" spans="1:5">
      <c r="A59" s="72"/>
      <c r="B59" s="72"/>
      <c r="C59" s="72"/>
      <c r="D59" s="72"/>
      <c r="E59" s="72"/>
    </row>
    <row r="60" spans="1:5">
      <c r="A60" s="72"/>
      <c r="B60" s="72"/>
      <c r="C60" s="72"/>
      <c r="D60" s="72"/>
      <c r="E60" s="72"/>
    </row>
    <row r="61" spans="1:5">
      <c r="A61" s="72"/>
      <c r="B61" s="72"/>
      <c r="C61" s="72"/>
      <c r="D61" s="72"/>
      <c r="E61" s="72"/>
    </row>
    <row r="62" spans="1:5">
      <c r="A62" s="72"/>
      <c r="B62" s="72"/>
      <c r="C62" s="72"/>
      <c r="D62" s="72"/>
      <c r="E62" s="72"/>
    </row>
    <row r="63" spans="1:5">
      <c r="A63" s="72"/>
      <c r="B63" s="72"/>
      <c r="C63" s="72"/>
      <c r="D63" s="72"/>
      <c r="E63" s="72"/>
    </row>
    <row r="64" spans="1:5">
      <c r="A64" s="72"/>
      <c r="B64" s="72"/>
      <c r="C64" s="72"/>
      <c r="D64" s="72"/>
      <c r="E64" s="7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767D7-4973-4033-9D74-B88A2C6F4C92}">
  <dimension ref="A1:I64"/>
  <sheetViews>
    <sheetView workbookViewId="0">
      <selection activeCell="A24" sqref="A24:G55"/>
    </sheetView>
  </sheetViews>
  <sheetFormatPr baseColWidth="10" defaultRowHeight="14.4"/>
  <cols>
    <col min="1" max="1" width="51.5546875" customWidth="1"/>
    <col min="3" max="3" width="15.5546875" style="118" customWidth="1"/>
    <col min="4" max="7" width="15.21875" customWidth="1"/>
  </cols>
  <sheetData>
    <row r="1" spans="1:9" ht="17.25" customHeight="1">
      <c r="A1" s="73" t="s">
        <v>72</v>
      </c>
      <c r="B1" s="74" t="s">
        <v>26</v>
      </c>
      <c r="C1" s="114" t="s">
        <v>260</v>
      </c>
      <c r="D1" s="114" t="s">
        <v>255</v>
      </c>
      <c r="E1" s="114" t="s">
        <v>261</v>
      </c>
      <c r="F1" s="114" t="s">
        <v>28</v>
      </c>
      <c r="G1" s="114" t="s">
        <v>37</v>
      </c>
    </row>
    <row r="2" spans="1:9">
      <c r="A2" s="82" t="s">
        <v>263</v>
      </c>
      <c r="B2" s="3" t="s">
        <v>259</v>
      </c>
      <c r="C2" s="115">
        <v>5</v>
      </c>
      <c r="D2" s="144">
        <v>1800</v>
      </c>
      <c r="E2" s="115">
        <v>1.3</v>
      </c>
      <c r="F2" s="115"/>
      <c r="G2" s="121"/>
    </row>
    <row r="3" spans="1:9">
      <c r="A3" s="84" t="s">
        <v>277</v>
      </c>
      <c r="B3" s="76" t="s">
        <v>259</v>
      </c>
      <c r="C3" s="115">
        <v>125</v>
      </c>
      <c r="D3" s="148">
        <v>1800</v>
      </c>
      <c r="E3" s="116">
        <v>1.1000000000000001</v>
      </c>
      <c r="F3" s="115"/>
      <c r="G3" s="71"/>
    </row>
    <row r="4" spans="1:9">
      <c r="A4" s="113" t="s">
        <v>276</v>
      </c>
      <c r="B4" s="3" t="s">
        <v>275</v>
      </c>
      <c r="C4" s="115">
        <v>195</v>
      </c>
      <c r="D4" s="77">
        <v>5</v>
      </c>
      <c r="E4" s="115">
        <v>1</v>
      </c>
      <c r="F4" s="78"/>
      <c r="G4" s="80"/>
    </row>
    <row r="5" spans="1:9">
      <c r="A5" s="113" t="s">
        <v>286</v>
      </c>
      <c r="B5" s="3" t="s">
        <v>275</v>
      </c>
      <c r="C5" s="115">
        <v>195</v>
      </c>
      <c r="D5" s="77">
        <v>5</v>
      </c>
      <c r="E5" s="115">
        <v>1</v>
      </c>
      <c r="F5" s="78"/>
      <c r="G5" s="79"/>
    </row>
    <row r="6" spans="1:9">
      <c r="A6" s="113" t="s">
        <v>291</v>
      </c>
      <c r="B6" s="83" t="s">
        <v>292</v>
      </c>
      <c r="C6" s="115">
        <v>195</v>
      </c>
      <c r="D6" s="77">
        <v>2</v>
      </c>
      <c r="E6" s="116">
        <v>1</v>
      </c>
      <c r="F6" s="78"/>
      <c r="G6" s="71"/>
    </row>
    <row r="7" spans="1:9">
      <c r="A7" s="71" t="s">
        <v>497</v>
      </c>
      <c r="B7" s="83" t="s">
        <v>498</v>
      </c>
      <c r="C7" s="115">
        <v>195</v>
      </c>
      <c r="D7" s="77">
        <v>1800</v>
      </c>
      <c r="E7" s="341">
        <v>1</v>
      </c>
      <c r="F7" s="78"/>
      <c r="G7" s="71"/>
    </row>
    <row r="8" spans="1:9">
      <c r="A8" s="84" t="s">
        <v>505</v>
      </c>
      <c r="B8" s="76" t="s">
        <v>259</v>
      </c>
      <c r="C8" s="115">
        <v>10</v>
      </c>
      <c r="D8" s="148">
        <v>1800</v>
      </c>
      <c r="E8" s="337">
        <v>1.3</v>
      </c>
      <c r="F8" s="78"/>
      <c r="G8" s="79"/>
    </row>
    <row r="9" spans="1:9" ht="17.25" customHeight="1">
      <c r="A9" s="71" t="s">
        <v>517</v>
      </c>
      <c r="B9" s="83" t="s">
        <v>518</v>
      </c>
      <c r="C9" s="115">
        <v>195</v>
      </c>
      <c r="D9" s="77">
        <v>70</v>
      </c>
      <c r="E9" s="71">
        <v>1</v>
      </c>
      <c r="F9" s="78"/>
      <c r="G9" s="71"/>
      <c r="I9" s="410">
        <f>+C9*D9</f>
        <v>13650</v>
      </c>
    </row>
    <row r="10" spans="1:9" ht="21" customHeight="1">
      <c r="A10" s="71" t="s">
        <v>551</v>
      </c>
      <c r="B10" s="83" t="s">
        <v>259</v>
      </c>
      <c r="C10" s="115">
        <v>50</v>
      </c>
      <c r="D10" s="77">
        <v>1800</v>
      </c>
      <c r="E10" s="71">
        <v>1</v>
      </c>
      <c r="F10" s="78"/>
      <c r="G10" s="71"/>
    </row>
    <row r="11" spans="1:9">
      <c r="A11" s="71" t="s">
        <v>561</v>
      </c>
      <c r="B11" s="83" t="s">
        <v>562</v>
      </c>
      <c r="C11" s="115">
        <v>195</v>
      </c>
      <c r="D11" s="77">
        <v>3600</v>
      </c>
      <c r="E11" s="71">
        <v>1</v>
      </c>
      <c r="F11" s="78"/>
      <c r="G11" s="71"/>
    </row>
    <row r="12" spans="1:9">
      <c r="A12" s="71" t="s">
        <v>563</v>
      </c>
      <c r="B12" s="3" t="s">
        <v>562</v>
      </c>
      <c r="C12" s="115">
        <v>195</v>
      </c>
      <c r="D12" s="77">
        <v>1700</v>
      </c>
      <c r="E12" s="71">
        <v>1</v>
      </c>
      <c r="F12" s="78"/>
      <c r="G12" s="71"/>
      <c r="I12" s="410">
        <f>+C12*D12</f>
        <v>331500</v>
      </c>
    </row>
    <row r="13" spans="1:9">
      <c r="A13" s="71" t="s">
        <v>597</v>
      </c>
      <c r="B13" s="3" t="s">
        <v>562</v>
      </c>
      <c r="C13" s="115">
        <v>195</v>
      </c>
      <c r="D13" s="77">
        <v>120</v>
      </c>
      <c r="E13" s="71">
        <v>1</v>
      </c>
      <c r="F13" s="78"/>
      <c r="G13" s="71"/>
      <c r="I13" s="410">
        <f>+C13*D13</f>
        <v>23400</v>
      </c>
    </row>
    <row r="14" spans="1:9">
      <c r="A14" s="71" t="s">
        <v>598</v>
      </c>
      <c r="B14" s="3" t="s">
        <v>562</v>
      </c>
      <c r="C14" s="115">
        <v>195</v>
      </c>
      <c r="D14" s="77">
        <v>40</v>
      </c>
      <c r="E14" s="71">
        <v>1</v>
      </c>
      <c r="F14" s="78"/>
      <c r="G14" s="71"/>
      <c r="I14" s="410">
        <f>+C14*D14</f>
        <v>7800</v>
      </c>
    </row>
    <row r="15" spans="1:9">
      <c r="A15" s="71" t="s">
        <v>599</v>
      </c>
      <c r="B15" s="3" t="s">
        <v>562</v>
      </c>
      <c r="C15" s="115">
        <v>195</v>
      </c>
      <c r="D15" s="77">
        <v>250</v>
      </c>
      <c r="E15" s="71">
        <v>1</v>
      </c>
      <c r="F15" s="78"/>
      <c r="G15" s="71"/>
      <c r="I15" s="410">
        <f>+C15*D15</f>
        <v>48750</v>
      </c>
    </row>
    <row r="16" spans="1:9">
      <c r="A16" s="71" t="s">
        <v>600</v>
      </c>
      <c r="B16" s="3" t="s">
        <v>562</v>
      </c>
      <c r="C16" s="115">
        <v>195</v>
      </c>
      <c r="D16" s="77">
        <v>150</v>
      </c>
      <c r="E16" s="71">
        <v>1</v>
      </c>
      <c r="F16" s="78"/>
      <c r="G16" s="71"/>
      <c r="I16" s="410">
        <f>+C16*D16</f>
        <v>29250</v>
      </c>
    </row>
    <row r="17" spans="1:7">
      <c r="A17" s="82"/>
      <c r="B17" s="3"/>
      <c r="C17" s="115"/>
      <c r="D17" s="77"/>
      <c r="E17" s="77"/>
      <c r="F17" s="78"/>
      <c r="G17" s="80"/>
    </row>
    <row r="18" spans="1:7">
      <c r="A18" s="71"/>
      <c r="B18" s="81"/>
      <c r="C18" s="115"/>
      <c r="D18" s="77"/>
      <c r="E18" s="71"/>
      <c r="F18" s="78"/>
      <c r="G18" s="71"/>
    </row>
    <row r="19" spans="1:7">
      <c r="A19" s="82"/>
      <c r="B19" s="3"/>
      <c r="C19" s="115"/>
      <c r="D19" s="77"/>
      <c r="E19" s="77"/>
      <c r="F19" s="78"/>
      <c r="G19" s="80"/>
    </row>
    <row r="20" spans="1:7" ht="18" customHeight="1">
      <c r="A20" s="71"/>
      <c r="B20" s="83"/>
      <c r="C20" s="115"/>
      <c r="D20" s="77"/>
      <c r="E20" s="71"/>
      <c r="F20" s="78"/>
      <c r="G20" s="71"/>
    </row>
    <row r="21" spans="1:7" ht="31.5" customHeight="1">
      <c r="A21" s="71"/>
      <c r="B21" s="83"/>
      <c r="C21" s="115"/>
      <c r="D21" s="77"/>
      <c r="E21" s="71"/>
      <c r="F21" s="78"/>
      <c r="G21" s="71"/>
    </row>
    <row r="22" spans="1:7">
      <c r="A22" s="82"/>
      <c r="B22" s="3"/>
      <c r="C22" s="115"/>
      <c r="D22" s="77"/>
      <c r="E22" s="77"/>
      <c r="F22" s="78"/>
      <c r="G22" s="80"/>
    </row>
    <row r="23" spans="1:7">
      <c r="A23" s="75"/>
      <c r="B23" s="76"/>
      <c r="C23" s="115"/>
      <c r="D23" s="77"/>
      <c r="E23" s="77"/>
      <c r="F23" s="78"/>
      <c r="G23" s="79"/>
    </row>
    <row r="24" spans="1:7">
      <c r="A24" s="71"/>
      <c r="B24" s="83"/>
      <c r="C24" s="115"/>
      <c r="D24" s="77"/>
      <c r="E24" s="71"/>
      <c r="F24" s="78"/>
      <c r="G24" s="71"/>
    </row>
    <row r="25" spans="1:7">
      <c r="A25" s="71"/>
      <c r="B25" s="81"/>
      <c r="C25" s="115"/>
      <c r="D25" s="77"/>
      <c r="E25" s="71"/>
      <c r="F25" s="78"/>
      <c r="G25" s="71"/>
    </row>
    <row r="26" spans="1:7">
      <c r="A26" s="82"/>
      <c r="B26" s="3"/>
      <c r="C26" s="115"/>
      <c r="D26" s="77"/>
      <c r="E26" s="77"/>
      <c r="F26" s="78"/>
      <c r="G26" s="80"/>
    </row>
    <row r="27" spans="1:7">
      <c r="A27" s="75"/>
      <c r="B27" s="76"/>
      <c r="C27" s="115"/>
      <c r="D27" s="77"/>
      <c r="E27" s="77"/>
      <c r="F27" s="78"/>
      <c r="G27" s="79"/>
    </row>
    <row r="28" spans="1:7" ht="22.5" customHeight="1">
      <c r="A28" s="82"/>
      <c r="B28" s="3"/>
      <c r="C28" s="115"/>
      <c r="D28" s="77"/>
      <c r="E28" s="77"/>
      <c r="F28" s="78"/>
      <c r="G28" s="80"/>
    </row>
    <row r="29" spans="1:7" ht="22.5" customHeight="1">
      <c r="A29" s="71"/>
      <c r="B29" s="83"/>
      <c r="C29" s="115"/>
      <c r="D29" s="77"/>
      <c r="E29" s="71"/>
      <c r="F29" s="78"/>
      <c r="G29" s="71"/>
    </row>
    <row r="30" spans="1:7" ht="22.5" customHeight="1">
      <c r="A30" s="82"/>
      <c r="B30" s="3"/>
      <c r="C30" s="115"/>
      <c r="D30" s="77"/>
      <c r="E30" s="77"/>
      <c r="F30" s="78"/>
      <c r="G30" s="80"/>
    </row>
    <row r="31" spans="1:7" ht="19.5" customHeight="1">
      <c r="A31" s="71"/>
      <c r="B31" s="3"/>
      <c r="C31" s="115"/>
      <c r="D31" s="77"/>
      <c r="E31" s="71"/>
      <c r="F31" s="78"/>
      <c r="G31" s="71"/>
    </row>
    <row r="32" spans="1:7">
      <c r="A32" s="71"/>
      <c r="B32" s="83"/>
      <c r="C32" s="115"/>
      <c r="D32" s="77"/>
      <c r="E32" s="71"/>
      <c r="F32" s="78"/>
      <c r="G32" s="71"/>
    </row>
    <row r="33" spans="1:7">
      <c r="A33" s="71"/>
      <c r="B33" s="83"/>
      <c r="C33" s="115"/>
      <c r="D33" s="77"/>
      <c r="E33" s="71"/>
      <c r="F33" s="78"/>
      <c r="G33" s="71"/>
    </row>
    <row r="34" spans="1:7">
      <c r="A34" s="71"/>
      <c r="B34" s="71"/>
      <c r="C34" s="115"/>
      <c r="D34" s="77"/>
      <c r="E34" s="71"/>
      <c r="F34" s="78"/>
      <c r="G34" s="71"/>
    </row>
    <row r="35" spans="1:7" ht="32.25" customHeight="1">
      <c r="A35" s="84"/>
      <c r="B35" s="71"/>
      <c r="C35" s="116"/>
      <c r="D35" s="77"/>
      <c r="E35" s="71"/>
      <c r="F35" s="78"/>
      <c r="G35" s="71"/>
    </row>
    <row r="36" spans="1:7">
      <c r="A36" s="71"/>
      <c r="B36" s="71"/>
      <c r="C36" s="116"/>
      <c r="D36" s="77"/>
      <c r="E36" s="71"/>
      <c r="F36" s="78"/>
      <c r="G36" s="71"/>
    </row>
    <row r="37" spans="1:7">
      <c r="A37" s="71"/>
      <c r="B37" s="71"/>
      <c r="C37" s="116"/>
      <c r="D37" s="77"/>
      <c r="E37" s="71"/>
      <c r="F37" s="78"/>
      <c r="G37" s="71"/>
    </row>
    <row r="38" spans="1:7">
      <c r="A38" s="71"/>
      <c r="B38" s="71"/>
      <c r="C38" s="116"/>
      <c r="D38" s="77"/>
      <c r="E38" s="71"/>
      <c r="F38" s="78"/>
      <c r="G38" s="71"/>
    </row>
    <row r="39" spans="1:7">
      <c r="A39" s="72"/>
      <c r="B39" s="72"/>
      <c r="C39" s="117"/>
      <c r="D39" s="72"/>
      <c r="E39" s="72"/>
      <c r="F39" s="72"/>
      <c r="G39" s="72"/>
    </row>
    <row r="40" spans="1:7">
      <c r="A40" s="72"/>
      <c r="B40" s="72"/>
      <c r="C40" s="117"/>
      <c r="D40" s="72"/>
      <c r="E40" s="72"/>
      <c r="F40" s="72"/>
      <c r="G40" s="72"/>
    </row>
    <row r="41" spans="1:7">
      <c r="A41" s="72"/>
      <c r="B41" s="72"/>
      <c r="C41" s="117"/>
      <c r="D41" s="72"/>
      <c r="E41" s="72"/>
      <c r="F41" s="72"/>
      <c r="G41" s="72"/>
    </row>
    <row r="42" spans="1:7">
      <c r="A42" s="72"/>
      <c r="B42" s="72"/>
      <c r="C42" s="117"/>
      <c r="D42" s="72"/>
      <c r="E42" s="72"/>
      <c r="F42" s="72"/>
      <c r="G42" s="72"/>
    </row>
    <row r="43" spans="1:7">
      <c r="A43" s="72"/>
      <c r="B43" s="72"/>
      <c r="C43" s="117"/>
      <c r="D43" s="72"/>
      <c r="E43" s="72"/>
      <c r="F43" s="72"/>
      <c r="G43" s="72"/>
    </row>
    <row r="44" spans="1:7">
      <c r="A44" s="72"/>
      <c r="B44" s="72"/>
      <c r="C44" s="117"/>
      <c r="D44" s="72"/>
      <c r="E44" s="72"/>
      <c r="F44" s="72"/>
      <c r="G44" s="72"/>
    </row>
    <row r="45" spans="1:7">
      <c r="A45" s="72"/>
      <c r="B45" s="72"/>
      <c r="C45" s="117"/>
      <c r="D45" s="72"/>
      <c r="E45" s="72"/>
      <c r="F45" s="72"/>
      <c r="G45" s="72"/>
    </row>
    <row r="46" spans="1:7">
      <c r="A46" s="72"/>
      <c r="B46" s="72"/>
      <c r="C46" s="117"/>
      <c r="D46" s="72"/>
      <c r="E46" s="72"/>
      <c r="F46" s="72"/>
      <c r="G46" s="72"/>
    </row>
    <row r="47" spans="1:7">
      <c r="A47" s="72"/>
      <c r="B47" s="72"/>
      <c r="C47" s="117"/>
      <c r="D47" s="72"/>
      <c r="E47" s="72"/>
      <c r="F47" s="72"/>
      <c r="G47" s="72"/>
    </row>
    <row r="48" spans="1:7">
      <c r="A48" s="72"/>
      <c r="B48" s="72"/>
      <c r="C48" s="117"/>
      <c r="D48" s="72"/>
      <c r="E48" s="72"/>
      <c r="F48" s="72"/>
      <c r="G48" s="72"/>
    </row>
    <row r="49" spans="1:7">
      <c r="A49" s="72"/>
      <c r="B49" s="72"/>
      <c r="C49" s="117"/>
      <c r="D49" s="72"/>
      <c r="E49" s="72"/>
      <c r="F49" s="72"/>
      <c r="G49" s="72"/>
    </row>
    <row r="50" spans="1:7">
      <c r="A50" s="72"/>
      <c r="B50" s="72"/>
      <c r="C50" s="117"/>
      <c r="D50" s="72"/>
      <c r="E50" s="72"/>
      <c r="F50" s="72"/>
      <c r="G50" s="72"/>
    </row>
    <row r="51" spans="1:7">
      <c r="A51" s="72"/>
      <c r="B51" s="72"/>
      <c r="C51" s="117"/>
      <c r="D51" s="72"/>
      <c r="E51" s="72"/>
      <c r="F51" s="72"/>
      <c r="G51" s="72"/>
    </row>
    <row r="52" spans="1:7" ht="33" customHeight="1">
      <c r="A52" s="72"/>
      <c r="B52" s="72"/>
      <c r="C52" s="117"/>
      <c r="D52" s="72"/>
      <c r="E52" s="72"/>
      <c r="F52" s="72"/>
      <c r="G52" s="72"/>
    </row>
    <row r="53" spans="1:7">
      <c r="A53" s="72"/>
      <c r="B53" s="72"/>
      <c r="C53" s="117"/>
      <c r="D53" s="72"/>
      <c r="E53" s="72"/>
      <c r="F53" s="72"/>
      <c r="G53" s="72"/>
    </row>
    <row r="54" spans="1:7">
      <c r="A54" s="72"/>
      <c r="B54" s="72"/>
      <c r="C54" s="117"/>
      <c r="D54" s="72"/>
      <c r="E54" s="72"/>
      <c r="F54" s="72"/>
      <c r="G54" s="72"/>
    </row>
    <row r="55" spans="1:7">
      <c r="A55" s="72"/>
      <c r="B55" s="72"/>
      <c r="C55" s="117"/>
      <c r="D55" s="72"/>
      <c r="E55" s="72"/>
      <c r="F55" s="72"/>
      <c r="G55" s="72"/>
    </row>
    <row r="56" spans="1:7">
      <c r="A56" s="72"/>
      <c r="B56" s="72"/>
      <c r="C56" s="117"/>
      <c r="D56" s="72"/>
      <c r="E56" s="72"/>
      <c r="F56" s="72"/>
      <c r="G56" s="72"/>
    </row>
    <row r="57" spans="1:7">
      <c r="A57" s="72"/>
      <c r="B57" s="72"/>
      <c r="C57" s="117"/>
      <c r="D57" s="72"/>
      <c r="E57" s="72"/>
      <c r="F57" s="72"/>
      <c r="G57" s="72"/>
    </row>
    <row r="58" spans="1:7" ht="24" customHeight="1">
      <c r="A58" s="72"/>
      <c r="B58" s="72"/>
      <c r="C58" s="117"/>
      <c r="D58" s="72"/>
      <c r="E58" s="72"/>
      <c r="F58" s="72"/>
      <c r="G58" s="72"/>
    </row>
    <row r="59" spans="1:7">
      <c r="A59" s="72"/>
      <c r="B59" s="72"/>
      <c r="C59" s="117"/>
      <c r="D59" s="72"/>
      <c r="E59" s="72"/>
      <c r="F59" s="72"/>
      <c r="G59" s="72"/>
    </row>
    <row r="60" spans="1:7">
      <c r="A60" s="72"/>
      <c r="B60" s="72"/>
      <c r="C60" s="117"/>
      <c r="D60" s="72"/>
      <c r="E60" s="72"/>
      <c r="F60" s="72"/>
      <c r="G60" s="72"/>
    </row>
    <row r="61" spans="1:7">
      <c r="A61" s="72"/>
      <c r="B61" s="72"/>
      <c r="C61" s="117"/>
      <c r="D61" s="72"/>
      <c r="E61" s="72"/>
      <c r="F61" s="72"/>
      <c r="G61" s="72"/>
    </row>
    <row r="62" spans="1:7">
      <c r="A62" s="72"/>
      <c r="B62" s="72"/>
      <c r="C62" s="117"/>
      <c r="D62" s="72"/>
      <c r="E62" s="72"/>
      <c r="F62" s="72"/>
      <c r="G62" s="72"/>
    </row>
    <row r="63" spans="1:7">
      <c r="A63" s="72"/>
      <c r="B63" s="72"/>
      <c r="C63" s="117"/>
      <c r="D63" s="72"/>
      <c r="E63" s="72"/>
      <c r="F63" s="72"/>
      <c r="G63" s="72"/>
    </row>
    <row r="64" spans="1:7">
      <c r="A64" s="72"/>
      <c r="B64" s="72"/>
      <c r="C64" s="117"/>
      <c r="D64" s="72"/>
      <c r="E64" s="72"/>
      <c r="F64" s="72"/>
      <c r="G64" s="72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AD562-5B13-4F2F-9296-943EC27B0EF5}">
  <dimension ref="A1:H163"/>
  <sheetViews>
    <sheetView topLeftCell="A88" workbookViewId="0">
      <selection activeCell="C136" sqref="C136"/>
    </sheetView>
  </sheetViews>
  <sheetFormatPr baseColWidth="10" defaultRowHeight="14.4"/>
  <cols>
    <col min="1" max="1" width="45.44140625" customWidth="1"/>
    <col min="2" max="2" width="11.5546875" style="108"/>
    <col min="3" max="3" width="15.5546875" customWidth="1"/>
    <col min="4" max="4" width="14.5546875" customWidth="1"/>
    <col min="5" max="5" width="14.21875" customWidth="1"/>
    <col min="6" max="6" width="12.33203125" customWidth="1"/>
    <col min="7" max="7" width="16.5546875" customWidth="1"/>
    <col min="8" max="8" width="19.6640625" customWidth="1"/>
  </cols>
  <sheetData>
    <row r="1" spans="1:8" ht="28.8">
      <c r="A1" s="372" t="s">
        <v>325</v>
      </c>
      <c r="B1" s="133" t="s">
        <v>26</v>
      </c>
      <c r="C1" s="134" t="s">
        <v>406</v>
      </c>
      <c r="D1" s="133" t="s">
        <v>268</v>
      </c>
      <c r="E1" s="133" t="s">
        <v>267</v>
      </c>
      <c r="F1" s="135" t="s">
        <v>73</v>
      </c>
      <c r="G1" s="136" t="s">
        <v>74</v>
      </c>
      <c r="H1" s="142" t="s">
        <v>37</v>
      </c>
    </row>
    <row r="2" spans="1:8">
      <c r="A2" s="365" t="s">
        <v>428</v>
      </c>
      <c r="B2" s="366" t="s">
        <v>5</v>
      </c>
      <c r="C2" s="151">
        <f>37900/5</f>
        <v>7580</v>
      </c>
      <c r="D2" s="77"/>
      <c r="E2" s="151"/>
      <c r="F2" s="78">
        <f t="shared" ref="F2:F38" si="0">+ROUND(AVERAGE(C2:E2),0)</f>
        <v>7580</v>
      </c>
      <c r="G2" s="367"/>
    </row>
    <row r="3" spans="1:8" ht="18" customHeight="1">
      <c r="A3" s="110" t="s">
        <v>77</v>
      </c>
      <c r="B3" s="3" t="s">
        <v>11</v>
      </c>
      <c r="C3" s="77"/>
      <c r="D3" s="77">
        <v>5500</v>
      </c>
      <c r="E3" s="77"/>
      <c r="F3" s="78">
        <f t="shared" si="0"/>
        <v>5500</v>
      </c>
      <c r="G3" s="130"/>
    </row>
    <row r="4" spans="1:8" ht="18" customHeight="1">
      <c r="A4" s="150" t="s">
        <v>628</v>
      </c>
      <c r="B4" s="83" t="s">
        <v>5</v>
      </c>
      <c r="C4" s="151">
        <v>24900</v>
      </c>
      <c r="D4" s="77"/>
      <c r="E4" s="151"/>
      <c r="F4" s="78">
        <f>+ROUND(AVERAGE(C4:E4),0)</f>
        <v>24900</v>
      </c>
      <c r="G4" s="152"/>
    </row>
    <row r="5" spans="1:8">
      <c r="A5" s="127" t="s">
        <v>83</v>
      </c>
      <c r="B5" s="3" t="s">
        <v>5</v>
      </c>
      <c r="C5" s="77"/>
      <c r="D5" s="77">
        <v>1100</v>
      </c>
      <c r="E5" s="71"/>
      <c r="F5" s="78">
        <f t="shared" si="0"/>
        <v>1100</v>
      </c>
      <c r="G5" s="131"/>
    </row>
    <row r="6" spans="1:8" ht="28.8">
      <c r="A6" s="129" t="s">
        <v>622</v>
      </c>
      <c r="B6" s="83" t="s">
        <v>11</v>
      </c>
      <c r="C6" s="151">
        <v>189900</v>
      </c>
      <c r="D6" s="77"/>
      <c r="E6" s="71"/>
      <c r="F6" s="78">
        <f>+ROUND(AVERAGE(C6:E6),0)</f>
        <v>189900</v>
      </c>
      <c r="G6" s="131"/>
      <c r="H6" t="s">
        <v>623</v>
      </c>
    </row>
    <row r="7" spans="1:8" ht="28.8">
      <c r="A7" s="153" t="s">
        <v>271</v>
      </c>
      <c r="B7" s="83" t="s">
        <v>5</v>
      </c>
      <c r="C7" s="151">
        <v>4169</v>
      </c>
      <c r="D7" s="77"/>
      <c r="E7" s="151"/>
      <c r="F7" s="78">
        <f t="shared" si="0"/>
        <v>4169</v>
      </c>
      <c r="G7" s="152">
        <v>195</v>
      </c>
    </row>
    <row r="8" spans="1:8">
      <c r="A8" s="127" t="s">
        <v>274</v>
      </c>
      <c r="B8" s="83" t="s">
        <v>5</v>
      </c>
      <c r="C8" s="143">
        <v>1832</v>
      </c>
      <c r="D8" s="144"/>
      <c r="E8" s="143"/>
      <c r="F8" s="78">
        <f t="shared" si="0"/>
        <v>1832</v>
      </c>
      <c r="G8" s="146">
        <v>195</v>
      </c>
    </row>
    <row r="9" spans="1:8">
      <c r="A9" s="150" t="s">
        <v>411</v>
      </c>
      <c r="B9" s="83" t="s">
        <v>5</v>
      </c>
      <c r="C9" s="151">
        <v>18900</v>
      </c>
      <c r="D9" s="77"/>
      <c r="E9" s="151"/>
      <c r="F9" s="78">
        <f t="shared" si="0"/>
        <v>18900</v>
      </c>
      <c r="G9" s="152"/>
    </row>
    <row r="10" spans="1:8">
      <c r="A10" s="150" t="s">
        <v>54</v>
      </c>
      <c r="B10" s="83" t="s">
        <v>55</v>
      </c>
      <c r="C10" s="151"/>
      <c r="D10" s="77"/>
      <c r="E10" s="151">
        <v>35</v>
      </c>
      <c r="F10" s="78">
        <f t="shared" si="0"/>
        <v>35</v>
      </c>
      <c r="G10" s="152"/>
    </row>
    <row r="11" spans="1:8">
      <c r="A11" s="150" t="s">
        <v>552</v>
      </c>
      <c r="B11" s="83" t="s">
        <v>11</v>
      </c>
      <c r="C11" s="77">
        <v>11400</v>
      </c>
      <c r="D11" s="77"/>
      <c r="E11" s="77"/>
      <c r="F11" s="78">
        <f t="shared" si="0"/>
        <v>11400</v>
      </c>
      <c r="G11" s="152"/>
    </row>
    <row r="12" spans="1:8">
      <c r="A12" s="110" t="s">
        <v>60</v>
      </c>
      <c r="B12" s="3" t="s">
        <v>11</v>
      </c>
      <c r="C12" s="77"/>
      <c r="D12" s="77">
        <v>8700</v>
      </c>
      <c r="E12" s="77"/>
      <c r="F12" s="78">
        <f t="shared" si="0"/>
        <v>8700</v>
      </c>
      <c r="G12" s="130"/>
    </row>
    <row r="13" spans="1:8">
      <c r="A13" s="150" t="s">
        <v>287</v>
      </c>
      <c r="B13" s="83" t="s">
        <v>5</v>
      </c>
      <c r="C13" s="151">
        <v>34500</v>
      </c>
      <c r="D13" s="77"/>
      <c r="E13" s="151"/>
      <c r="F13" s="78">
        <f t="shared" si="0"/>
        <v>34500</v>
      </c>
      <c r="G13" s="152">
        <v>195</v>
      </c>
      <c r="H13" t="s">
        <v>288</v>
      </c>
    </row>
    <row r="14" spans="1:8">
      <c r="A14" s="127" t="s">
        <v>413</v>
      </c>
      <c r="B14" s="83" t="s">
        <v>5</v>
      </c>
      <c r="C14" s="151">
        <v>52100</v>
      </c>
      <c r="D14" s="77"/>
      <c r="E14" s="71"/>
      <c r="F14" s="78">
        <f t="shared" si="0"/>
        <v>52100</v>
      </c>
      <c r="G14" s="131"/>
    </row>
    <row r="15" spans="1:8">
      <c r="A15" s="128" t="s">
        <v>53</v>
      </c>
      <c r="B15" s="76" t="s">
        <v>10</v>
      </c>
      <c r="C15" s="77"/>
      <c r="D15" s="77">
        <v>90000</v>
      </c>
      <c r="E15" s="77"/>
      <c r="F15" s="78">
        <f t="shared" si="0"/>
        <v>90000</v>
      </c>
      <c r="G15" s="132">
        <v>125</v>
      </c>
    </row>
    <row r="16" spans="1:8">
      <c r="A16" s="127" t="s">
        <v>89</v>
      </c>
      <c r="B16" s="76" t="s">
        <v>10</v>
      </c>
      <c r="C16" s="77"/>
      <c r="D16" s="77">
        <v>90000</v>
      </c>
      <c r="E16" s="77"/>
      <c r="F16" s="78">
        <f t="shared" si="0"/>
        <v>90000</v>
      </c>
      <c r="G16" s="131"/>
    </row>
    <row r="17" spans="1:8">
      <c r="A17" s="127" t="s">
        <v>625</v>
      </c>
      <c r="B17" s="366" t="s">
        <v>10</v>
      </c>
      <c r="C17" s="151">
        <v>47338</v>
      </c>
      <c r="D17" s="77"/>
      <c r="E17" s="151"/>
      <c r="F17" s="78">
        <f>+ROUND(AVERAGE(C17:E17),0)</f>
        <v>47338</v>
      </c>
      <c r="G17" s="131"/>
    </row>
    <row r="18" spans="1:8">
      <c r="A18" s="127" t="s">
        <v>685</v>
      </c>
      <c r="B18" s="366" t="s">
        <v>11</v>
      </c>
      <c r="C18" s="151">
        <v>13145</v>
      </c>
      <c r="D18" s="77"/>
      <c r="E18" s="151"/>
      <c r="F18" s="78">
        <f>+ROUND(AVERAGE(C18:E18),0)</f>
        <v>13145</v>
      </c>
      <c r="G18" s="131"/>
      <c r="H18" t="s">
        <v>686</v>
      </c>
    </row>
    <row r="19" spans="1:8" ht="37.799999999999997" customHeight="1">
      <c r="A19" s="129" t="s">
        <v>573</v>
      </c>
      <c r="B19" s="76" t="s">
        <v>249</v>
      </c>
      <c r="C19" s="71"/>
      <c r="D19" s="77">
        <v>200000</v>
      </c>
      <c r="E19" s="71"/>
      <c r="F19" s="78">
        <f t="shared" si="0"/>
        <v>200000</v>
      </c>
      <c r="G19" s="131"/>
    </row>
    <row r="20" spans="1:8" ht="37.799999999999997" customHeight="1">
      <c r="A20" s="129" t="s">
        <v>646</v>
      </c>
      <c r="B20" s="366" t="s">
        <v>5</v>
      </c>
      <c r="C20" s="143">
        <v>699900</v>
      </c>
      <c r="D20" s="77"/>
      <c r="E20" s="71"/>
      <c r="F20" s="78">
        <f>+ROUND(AVERAGE(C20:E20),0)</f>
        <v>699900</v>
      </c>
      <c r="G20" s="131"/>
    </row>
    <row r="21" spans="1:8" ht="21" customHeight="1">
      <c r="A21" s="127" t="s">
        <v>284</v>
      </c>
      <c r="B21" s="76" t="s">
        <v>5</v>
      </c>
      <c r="C21" s="143">
        <v>6000</v>
      </c>
      <c r="D21" s="144"/>
      <c r="E21" s="143"/>
      <c r="F21" s="78">
        <f t="shared" si="0"/>
        <v>6000</v>
      </c>
      <c r="G21" s="131">
        <v>195</v>
      </c>
      <c r="H21" t="s">
        <v>285</v>
      </c>
    </row>
    <row r="22" spans="1:8" ht="21" customHeight="1">
      <c r="A22" s="127" t="s">
        <v>441</v>
      </c>
      <c r="B22" s="76" t="s">
        <v>5</v>
      </c>
      <c r="C22" s="143">
        <v>44900</v>
      </c>
      <c r="D22" s="77">
        <v>25000</v>
      </c>
      <c r="E22" s="71"/>
      <c r="F22" s="78">
        <f t="shared" si="0"/>
        <v>34950</v>
      </c>
      <c r="G22" s="131"/>
    </row>
    <row r="23" spans="1:8" ht="21" customHeight="1">
      <c r="A23" s="127" t="s">
        <v>84</v>
      </c>
      <c r="B23" s="76" t="s">
        <v>11</v>
      </c>
      <c r="C23" s="77">
        <v>8450</v>
      </c>
      <c r="D23" s="77">
        <v>7200</v>
      </c>
      <c r="E23" s="71"/>
      <c r="F23" s="78">
        <f t="shared" si="0"/>
        <v>7825</v>
      </c>
      <c r="G23" s="131"/>
    </row>
    <row r="24" spans="1:8" ht="21" customHeight="1">
      <c r="A24" s="127" t="s">
        <v>572</v>
      </c>
      <c r="B24" s="76" t="s">
        <v>5</v>
      </c>
      <c r="C24" s="151">
        <v>57900</v>
      </c>
      <c r="D24" s="77"/>
      <c r="E24" s="143"/>
      <c r="F24" s="78">
        <f t="shared" si="0"/>
        <v>57900</v>
      </c>
      <c r="G24" s="131"/>
    </row>
    <row r="25" spans="1:8" ht="21" customHeight="1">
      <c r="A25" s="127" t="s">
        <v>279</v>
      </c>
      <c r="B25" s="76" t="s">
        <v>5</v>
      </c>
      <c r="C25" s="143">
        <v>13900</v>
      </c>
      <c r="D25" s="144">
        <v>17000</v>
      </c>
      <c r="E25" s="143"/>
      <c r="F25" s="78">
        <f t="shared" si="0"/>
        <v>15450</v>
      </c>
      <c r="G25" s="131"/>
    </row>
    <row r="26" spans="1:8" ht="21" customHeight="1">
      <c r="A26" s="127" t="s">
        <v>448</v>
      </c>
      <c r="B26" s="76" t="s">
        <v>329</v>
      </c>
      <c r="C26" s="143">
        <v>79900</v>
      </c>
      <c r="D26" s="77"/>
      <c r="E26" s="143"/>
      <c r="F26" s="78">
        <f t="shared" si="0"/>
        <v>79900</v>
      </c>
      <c r="G26" s="131"/>
    </row>
    <row r="27" spans="1:8" ht="21" customHeight="1">
      <c r="A27" s="127" t="s">
        <v>330</v>
      </c>
      <c r="B27" s="76" t="s">
        <v>329</v>
      </c>
      <c r="C27" s="143">
        <v>240900</v>
      </c>
      <c r="D27" s="77">
        <v>245000</v>
      </c>
      <c r="E27" s="143"/>
      <c r="F27" s="78">
        <f t="shared" si="0"/>
        <v>242950</v>
      </c>
      <c r="G27" s="131"/>
    </row>
    <row r="28" spans="1:8" ht="21" customHeight="1">
      <c r="A28" s="127" t="s">
        <v>432</v>
      </c>
      <c r="B28" s="76" t="s">
        <v>5</v>
      </c>
      <c r="C28" s="143">
        <v>1000</v>
      </c>
      <c r="D28" s="77">
        <v>1500</v>
      </c>
      <c r="E28" s="143"/>
      <c r="F28" s="78">
        <f t="shared" si="0"/>
        <v>1250</v>
      </c>
      <c r="G28" s="131"/>
    </row>
    <row r="29" spans="1:8" ht="21" customHeight="1">
      <c r="A29" s="127" t="s">
        <v>438</v>
      </c>
      <c r="B29" s="76" t="s">
        <v>5</v>
      </c>
      <c r="C29" s="143">
        <v>1100</v>
      </c>
      <c r="D29" s="77">
        <v>1800</v>
      </c>
      <c r="E29" s="143"/>
      <c r="F29" s="78">
        <f t="shared" si="0"/>
        <v>1450</v>
      </c>
      <c r="G29" s="131"/>
    </row>
    <row r="30" spans="1:8" ht="21" customHeight="1">
      <c r="A30" s="127" t="s">
        <v>447</v>
      </c>
      <c r="B30" s="76" t="s">
        <v>249</v>
      </c>
      <c r="C30" s="143">
        <v>12600</v>
      </c>
      <c r="D30" s="77">
        <v>18600</v>
      </c>
      <c r="E30" s="143"/>
      <c r="F30" s="78">
        <f>+ROUND(AVERAGE(C30:E30),0)</f>
        <v>15600</v>
      </c>
      <c r="G30" s="131"/>
    </row>
    <row r="31" spans="1:8" ht="21" customHeight="1">
      <c r="A31" s="127" t="s">
        <v>93</v>
      </c>
      <c r="B31" s="76" t="s">
        <v>5</v>
      </c>
      <c r="C31" s="143">
        <v>9000</v>
      </c>
      <c r="D31" s="77"/>
      <c r="E31" s="71"/>
      <c r="F31" s="78">
        <f t="shared" si="0"/>
        <v>9000</v>
      </c>
      <c r="G31" s="131"/>
    </row>
    <row r="32" spans="1:8" ht="21" customHeight="1">
      <c r="A32" s="128" t="s">
        <v>57</v>
      </c>
      <c r="B32" s="76" t="s">
        <v>52</v>
      </c>
      <c r="C32" s="77"/>
      <c r="D32" s="77">
        <v>37000</v>
      </c>
      <c r="E32" s="77">
        <v>37000</v>
      </c>
      <c r="F32" s="78">
        <f t="shared" si="0"/>
        <v>37000</v>
      </c>
      <c r="G32" s="132"/>
    </row>
    <row r="33" spans="1:7" ht="21" customHeight="1">
      <c r="A33" s="127" t="s">
        <v>85</v>
      </c>
      <c r="B33" s="76" t="s">
        <v>11</v>
      </c>
      <c r="C33" s="77"/>
      <c r="D33" s="77">
        <v>3800</v>
      </c>
      <c r="E33" s="71"/>
      <c r="F33" s="78">
        <f t="shared" si="0"/>
        <v>3800</v>
      </c>
      <c r="G33" s="131"/>
    </row>
    <row r="34" spans="1:7" ht="21" customHeight="1">
      <c r="A34" s="127" t="s">
        <v>574</v>
      </c>
      <c r="B34" s="76" t="s">
        <v>9</v>
      </c>
      <c r="C34" s="77">
        <v>39900</v>
      </c>
      <c r="D34" s="77"/>
      <c r="E34" s="71"/>
      <c r="F34" s="78">
        <f t="shared" si="0"/>
        <v>39900</v>
      </c>
      <c r="G34" s="131"/>
    </row>
    <row r="35" spans="1:7" ht="21" customHeight="1">
      <c r="A35" s="127" t="s">
        <v>471</v>
      </c>
      <c r="B35" s="76" t="s">
        <v>9</v>
      </c>
      <c r="C35" s="151">
        <v>68500</v>
      </c>
      <c r="D35" s="77"/>
      <c r="E35" s="143"/>
      <c r="F35" s="78">
        <f t="shared" si="0"/>
        <v>68500</v>
      </c>
      <c r="G35" s="131"/>
    </row>
    <row r="36" spans="1:7" ht="21" customHeight="1">
      <c r="A36" s="127" t="s">
        <v>575</v>
      </c>
      <c r="B36" s="76" t="s">
        <v>9</v>
      </c>
      <c r="C36" s="77">
        <v>27900</v>
      </c>
      <c r="D36" s="77">
        <v>32000</v>
      </c>
      <c r="E36" s="71"/>
      <c r="F36" s="78">
        <f t="shared" si="0"/>
        <v>29950</v>
      </c>
      <c r="G36" s="131"/>
    </row>
    <row r="37" spans="1:7" ht="21" customHeight="1">
      <c r="A37" s="127" t="s">
        <v>576</v>
      </c>
      <c r="B37" s="76" t="s">
        <v>5</v>
      </c>
      <c r="C37" s="143">
        <v>458</v>
      </c>
      <c r="D37" s="77"/>
      <c r="E37" s="143"/>
      <c r="F37" s="78">
        <f t="shared" si="0"/>
        <v>458</v>
      </c>
      <c r="G37" s="131"/>
    </row>
    <row r="38" spans="1:7" ht="16.8" customHeight="1">
      <c r="A38" s="129" t="s">
        <v>535</v>
      </c>
      <c r="B38" s="76" t="s">
        <v>5</v>
      </c>
      <c r="C38" s="151">
        <v>3500</v>
      </c>
      <c r="D38" s="77"/>
      <c r="E38" s="143"/>
      <c r="F38" s="78">
        <f t="shared" si="0"/>
        <v>3500</v>
      </c>
      <c r="G38" s="131"/>
    </row>
    <row r="39" spans="1:7">
      <c r="A39" s="127" t="s">
        <v>451</v>
      </c>
      <c r="B39" s="76" t="s">
        <v>9</v>
      </c>
      <c r="C39" s="151"/>
      <c r="D39" s="77">
        <v>30000</v>
      </c>
      <c r="E39" s="143"/>
      <c r="F39" s="78">
        <f t="shared" ref="F39:F74" si="1">+ROUND(AVERAGE(C39:E39),0)</f>
        <v>30000</v>
      </c>
      <c r="G39" s="131"/>
    </row>
    <row r="40" spans="1:7" ht="21" customHeight="1">
      <c r="A40" s="127" t="s">
        <v>577</v>
      </c>
      <c r="B40" s="76" t="s">
        <v>5</v>
      </c>
      <c r="C40" s="143">
        <v>5600</v>
      </c>
      <c r="D40" s="77"/>
      <c r="E40" s="71"/>
      <c r="F40" s="78">
        <f t="shared" si="1"/>
        <v>5600</v>
      </c>
      <c r="G40" s="131"/>
    </row>
    <row r="41" spans="1:7" ht="21" customHeight="1">
      <c r="A41" s="150" t="s">
        <v>415</v>
      </c>
      <c r="B41" s="76" t="s">
        <v>5</v>
      </c>
      <c r="C41" s="151"/>
      <c r="D41" s="77">
        <v>4500</v>
      </c>
      <c r="E41" s="151"/>
      <c r="F41" s="78">
        <f t="shared" si="1"/>
        <v>4500</v>
      </c>
      <c r="G41" s="152"/>
    </row>
    <row r="42" spans="1:7" ht="21" customHeight="1">
      <c r="A42" s="150" t="s">
        <v>691</v>
      </c>
      <c r="B42" s="366" t="s">
        <v>5</v>
      </c>
      <c r="C42" s="151">
        <v>790000</v>
      </c>
      <c r="D42" s="77"/>
      <c r="E42" s="151"/>
      <c r="F42" s="78">
        <f>+ROUND(AVERAGE(C42:E42),0)</f>
        <v>790000</v>
      </c>
      <c r="G42" s="152"/>
    </row>
    <row r="43" spans="1:7" ht="21" customHeight="1">
      <c r="A43" s="127" t="s">
        <v>82</v>
      </c>
      <c r="B43" s="76" t="s">
        <v>5</v>
      </c>
      <c r="C43" s="77"/>
      <c r="D43" s="77">
        <v>1100</v>
      </c>
      <c r="E43" s="71"/>
      <c r="F43" s="78">
        <f t="shared" si="1"/>
        <v>1100</v>
      </c>
      <c r="G43" s="131"/>
    </row>
    <row r="44" spans="1:7" ht="21" customHeight="1">
      <c r="A44" s="127" t="s">
        <v>425</v>
      </c>
      <c r="B44" s="76" t="s">
        <v>5</v>
      </c>
      <c r="C44" s="77"/>
      <c r="D44" s="77">
        <v>5200</v>
      </c>
      <c r="E44" s="71"/>
      <c r="F44" s="78">
        <f t="shared" si="1"/>
        <v>5200</v>
      </c>
      <c r="G44" s="131"/>
    </row>
    <row r="45" spans="1:7" ht="21" customHeight="1">
      <c r="A45" s="127" t="s">
        <v>424</v>
      </c>
      <c r="B45" s="76" t="s">
        <v>5</v>
      </c>
      <c r="C45" s="77"/>
      <c r="D45" s="77">
        <v>12200</v>
      </c>
      <c r="E45" s="71"/>
      <c r="F45" s="78">
        <f t="shared" si="1"/>
        <v>12200</v>
      </c>
      <c r="G45" s="131"/>
    </row>
    <row r="46" spans="1:7" ht="21" customHeight="1">
      <c r="A46" s="127" t="s">
        <v>466</v>
      </c>
      <c r="B46" s="76" t="s">
        <v>5</v>
      </c>
      <c r="C46" s="151">
        <v>6780</v>
      </c>
      <c r="D46" s="77"/>
      <c r="E46" s="143"/>
      <c r="F46" s="78">
        <f t="shared" si="1"/>
        <v>6780</v>
      </c>
      <c r="G46" s="131"/>
    </row>
    <row r="47" spans="1:7" ht="21" customHeight="1">
      <c r="A47" s="127" t="s">
        <v>475</v>
      </c>
      <c r="B47" s="76" t="s">
        <v>10</v>
      </c>
      <c r="C47" s="151">
        <f>+LIST!D50</f>
        <v>1111084</v>
      </c>
      <c r="D47" s="77"/>
      <c r="E47" s="143"/>
      <c r="F47" s="78">
        <f t="shared" si="1"/>
        <v>1111084</v>
      </c>
      <c r="G47" s="131"/>
    </row>
    <row r="48" spans="1:7" ht="21" customHeight="1">
      <c r="A48" s="127" t="s">
        <v>578</v>
      </c>
      <c r="B48" s="76" t="s">
        <v>5</v>
      </c>
      <c r="C48" s="77"/>
      <c r="D48" s="77">
        <v>21000</v>
      </c>
      <c r="E48" s="71"/>
      <c r="F48" s="78">
        <f t="shared" si="1"/>
        <v>21000</v>
      </c>
      <c r="G48" s="131"/>
    </row>
    <row r="49" spans="1:8" ht="21" customHeight="1">
      <c r="A49" s="127" t="s">
        <v>332</v>
      </c>
      <c r="B49" s="76" t="s">
        <v>5</v>
      </c>
      <c r="C49" s="143"/>
      <c r="D49" s="77">
        <v>5500</v>
      </c>
      <c r="E49" s="143"/>
      <c r="F49" s="78">
        <f t="shared" si="1"/>
        <v>5500</v>
      </c>
      <c r="G49" s="131"/>
    </row>
    <row r="50" spans="1:8" ht="21" customHeight="1">
      <c r="A50" s="150" t="s">
        <v>408</v>
      </c>
      <c r="B50" s="76" t="s">
        <v>5</v>
      </c>
      <c r="C50" s="151">
        <v>29900</v>
      </c>
      <c r="D50" s="77"/>
      <c r="E50" s="151"/>
      <c r="F50" s="78">
        <f t="shared" si="1"/>
        <v>29900</v>
      </c>
      <c r="G50" s="152"/>
    </row>
    <row r="51" spans="1:8">
      <c r="A51" s="127" t="s">
        <v>522</v>
      </c>
      <c r="B51" s="76" t="s">
        <v>58</v>
      </c>
      <c r="C51" s="151"/>
      <c r="D51" s="77">
        <v>40000</v>
      </c>
      <c r="E51" s="143"/>
      <c r="F51" s="78">
        <f t="shared" si="1"/>
        <v>40000</v>
      </c>
      <c r="G51" s="131"/>
    </row>
    <row r="52" spans="1:8">
      <c r="A52" s="127" t="s">
        <v>421</v>
      </c>
      <c r="B52" s="76" t="s">
        <v>10</v>
      </c>
      <c r="C52" s="71"/>
      <c r="D52" s="77">
        <v>3000</v>
      </c>
      <c r="E52" s="71"/>
      <c r="F52" s="78">
        <f t="shared" si="1"/>
        <v>3000</v>
      </c>
      <c r="G52" s="131"/>
    </row>
    <row r="53" spans="1:8">
      <c r="A53" s="127" t="s">
        <v>90</v>
      </c>
      <c r="B53" s="76" t="s">
        <v>9</v>
      </c>
      <c r="C53" s="77"/>
      <c r="D53" s="77">
        <v>135000</v>
      </c>
      <c r="E53" s="71"/>
      <c r="F53" s="78">
        <f t="shared" si="1"/>
        <v>135000</v>
      </c>
      <c r="G53" s="131"/>
    </row>
    <row r="54" spans="1:8">
      <c r="A54" s="153" t="s">
        <v>481</v>
      </c>
      <c r="B54" s="76" t="s">
        <v>5</v>
      </c>
      <c r="C54" s="151"/>
      <c r="D54" s="77">
        <v>13500</v>
      </c>
      <c r="E54" s="151"/>
      <c r="F54" s="78">
        <f t="shared" si="1"/>
        <v>13500</v>
      </c>
      <c r="G54" s="152"/>
    </row>
    <row r="55" spans="1:8" ht="28.8">
      <c r="A55" s="153" t="s">
        <v>280</v>
      </c>
      <c r="B55" s="76" t="s">
        <v>579</v>
      </c>
      <c r="C55" s="151">
        <v>259900</v>
      </c>
      <c r="D55" s="77"/>
      <c r="E55" s="151"/>
      <c r="F55" s="78">
        <f t="shared" si="1"/>
        <v>259900</v>
      </c>
      <c r="G55" s="152"/>
      <c r="H55" t="s">
        <v>282</v>
      </c>
    </row>
    <row r="56" spans="1:8">
      <c r="A56" s="153" t="s">
        <v>580</v>
      </c>
      <c r="B56" s="76" t="s">
        <v>579</v>
      </c>
      <c r="C56" s="151">
        <v>120000</v>
      </c>
      <c r="D56" s="77"/>
      <c r="E56" s="151"/>
      <c r="F56" s="78">
        <f t="shared" si="1"/>
        <v>120000</v>
      </c>
      <c r="G56" s="152"/>
      <c r="H56" t="s">
        <v>482</v>
      </c>
    </row>
    <row r="57" spans="1:8">
      <c r="A57" s="127" t="s">
        <v>445</v>
      </c>
      <c r="B57" s="76" t="s">
        <v>249</v>
      </c>
      <c r="C57" s="143"/>
      <c r="D57" s="77">
        <v>30000</v>
      </c>
      <c r="E57" s="143"/>
      <c r="F57" s="78">
        <f t="shared" si="1"/>
        <v>30000</v>
      </c>
      <c r="G57" s="131"/>
    </row>
    <row r="58" spans="1:8">
      <c r="A58" s="365" t="s">
        <v>557</v>
      </c>
      <c r="B58" s="76" t="s">
        <v>9</v>
      </c>
      <c r="C58" s="151">
        <v>12900</v>
      </c>
      <c r="D58" s="77"/>
      <c r="E58" s="151"/>
      <c r="F58" s="78">
        <f t="shared" si="1"/>
        <v>12900</v>
      </c>
      <c r="G58" s="367"/>
    </row>
    <row r="59" spans="1:8">
      <c r="A59" s="365" t="s">
        <v>644</v>
      </c>
      <c r="B59" s="366" t="s">
        <v>9</v>
      </c>
      <c r="C59" s="151">
        <v>97000</v>
      </c>
      <c r="D59" s="77"/>
      <c r="E59" s="151"/>
      <c r="F59" s="78">
        <f>+ROUND(AVERAGE(C59:E59),0)</f>
        <v>97000</v>
      </c>
      <c r="G59" s="367"/>
    </row>
    <row r="60" spans="1:8">
      <c r="A60" s="127" t="s">
        <v>86</v>
      </c>
      <c r="B60" s="76" t="s">
        <v>10</v>
      </c>
      <c r="C60" s="77"/>
      <c r="D60" s="77">
        <v>2400</v>
      </c>
      <c r="E60" s="71"/>
      <c r="F60" s="78">
        <f t="shared" si="1"/>
        <v>2400</v>
      </c>
      <c r="G60" s="131"/>
    </row>
    <row r="61" spans="1:8">
      <c r="A61" s="127" t="s">
        <v>403</v>
      </c>
      <c r="B61" s="76" t="s">
        <v>5</v>
      </c>
      <c r="C61" s="151">
        <v>62900</v>
      </c>
      <c r="D61" s="77"/>
      <c r="E61" s="143"/>
      <c r="F61" s="78">
        <f t="shared" si="1"/>
        <v>62900</v>
      </c>
      <c r="G61" s="131"/>
    </row>
    <row r="62" spans="1:8" ht="28.8">
      <c r="A62" s="129" t="s">
        <v>605</v>
      </c>
      <c r="B62" s="366" t="s">
        <v>58</v>
      </c>
      <c r="C62" s="151">
        <v>219900</v>
      </c>
      <c r="D62" s="77"/>
      <c r="E62" s="143"/>
      <c r="F62" s="78">
        <f>+ROUND(AVERAGE(C62:E62),0)</f>
        <v>219900</v>
      </c>
      <c r="G62" s="131"/>
      <c r="H62" t="s">
        <v>606</v>
      </c>
    </row>
    <row r="63" spans="1:8">
      <c r="A63" s="127" t="s">
        <v>453</v>
      </c>
      <c r="B63" s="76" t="s">
        <v>579</v>
      </c>
      <c r="C63" s="143">
        <v>446900</v>
      </c>
      <c r="D63" s="77"/>
      <c r="E63" s="143"/>
      <c r="F63" s="78">
        <f t="shared" si="1"/>
        <v>446900</v>
      </c>
      <c r="G63" s="131"/>
      <c r="H63" t="s">
        <v>454</v>
      </c>
    </row>
    <row r="64" spans="1:8" ht="28.8">
      <c r="A64" s="129" t="s">
        <v>581</v>
      </c>
      <c r="B64" s="76" t="s">
        <v>11</v>
      </c>
      <c r="C64" s="151">
        <v>79900</v>
      </c>
      <c r="D64" s="77"/>
      <c r="E64" s="143"/>
      <c r="F64" s="78">
        <f t="shared" si="1"/>
        <v>79900</v>
      </c>
      <c r="G64" s="131"/>
    </row>
    <row r="65" spans="1:8" ht="18" customHeight="1">
      <c r="A65" s="127" t="s">
        <v>439</v>
      </c>
      <c r="B65" s="76" t="s">
        <v>5</v>
      </c>
      <c r="C65" s="143">
        <v>6900</v>
      </c>
      <c r="D65" s="77"/>
      <c r="E65" s="143"/>
      <c r="F65" s="78">
        <f t="shared" si="1"/>
        <v>6900</v>
      </c>
      <c r="G65" s="131"/>
    </row>
    <row r="66" spans="1:8" ht="18" customHeight="1">
      <c r="A66" s="127" t="s">
        <v>610</v>
      </c>
      <c r="B66" s="366" t="s">
        <v>5</v>
      </c>
      <c r="C66" s="143"/>
      <c r="D66" s="77">
        <v>900</v>
      </c>
      <c r="E66" s="143"/>
      <c r="F66" s="78">
        <f>+ROUND(AVERAGE(C66:E66),0)</f>
        <v>900</v>
      </c>
      <c r="G66" s="131"/>
    </row>
    <row r="67" spans="1:8">
      <c r="A67" s="127" t="s">
        <v>442</v>
      </c>
      <c r="B67" s="76" t="s">
        <v>5</v>
      </c>
      <c r="C67" s="143">
        <v>22900</v>
      </c>
      <c r="D67" s="77"/>
      <c r="E67" s="143"/>
      <c r="F67" s="78">
        <f t="shared" si="1"/>
        <v>22900</v>
      </c>
      <c r="G67" s="131"/>
    </row>
    <row r="68" spans="1:8">
      <c r="A68" s="127" t="s">
        <v>529</v>
      </c>
      <c r="B68" s="76" t="s">
        <v>5</v>
      </c>
      <c r="C68" s="151">
        <v>1200000</v>
      </c>
      <c r="D68" s="77"/>
      <c r="E68" s="143"/>
      <c r="F68" s="78">
        <f t="shared" si="1"/>
        <v>1200000</v>
      </c>
      <c r="G68" s="131"/>
    </row>
    <row r="69" spans="1:8">
      <c r="A69" s="127" t="s">
        <v>655</v>
      </c>
      <c r="B69" s="366" t="s">
        <v>5</v>
      </c>
      <c r="C69" s="151">
        <v>1278785</v>
      </c>
      <c r="D69" s="77"/>
      <c r="E69" s="143"/>
      <c r="F69" s="78">
        <f>+ROUND(AVERAGE(C69:E69),0)</f>
        <v>1278785</v>
      </c>
      <c r="G69" s="131"/>
    </row>
    <row r="70" spans="1:8">
      <c r="A70" s="150" t="s">
        <v>583</v>
      </c>
      <c r="B70" s="76" t="s">
        <v>5</v>
      </c>
      <c r="C70" s="151">
        <v>231900</v>
      </c>
      <c r="D70" s="77"/>
      <c r="E70" s="151"/>
      <c r="F70" s="78">
        <f t="shared" si="1"/>
        <v>231900</v>
      </c>
      <c r="G70" s="152"/>
    </row>
    <row r="71" spans="1:8">
      <c r="A71" s="110" t="s">
        <v>582</v>
      </c>
      <c r="B71" s="76" t="s">
        <v>5</v>
      </c>
      <c r="C71" s="77">
        <v>160000</v>
      </c>
      <c r="D71" s="77"/>
      <c r="E71" s="77"/>
      <c r="F71" s="78">
        <f t="shared" si="1"/>
        <v>160000</v>
      </c>
      <c r="G71" s="130"/>
    </row>
    <row r="72" spans="1:8">
      <c r="A72" s="127" t="s">
        <v>584</v>
      </c>
      <c r="B72" s="76" t="s">
        <v>5</v>
      </c>
      <c r="C72" s="77">
        <v>29900</v>
      </c>
      <c r="D72" s="77"/>
      <c r="E72" s="71"/>
      <c r="F72" s="78">
        <f t="shared" si="1"/>
        <v>29900</v>
      </c>
      <c r="G72" s="131"/>
      <c r="H72" t="s">
        <v>585</v>
      </c>
    </row>
    <row r="73" spans="1:8">
      <c r="A73" s="110" t="s">
        <v>674</v>
      </c>
      <c r="B73" s="76" t="s">
        <v>5</v>
      </c>
      <c r="C73" s="77"/>
      <c r="D73" s="77">
        <v>13000</v>
      </c>
      <c r="E73" s="77"/>
      <c r="F73" s="78">
        <f t="shared" ref="F73" si="2">+ROUND(AVERAGE(C73:E73),0)</f>
        <v>13000</v>
      </c>
      <c r="G73" s="131"/>
    </row>
    <row r="74" spans="1:8">
      <c r="A74" s="110" t="s">
        <v>673</v>
      </c>
      <c r="B74" s="76" t="s">
        <v>5</v>
      </c>
      <c r="C74" s="77"/>
      <c r="D74" s="77">
        <v>12500</v>
      </c>
      <c r="E74" s="77"/>
      <c r="F74" s="78">
        <f t="shared" si="1"/>
        <v>12500</v>
      </c>
      <c r="G74" s="130"/>
    </row>
    <row r="75" spans="1:8">
      <c r="A75" s="150" t="s">
        <v>407</v>
      </c>
      <c r="B75" s="76" t="s">
        <v>5</v>
      </c>
      <c r="C75" s="151">
        <v>27900</v>
      </c>
      <c r="D75" s="77"/>
      <c r="E75" s="151"/>
      <c r="F75" s="78">
        <f t="shared" ref="F75:F119" si="3">+ROUND(AVERAGE(C75:E75),0)</f>
        <v>27900</v>
      </c>
      <c r="G75" s="152"/>
    </row>
    <row r="76" spans="1:8">
      <c r="A76" s="150" t="s">
        <v>409</v>
      </c>
      <c r="B76" s="76" t="s">
        <v>5</v>
      </c>
      <c r="C76" s="151">
        <v>144900</v>
      </c>
      <c r="D76" s="77"/>
      <c r="E76" s="151"/>
      <c r="F76" s="78">
        <f t="shared" si="3"/>
        <v>144900</v>
      </c>
      <c r="G76" s="152"/>
    </row>
    <row r="77" spans="1:8">
      <c r="A77" s="150" t="s">
        <v>414</v>
      </c>
      <c r="B77" s="76" t="s">
        <v>5</v>
      </c>
      <c r="C77" s="151">
        <v>151900</v>
      </c>
      <c r="D77" s="77"/>
      <c r="E77" s="151"/>
      <c r="F77" s="78">
        <f t="shared" si="3"/>
        <v>151900</v>
      </c>
      <c r="G77" s="152"/>
    </row>
    <row r="78" spans="1:8">
      <c r="A78" s="127"/>
      <c r="B78" s="83"/>
      <c r="C78" s="71"/>
      <c r="D78" s="77"/>
      <c r="E78" s="71"/>
      <c r="F78" s="78"/>
      <c r="G78" s="131"/>
    </row>
    <row r="79" spans="1:8">
      <c r="A79" s="127" t="s">
        <v>560</v>
      </c>
      <c r="B79" s="76" t="s">
        <v>5</v>
      </c>
      <c r="C79" s="151">
        <v>280000</v>
      </c>
      <c r="D79" s="77"/>
      <c r="E79" s="71"/>
      <c r="F79" s="78">
        <f t="shared" si="3"/>
        <v>280000</v>
      </c>
      <c r="G79" s="131"/>
    </row>
    <row r="80" spans="1:8">
      <c r="A80" s="127" t="s">
        <v>553</v>
      </c>
      <c r="B80" s="76" t="s">
        <v>5</v>
      </c>
      <c r="C80" s="143">
        <v>117641</v>
      </c>
      <c r="D80" s="77"/>
      <c r="E80" s="71"/>
      <c r="F80" s="78">
        <f t="shared" si="3"/>
        <v>117641</v>
      </c>
      <c r="G80" s="131"/>
    </row>
    <row r="81" spans="1:8" ht="28.8">
      <c r="A81" s="129" t="s">
        <v>91</v>
      </c>
      <c r="B81" s="76" t="s">
        <v>5</v>
      </c>
      <c r="C81" s="143">
        <v>306900</v>
      </c>
      <c r="D81" s="77"/>
      <c r="E81" s="71"/>
      <c r="F81" s="78">
        <f t="shared" si="3"/>
        <v>306900</v>
      </c>
      <c r="G81" s="131">
        <v>193</v>
      </c>
    </row>
    <row r="82" spans="1:8">
      <c r="A82" s="127" t="s">
        <v>404</v>
      </c>
      <c r="B82" s="76" t="s">
        <v>5</v>
      </c>
      <c r="C82" s="151">
        <v>7000</v>
      </c>
      <c r="D82" s="77"/>
      <c r="E82" s="143"/>
      <c r="F82" s="78">
        <f t="shared" si="3"/>
        <v>7000</v>
      </c>
      <c r="G82" s="131"/>
    </row>
    <row r="83" spans="1:8">
      <c r="A83" s="127" t="s">
        <v>706</v>
      </c>
      <c r="B83" s="366" t="s">
        <v>249</v>
      </c>
      <c r="C83" s="151">
        <v>2898.89</v>
      </c>
      <c r="D83" s="77"/>
      <c r="E83" s="143"/>
      <c r="F83" s="78">
        <f>+ROUND(AVERAGE(C83:E83),0)</f>
        <v>2899</v>
      </c>
      <c r="G83" s="131"/>
    </row>
    <row r="84" spans="1:8" ht="72">
      <c r="A84" s="129" t="s">
        <v>571</v>
      </c>
      <c r="B84" s="76" t="s">
        <v>5</v>
      </c>
      <c r="C84" s="151">
        <f>3270002*1.19</f>
        <v>3891302.38</v>
      </c>
      <c r="D84" s="77"/>
      <c r="E84" s="71"/>
      <c r="F84" s="78">
        <f t="shared" si="3"/>
        <v>3891302</v>
      </c>
      <c r="G84" s="131"/>
    </row>
    <row r="85" spans="1:8" ht="57.6">
      <c r="A85" s="129" t="s">
        <v>629</v>
      </c>
      <c r="B85" s="366" t="s">
        <v>5</v>
      </c>
      <c r="C85" s="151">
        <f>2890502*1.19</f>
        <v>3439697.38</v>
      </c>
      <c r="D85" s="77"/>
      <c r="E85" s="71"/>
      <c r="F85" s="78">
        <f t="shared" ref="F85:F90" si="4">+ROUND(AVERAGE(C85:E85),0)</f>
        <v>3439697</v>
      </c>
      <c r="G85" s="131"/>
    </row>
    <row r="86" spans="1:8" ht="57.6">
      <c r="A86" s="129" t="s">
        <v>630</v>
      </c>
      <c r="B86" s="366" t="s">
        <v>5</v>
      </c>
      <c r="C86" s="151">
        <f>2776201*1.19</f>
        <v>3303679.19</v>
      </c>
      <c r="D86" s="77"/>
      <c r="E86" s="71"/>
      <c r="F86" s="78">
        <f t="shared" si="4"/>
        <v>3303679</v>
      </c>
      <c r="G86" s="131"/>
    </row>
    <row r="87" spans="1:8" ht="57.6">
      <c r="A87" s="129" t="s">
        <v>631</v>
      </c>
      <c r="B87" s="366" t="s">
        <v>5</v>
      </c>
      <c r="C87" s="151">
        <f>3535002*1.19</f>
        <v>4206652.38</v>
      </c>
      <c r="D87" s="77"/>
      <c r="E87" s="71"/>
      <c r="F87" s="78">
        <f t="shared" si="4"/>
        <v>4206652</v>
      </c>
      <c r="G87" s="131"/>
    </row>
    <row r="88" spans="1:8" ht="57.6">
      <c r="A88" s="129" t="s">
        <v>632</v>
      </c>
      <c r="B88" s="366" t="s">
        <v>5</v>
      </c>
      <c r="C88" s="151">
        <f>2788502*1.19</f>
        <v>3318317.38</v>
      </c>
      <c r="D88" s="77"/>
      <c r="E88" s="71"/>
      <c r="F88" s="78">
        <f t="shared" si="4"/>
        <v>3318317</v>
      </c>
      <c r="G88" s="131"/>
    </row>
    <row r="89" spans="1:8" ht="57.6">
      <c r="A89" s="129" t="s">
        <v>633</v>
      </c>
      <c r="B89" s="366" t="s">
        <v>5</v>
      </c>
      <c r="C89" s="151">
        <f>2937701*1.19</f>
        <v>3495864.19</v>
      </c>
      <c r="D89" s="77"/>
      <c r="E89" s="71"/>
      <c r="F89" s="78">
        <f t="shared" si="4"/>
        <v>3495864</v>
      </c>
      <c r="G89" s="131"/>
    </row>
    <row r="90" spans="1:8" ht="57.6">
      <c r="A90" s="129" t="s">
        <v>634</v>
      </c>
      <c r="B90" s="366" t="s">
        <v>5</v>
      </c>
      <c r="C90" s="151">
        <f>1995201*1.19</f>
        <v>2374289.19</v>
      </c>
      <c r="D90" s="77"/>
      <c r="E90" s="71"/>
      <c r="F90" s="78">
        <f t="shared" si="4"/>
        <v>2374289</v>
      </c>
      <c r="G90" s="131"/>
    </row>
    <row r="91" spans="1:8">
      <c r="A91" s="127" t="s">
        <v>87</v>
      </c>
      <c r="B91" s="76" t="s">
        <v>5</v>
      </c>
      <c r="C91" s="77">
        <v>331900</v>
      </c>
      <c r="D91" s="77"/>
      <c r="E91" s="71"/>
      <c r="F91" s="78">
        <f t="shared" si="3"/>
        <v>331900</v>
      </c>
      <c r="G91" s="131"/>
    </row>
    <row r="92" spans="1:8" ht="72">
      <c r="A92" s="129" t="s">
        <v>544</v>
      </c>
      <c r="B92" s="76" t="s">
        <v>5</v>
      </c>
      <c r="C92" s="151">
        <f>17500000*1.19</f>
        <v>20825000</v>
      </c>
      <c r="D92" s="77"/>
      <c r="E92" s="71"/>
      <c r="F92" s="78">
        <f t="shared" si="3"/>
        <v>20825000</v>
      </c>
      <c r="G92" s="131"/>
    </row>
    <row r="93" spans="1:8">
      <c r="A93" s="127" t="s">
        <v>472</v>
      </c>
      <c r="B93" s="76" t="s">
        <v>5</v>
      </c>
      <c r="C93" s="77">
        <v>37400</v>
      </c>
      <c r="D93" s="77"/>
      <c r="E93" s="71"/>
      <c r="F93" s="78">
        <f t="shared" si="3"/>
        <v>37400</v>
      </c>
      <c r="G93" s="131"/>
    </row>
    <row r="94" spans="1:8">
      <c r="A94" s="127" t="s">
        <v>513</v>
      </c>
      <c r="B94" s="76" t="s">
        <v>9</v>
      </c>
      <c r="C94" s="151">
        <v>62458</v>
      </c>
      <c r="D94" s="77"/>
      <c r="E94" s="71"/>
      <c r="F94" s="78">
        <f t="shared" si="3"/>
        <v>62458</v>
      </c>
      <c r="G94" s="131"/>
    </row>
    <row r="95" spans="1:8">
      <c r="A95" s="127" t="s">
        <v>550</v>
      </c>
      <c r="B95" s="76" t="s">
        <v>10</v>
      </c>
      <c r="C95" s="143"/>
      <c r="D95" s="77">
        <v>100000</v>
      </c>
      <c r="E95" s="71"/>
      <c r="F95" s="78">
        <f t="shared" si="3"/>
        <v>100000</v>
      </c>
      <c r="G95" s="131"/>
    </row>
    <row r="96" spans="1:8">
      <c r="A96" s="127" t="s">
        <v>607</v>
      </c>
      <c r="B96" s="366" t="s">
        <v>579</v>
      </c>
      <c r="C96" s="143">
        <v>757812.23</v>
      </c>
      <c r="D96" s="77"/>
      <c r="E96" s="71"/>
      <c r="F96" s="78">
        <f>+ROUND(AVERAGE(C96:E96),0)</f>
        <v>757812</v>
      </c>
      <c r="G96" s="131"/>
      <c r="H96" t="s">
        <v>608</v>
      </c>
    </row>
    <row r="97" spans="1:8">
      <c r="A97" s="127" t="s">
        <v>587</v>
      </c>
      <c r="B97" s="76" t="s">
        <v>58</v>
      </c>
      <c r="C97" s="151">
        <v>136900</v>
      </c>
      <c r="D97" s="77"/>
      <c r="E97" s="143"/>
      <c r="F97" s="78">
        <f t="shared" si="3"/>
        <v>136900</v>
      </c>
      <c r="G97" s="131"/>
    </row>
    <row r="98" spans="1:8" ht="28.8">
      <c r="A98" s="129" t="s">
        <v>278</v>
      </c>
      <c r="B98" s="76" t="s">
        <v>58</v>
      </c>
      <c r="C98" s="151">
        <v>115900</v>
      </c>
      <c r="D98" s="77">
        <v>140000</v>
      </c>
      <c r="E98" s="143">
        <v>144000</v>
      </c>
      <c r="F98" s="78">
        <f t="shared" si="3"/>
        <v>133300</v>
      </c>
      <c r="G98" s="131"/>
      <c r="H98" s="108" t="s">
        <v>281</v>
      </c>
    </row>
    <row r="99" spans="1:8">
      <c r="A99" s="129" t="s">
        <v>588</v>
      </c>
      <c r="B99" s="76" t="s">
        <v>579</v>
      </c>
      <c r="C99" s="151">
        <v>299900</v>
      </c>
      <c r="D99" s="77"/>
      <c r="E99" s="143"/>
      <c r="F99" s="78">
        <f t="shared" si="3"/>
        <v>299900</v>
      </c>
      <c r="G99" s="131"/>
      <c r="H99" s="108" t="s">
        <v>477</v>
      </c>
    </row>
    <row r="100" spans="1:8">
      <c r="A100" s="127" t="s">
        <v>440</v>
      </c>
      <c r="B100" s="76" t="s">
        <v>5</v>
      </c>
      <c r="C100" s="143">
        <v>5900</v>
      </c>
      <c r="D100" s="77"/>
      <c r="E100" s="71"/>
      <c r="F100" s="78">
        <f t="shared" si="3"/>
        <v>5900</v>
      </c>
      <c r="G100" s="131"/>
    </row>
    <row r="101" spans="1:8">
      <c r="A101" s="127" t="s">
        <v>92</v>
      </c>
      <c r="B101" s="76" t="s">
        <v>9</v>
      </c>
      <c r="C101" s="71"/>
      <c r="D101" s="77"/>
      <c r="E101" s="71"/>
      <c r="F101" s="78" t="e">
        <f t="shared" si="3"/>
        <v>#DIV/0!</v>
      </c>
      <c r="G101" s="131"/>
    </row>
    <row r="102" spans="1:8">
      <c r="A102" s="127" t="s">
        <v>687</v>
      </c>
      <c r="B102" s="366" t="s">
        <v>58</v>
      </c>
      <c r="C102" s="143">
        <v>584900</v>
      </c>
      <c r="D102" s="77"/>
      <c r="E102" s="71"/>
      <c r="F102" s="78">
        <f>+ROUND(AVERAGE(C102:E102),0)</f>
        <v>584900</v>
      </c>
      <c r="G102" s="131"/>
      <c r="H102" t="s">
        <v>688</v>
      </c>
    </row>
    <row r="103" spans="1:8">
      <c r="A103" s="110" t="s">
        <v>76</v>
      </c>
      <c r="B103" s="76" t="s">
        <v>70</v>
      </c>
      <c r="C103" s="77"/>
      <c r="D103" s="77">
        <v>5800</v>
      </c>
      <c r="E103" s="77"/>
      <c r="F103" s="78">
        <f t="shared" si="3"/>
        <v>5800</v>
      </c>
      <c r="G103" s="130"/>
    </row>
    <row r="104" spans="1:8">
      <c r="A104" s="110" t="s">
        <v>676</v>
      </c>
      <c r="B104" s="76" t="s">
        <v>70</v>
      </c>
      <c r="C104" s="77"/>
      <c r="D104" s="77">
        <v>5800</v>
      </c>
      <c r="E104" s="151"/>
      <c r="F104" s="78">
        <f>+ROUND(AVERAGE(C104:E104),0)</f>
        <v>5800</v>
      </c>
      <c r="G104" s="152"/>
    </row>
    <row r="105" spans="1:8">
      <c r="A105" s="127" t="s">
        <v>589</v>
      </c>
      <c r="B105" s="76" t="s">
        <v>5</v>
      </c>
      <c r="C105" s="151">
        <v>33900</v>
      </c>
      <c r="D105" s="77"/>
      <c r="E105" s="71"/>
      <c r="F105" s="78">
        <f t="shared" si="3"/>
        <v>33900</v>
      </c>
      <c r="G105" s="131"/>
    </row>
    <row r="106" spans="1:8">
      <c r="A106" s="128" t="s">
        <v>71</v>
      </c>
      <c r="B106" s="76" t="s">
        <v>10</v>
      </c>
      <c r="C106" s="77"/>
      <c r="D106" s="77">
        <v>90000</v>
      </c>
      <c r="E106" s="77"/>
      <c r="F106" s="78">
        <f t="shared" si="3"/>
        <v>90000</v>
      </c>
      <c r="G106" s="132">
        <v>5</v>
      </c>
    </row>
    <row r="107" spans="1:8">
      <c r="A107" s="127" t="s">
        <v>590</v>
      </c>
      <c r="B107" s="76" t="s">
        <v>5</v>
      </c>
      <c r="C107" s="77">
        <v>22900</v>
      </c>
      <c r="D107" s="77"/>
      <c r="E107" s="71"/>
      <c r="F107" s="78">
        <f t="shared" si="3"/>
        <v>22900</v>
      </c>
      <c r="G107" s="131"/>
    </row>
    <row r="108" spans="1:8">
      <c r="A108" s="127" t="s">
        <v>653</v>
      </c>
      <c r="B108" s="366" t="s">
        <v>5</v>
      </c>
      <c r="C108" s="151">
        <v>129900</v>
      </c>
      <c r="D108" s="77"/>
      <c r="E108" s="71"/>
      <c r="F108" s="78">
        <f>+ROUND(AVERAGE(C108:E108),0)</f>
        <v>129900</v>
      </c>
      <c r="G108" s="131"/>
    </row>
    <row r="109" spans="1:8">
      <c r="A109" s="127" t="s">
        <v>455</v>
      </c>
      <c r="B109" s="76" t="s">
        <v>5</v>
      </c>
      <c r="C109" s="143">
        <v>13900</v>
      </c>
      <c r="D109" s="77"/>
      <c r="E109" s="143"/>
      <c r="F109" s="78">
        <f t="shared" si="3"/>
        <v>13900</v>
      </c>
      <c r="G109" s="131"/>
    </row>
    <row r="110" spans="1:8">
      <c r="A110" s="127" t="s">
        <v>591</v>
      </c>
      <c r="B110" s="76" t="s">
        <v>5</v>
      </c>
      <c r="C110" s="151">
        <v>281900</v>
      </c>
      <c r="D110" s="77">
        <v>300000</v>
      </c>
      <c r="E110" s="143"/>
      <c r="F110" s="78">
        <f t="shared" si="3"/>
        <v>290950</v>
      </c>
      <c r="G110" s="131"/>
    </row>
    <row r="111" spans="1:8">
      <c r="A111" s="127" t="s">
        <v>405</v>
      </c>
      <c r="B111" s="76" t="s">
        <v>5</v>
      </c>
      <c r="C111" s="151">
        <v>646900</v>
      </c>
      <c r="D111" s="77"/>
      <c r="E111" s="143"/>
      <c r="F111" s="78">
        <f t="shared" si="3"/>
        <v>646900</v>
      </c>
      <c r="G111" s="131"/>
    </row>
    <row r="112" spans="1:8" ht="28.8">
      <c r="A112" s="129" t="s">
        <v>456</v>
      </c>
      <c r="B112" s="76" t="s">
        <v>5</v>
      </c>
      <c r="C112" s="143">
        <v>27900</v>
      </c>
      <c r="D112" s="77"/>
      <c r="E112" s="143"/>
      <c r="F112" s="78">
        <f t="shared" si="3"/>
        <v>27900</v>
      </c>
      <c r="G112" s="131"/>
    </row>
    <row r="113" spans="1:8">
      <c r="A113" s="127" t="s">
        <v>520</v>
      </c>
      <c r="B113" s="76" t="s">
        <v>5</v>
      </c>
      <c r="C113" s="143">
        <v>104.5</v>
      </c>
      <c r="D113" s="77"/>
      <c r="E113" s="143"/>
      <c r="F113" s="78">
        <f t="shared" si="3"/>
        <v>105</v>
      </c>
      <c r="G113" s="131"/>
    </row>
    <row r="114" spans="1:8">
      <c r="A114" s="150" t="s">
        <v>410</v>
      </c>
      <c r="B114" s="76" t="s">
        <v>5</v>
      </c>
      <c r="C114" s="151">
        <v>24000</v>
      </c>
      <c r="D114" s="77"/>
      <c r="E114" s="151"/>
      <c r="F114" s="78">
        <f t="shared" si="3"/>
        <v>24000</v>
      </c>
      <c r="G114" s="152"/>
    </row>
    <row r="115" spans="1:8">
      <c r="A115" s="127" t="s">
        <v>592</v>
      </c>
      <c r="B115" s="76" t="s">
        <v>5</v>
      </c>
      <c r="C115" s="77">
        <v>71900</v>
      </c>
      <c r="D115" s="77"/>
      <c r="E115" s="71"/>
      <c r="F115" s="78">
        <f t="shared" si="3"/>
        <v>71900</v>
      </c>
      <c r="G115" s="131"/>
      <c r="H115" t="s">
        <v>593</v>
      </c>
    </row>
    <row r="116" spans="1:8" ht="28.8">
      <c r="A116" s="129" t="s">
        <v>534</v>
      </c>
      <c r="B116" s="76" t="s">
        <v>5</v>
      </c>
      <c r="C116" s="151"/>
      <c r="D116" s="77">
        <v>750000</v>
      </c>
      <c r="E116" s="143"/>
      <c r="F116" s="78">
        <f t="shared" si="3"/>
        <v>750000</v>
      </c>
      <c r="G116" s="131"/>
    </row>
    <row r="117" spans="1:8">
      <c r="A117" s="110" t="s">
        <v>78</v>
      </c>
      <c r="B117" s="76" t="s">
        <v>79</v>
      </c>
      <c r="C117" s="77"/>
      <c r="D117" s="77">
        <v>295000</v>
      </c>
      <c r="E117" s="77"/>
      <c r="F117" s="78">
        <f t="shared" si="3"/>
        <v>295000</v>
      </c>
      <c r="G117" s="130"/>
    </row>
    <row r="118" spans="1:8">
      <c r="A118" s="150" t="s">
        <v>675</v>
      </c>
      <c r="B118" s="366" t="s">
        <v>9</v>
      </c>
      <c r="C118" s="151">
        <v>1384.76</v>
      </c>
      <c r="D118" s="77"/>
      <c r="E118" s="151"/>
      <c r="F118" s="78">
        <f>+ROUND(AVERAGE(C118:E118),0)</f>
        <v>1385</v>
      </c>
      <c r="G118" s="152"/>
    </row>
    <row r="119" spans="1:8">
      <c r="A119" s="127" t="s">
        <v>365</v>
      </c>
      <c r="B119" s="76" t="s">
        <v>9</v>
      </c>
      <c r="C119" s="143"/>
      <c r="D119" s="77">
        <v>25000</v>
      </c>
      <c r="E119" s="71"/>
      <c r="F119" s="78">
        <f t="shared" si="3"/>
        <v>25000</v>
      </c>
      <c r="G119" s="131"/>
    </row>
    <row r="120" spans="1:8">
      <c r="A120" s="127" t="s">
        <v>416</v>
      </c>
      <c r="B120" s="76" t="s">
        <v>9</v>
      </c>
      <c r="C120" s="143">
        <v>32000</v>
      </c>
      <c r="D120" s="77"/>
      <c r="E120" s="71"/>
      <c r="F120" s="78">
        <f t="shared" ref="F120:F137" si="5">+ROUND(AVERAGE(C120:E120),0)</f>
        <v>32000</v>
      </c>
      <c r="G120" s="131"/>
    </row>
    <row r="121" spans="1:8">
      <c r="A121" s="127" t="s">
        <v>650</v>
      </c>
      <c r="B121" s="366" t="s">
        <v>10</v>
      </c>
      <c r="C121" s="143"/>
      <c r="D121" s="77">
        <v>90000</v>
      </c>
      <c r="E121" s="71"/>
      <c r="F121" s="78">
        <f>+ROUND(AVERAGE(C121:E121),0)</f>
        <v>90000</v>
      </c>
      <c r="G121" s="131"/>
    </row>
    <row r="122" spans="1:8">
      <c r="A122" s="127" t="s">
        <v>433</v>
      </c>
      <c r="B122" s="76" t="s">
        <v>5</v>
      </c>
      <c r="C122" s="143"/>
      <c r="D122" s="77">
        <v>9000</v>
      </c>
      <c r="E122" s="143"/>
      <c r="F122" s="78">
        <f t="shared" si="5"/>
        <v>9000</v>
      </c>
      <c r="G122" s="131"/>
    </row>
    <row r="123" spans="1:8" ht="28.8">
      <c r="A123" s="129" t="s">
        <v>594</v>
      </c>
      <c r="B123" s="76" t="s">
        <v>5</v>
      </c>
      <c r="C123" s="143">
        <v>1499</v>
      </c>
      <c r="D123" s="77"/>
      <c r="E123" s="71"/>
      <c r="F123" s="78">
        <f t="shared" si="5"/>
        <v>1499</v>
      </c>
      <c r="G123" s="131"/>
    </row>
    <row r="124" spans="1:8">
      <c r="A124" s="128" t="s">
        <v>75</v>
      </c>
      <c r="B124" s="76" t="s">
        <v>10</v>
      </c>
      <c r="C124" s="77">
        <v>65545</v>
      </c>
      <c r="D124" s="77"/>
      <c r="E124" s="77"/>
      <c r="F124" s="78">
        <f t="shared" si="5"/>
        <v>65545</v>
      </c>
      <c r="G124" s="132">
        <v>120</v>
      </c>
    </row>
    <row r="125" spans="1:8">
      <c r="A125" s="365" t="s">
        <v>682</v>
      </c>
      <c r="B125" s="366" t="s">
        <v>10</v>
      </c>
      <c r="C125" s="151">
        <v>82396</v>
      </c>
      <c r="D125" s="77"/>
      <c r="E125" s="151"/>
      <c r="F125" s="78">
        <f>+ROUND(AVERAGE(C125:E125),0)</f>
        <v>82396</v>
      </c>
      <c r="G125" s="367"/>
    </row>
    <row r="126" spans="1:8">
      <c r="A126" s="127" t="s">
        <v>566</v>
      </c>
      <c r="B126" s="76" t="s">
        <v>9</v>
      </c>
      <c r="C126" s="151">
        <v>75000</v>
      </c>
      <c r="D126" s="77"/>
      <c r="E126" s="71"/>
      <c r="F126" s="78">
        <f t="shared" si="5"/>
        <v>75000</v>
      </c>
      <c r="G126" s="131"/>
    </row>
    <row r="127" spans="1:8" ht="22.5" customHeight="1">
      <c r="A127" s="127" t="s">
        <v>333</v>
      </c>
      <c r="B127" s="76" t="s">
        <v>249</v>
      </c>
      <c r="C127" s="143">
        <v>19000</v>
      </c>
      <c r="D127" s="77">
        <v>21000</v>
      </c>
      <c r="E127" s="143">
        <v>23000</v>
      </c>
      <c r="F127" s="78">
        <f t="shared" si="5"/>
        <v>21000</v>
      </c>
      <c r="G127" s="131"/>
    </row>
    <row r="128" spans="1:8" ht="19.5" customHeight="1">
      <c r="A128" s="127" t="s">
        <v>595</v>
      </c>
      <c r="B128" s="76" t="s">
        <v>5</v>
      </c>
      <c r="C128" s="143">
        <v>10117868</v>
      </c>
      <c r="D128" s="77"/>
      <c r="E128" s="71"/>
      <c r="F128" s="78">
        <f t="shared" si="5"/>
        <v>10117868</v>
      </c>
      <c r="G128" s="131"/>
    </row>
    <row r="129" spans="1:7">
      <c r="A129" s="127" t="s">
        <v>417</v>
      </c>
      <c r="B129" s="76" t="s">
        <v>5</v>
      </c>
      <c r="C129" s="143">
        <v>48000</v>
      </c>
      <c r="D129" s="77"/>
      <c r="E129" s="71"/>
      <c r="F129" s="78">
        <f t="shared" si="5"/>
        <v>48000</v>
      </c>
      <c r="G129" s="131"/>
    </row>
    <row r="130" spans="1:7">
      <c r="A130" s="110" t="s">
        <v>81</v>
      </c>
      <c r="B130" s="76" t="s">
        <v>5</v>
      </c>
      <c r="C130" s="77"/>
      <c r="D130" s="77">
        <v>22000</v>
      </c>
      <c r="E130" s="77"/>
      <c r="F130" s="78">
        <f t="shared" si="5"/>
        <v>22000</v>
      </c>
      <c r="G130" s="130"/>
    </row>
    <row r="131" spans="1:7">
      <c r="A131" s="127" t="s">
        <v>88</v>
      </c>
      <c r="B131" s="76" t="s">
        <v>5</v>
      </c>
      <c r="C131" s="77"/>
      <c r="D131" s="77">
        <v>45000</v>
      </c>
      <c r="E131" s="71"/>
      <c r="F131" s="78">
        <f t="shared" si="5"/>
        <v>45000</v>
      </c>
      <c r="G131" s="131"/>
    </row>
    <row r="132" spans="1:7">
      <c r="A132" s="110" t="s">
        <v>80</v>
      </c>
      <c r="B132" s="76" t="s">
        <v>5</v>
      </c>
      <c r="C132" s="77"/>
      <c r="D132" s="77">
        <v>94500</v>
      </c>
      <c r="E132" s="77"/>
      <c r="F132" s="78">
        <f t="shared" si="5"/>
        <v>94500</v>
      </c>
      <c r="G132" s="130"/>
    </row>
    <row r="133" spans="1:7">
      <c r="A133" s="127" t="s">
        <v>596</v>
      </c>
      <c r="B133" s="76" t="s">
        <v>5</v>
      </c>
      <c r="C133" s="151">
        <v>4100</v>
      </c>
      <c r="D133" s="77"/>
      <c r="E133" s="143"/>
      <c r="F133" s="78">
        <f t="shared" si="5"/>
        <v>4100</v>
      </c>
      <c r="G133" s="131"/>
    </row>
    <row r="134" spans="1:7">
      <c r="A134" s="127" t="s">
        <v>331</v>
      </c>
      <c r="B134" s="76" t="s">
        <v>5</v>
      </c>
      <c r="C134" s="143">
        <v>1600</v>
      </c>
      <c r="D134" s="77"/>
      <c r="E134" s="143"/>
      <c r="F134" s="78">
        <f t="shared" si="5"/>
        <v>1600</v>
      </c>
      <c r="G134" s="131"/>
    </row>
    <row r="135" spans="1:7">
      <c r="A135" s="127" t="s">
        <v>708</v>
      </c>
      <c r="B135" s="366" t="s">
        <v>5</v>
      </c>
      <c r="C135" s="143">
        <v>8000</v>
      </c>
      <c r="D135" s="77"/>
      <c r="E135" s="143"/>
      <c r="F135" s="78">
        <f>+ROUND(AVERAGE(C135:E135),0)</f>
        <v>8000</v>
      </c>
      <c r="G135" s="131"/>
    </row>
    <row r="136" spans="1:7">
      <c r="A136" s="127" t="s">
        <v>426</v>
      </c>
      <c r="B136" s="76" t="s">
        <v>5</v>
      </c>
      <c r="C136" s="77"/>
      <c r="D136" s="77">
        <v>1100</v>
      </c>
      <c r="E136" s="71"/>
      <c r="F136" s="78">
        <f t="shared" si="5"/>
        <v>1100</v>
      </c>
      <c r="G136" s="131"/>
    </row>
    <row r="137" spans="1:7">
      <c r="A137" s="150" t="s">
        <v>427</v>
      </c>
      <c r="B137" s="76" t="s">
        <v>5</v>
      </c>
      <c r="C137" s="151"/>
      <c r="D137" s="77">
        <v>7000</v>
      </c>
      <c r="E137" s="151"/>
      <c r="F137" s="78">
        <f t="shared" si="5"/>
        <v>7000</v>
      </c>
      <c r="G137" s="152"/>
    </row>
    <row r="138" spans="1:7">
      <c r="A138" s="72"/>
      <c r="B138" s="126"/>
      <c r="C138" s="72"/>
      <c r="D138" s="72"/>
      <c r="E138" s="72"/>
      <c r="F138" s="72"/>
      <c r="G138" s="72"/>
    </row>
    <row r="139" spans="1:7">
      <c r="A139" s="72"/>
      <c r="B139" s="126"/>
      <c r="C139" s="72"/>
      <c r="D139" s="72"/>
      <c r="E139" s="72"/>
      <c r="F139" s="72"/>
      <c r="G139" s="72"/>
    </row>
    <row r="140" spans="1:7">
      <c r="A140" s="72"/>
      <c r="B140" s="126"/>
      <c r="C140" s="72"/>
      <c r="D140" s="72"/>
      <c r="E140" s="72"/>
      <c r="F140" s="72"/>
      <c r="G140" s="72"/>
    </row>
    <row r="141" spans="1:7">
      <c r="A141" s="72"/>
      <c r="B141" s="126"/>
      <c r="C141" s="72"/>
      <c r="D141" s="72"/>
      <c r="E141" s="72"/>
      <c r="F141" s="72"/>
      <c r="G141" s="72"/>
    </row>
    <row r="142" spans="1:7">
      <c r="A142" s="72"/>
      <c r="B142" s="126"/>
      <c r="C142" s="72"/>
      <c r="D142" s="72"/>
      <c r="E142" s="72"/>
      <c r="F142" s="72"/>
      <c r="G142" s="72"/>
    </row>
    <row r="143" spans="1:7">
      <c r="A143" s="72"/>
      <c r="B143" s="126"/>
      <c r="C143" s="72"/>
      <c r="D143" s="72"/>
      <c r="E143" s="72"/>
      <c r="F143" s="72"/>
      <c r="G143" s="72"/>
    </row>
    <row r="144" spans="1:7">
      <c r="A144" s="72"/>
      <c r="B144" s="126"/>
      <c r="C144" s="72"/>
      <c r="D144" s="72"/>
      <c r="E144" s="72"/>
      <c r="F144" s="72"/>
      <c r="G144" s="72"/>
    </row>
    <row r="145" spans="1:7">
      <c r="A145" s="72"/>
      <c r="B145" s="126"/>
      <c r="C145" s="72"/>
      <c r="D145" s="72"/>
      <c r="E145" s="72"/>
      <c r="F145" s="72"/>
      <c r="G145" s="72"/>
    </row>
    <row r="146" spans="1:7">
      <c r="A146" s="72"/>
      <c r="B146" s="126"/>
      <c r="C146" s="72"/>
      <c r="D146" s="72"/>
      <c r="E146" s="72"/>
      <c r="F146" s="72"/>
      <c r="G146" s="72"/>
    </row>
    <row r="147" spans="1:7">
      <c r="A147" s="72"/>
      <c r="B147" s="126"/>
      <c r="C147" s="72"/>
      <c r="D147" s="72"/>
      <c r="E147" s="72"/>
      <c r="F147" s="72"/>
      <c r="G147" s="72"/>
    </row>
    <row r="148" spans="1:7">
      <c r="A148" s="72"/>
      <c r="B148" s="126"/>
      <c r="C148" s="72"/>
      <c r="D148" s="72"/>
      <c r="E148" s="72"/>
      <c r="F148" s="72"/>
      <c r="G148" s="72"/>
    </row>
    <row r="149" spans="1:7">
      <c r="A149" s="72"/>
      <c r="B149" s="126"/>
      <c r="C149" s="72"/>
      <c r="D149" s="72"/>
      <c r="E149" s="72"/>
      <c r="F149" s="72"/>
      <c r="G149" s="72"/>
    </row>
    <row r="150" spans="1:7">
      <c r="A150" s="72"/>
      <c r="B150" s="126"/>
      <c r="C150" s="72"/>
      <c r="D150" s="72"/>
      <c r="E150" s="72"/>
      <c r="F150" s="72"/>
      <c r="G150" s="72"/>
    </row>
    <row r="151" spans="1:7" ht="33" customHeight="1">
      <c r="A151" s="72"/>
      <c r="B151" s="126"/>
      <c r="C151" s="72"/>
      <c r="D151" s="72"/>
      <c r="E151" s="72"/>
      <c r="F151" s="72"/>
      <c r="G151" s="72"/>
    </row>
    <row r="152" spans="1:7">
      <c r="A152" s="72"/>
      <c r="B152" s="126"/>
      <c r="C152" s="72"/>
      <c r="D152" s="72"/>
      <c r="E152" s="72"/>
      <c r="F152" s="72"/>
      <c r="G152" s="72"/>
    </row>
    <row r="153" spans="1:7">
      <c r="A153" s="72"/>
      <c r="B153" s="126"/>
      <c r="C153" s="72"/>
      <c r="D153" s="72"/>
      <c r="E153" s="72"/>
      <c r="F153" s="72"/>
      <c r="G153" s="72"/>
    </row>
    <row r="154" spans="1:7">
      <c r="A154" s="72"/>
      <c r="B154" s="126"/>
      <c r="C154" s="72"/>
      <c r="D154" s="72"/>
      <c r="E154" s="72"/>
      <c r="F154" s="72"/>
      <c r="G154" s="72"/>
    </row>
    <row r="155" spans="1:7">
      <c r="A155" s="72"/>
      <c r="B155" s="126"/>
      <c r="C155" s="72"/>
      <c r="D155" s="72"/>
      <c r="E155" s="72"/>
      <c r="F155" s="72"/>
      <c r="G155" s="72"/>
    </row>
    <row r="156" spans="1:7">
      <c r="A156" s="72"/>
      <c r="B156" s="126"/>
      <c r="C156" s="72"/>
      <c r="D156" s="72"/>
      <c r="E156" s="72"/>
      <c r="F156" s="72"/>
      <c r="G156" s="72"/>
    </row>
    <row r="157" spans="1:7" ht="24" customHeight="1">
      <c r="A157" s="72"/>
      <c r="B157" s="126"/>
      <c r="C157" s="72"/>
      <c r="D157" s="72"/>
      <c r="E157" s="72"/>
      <c r="F157" s="72"/>
      <c r="G157" s="72"/>
    </row>
    <row r="158" spans="1:7">
      <c r="A158" s="72"/>
      <c r="B158" s="126"/>
      <c r="C158" s="72"/>
      <c r="D158" s="72"/>
      <c r="E158" s="72"/>
      <c r="F158" s="72"/>
      <c r="G158" s="72"/>
    </row>
    <row r="159" spans="1:7">
      <c r="A159" s="72"/>
      <c r="B159" s="126"/>
      <c r="C159" s="72"/>
      <c r="D159" s="72"/>
      <c r="E159" s="72"/>
      <c r="F159" s="72"/>
      <c r="G159" s="72"/>
    </row>
    <row r="160" spans="1:7">
      <c r="A160" s="72"/>
      <c r="B160" s="126"/>
      <c r="C160" s="72"/>
      <c r="D160" s="72"/>
      <c r="E160" s="72"/>
      <c r="F160" s="72"/>
      <c r="G160" s="72"/>
    </row>
    <row r="161" spans="1:7">
      <c r="A161" s="72"/>
      <c r="B161" s="126"/>
      <c r="C161" s="72"/>
      <c r="D161" s="72"/>
      <c r="E161" s="72"/>
      <c r="F161" s="72"/>
      <c r="G161" s="72"/>
    </row>
    <row r="162" spans="1:7">
      <c r="A162" s="72"/>
      <c r="B162" s="126"/>
      <c r="C162" s="72"/>
      <c r="D162" s="72"/>
      <c r="E162" s="72"/>
      <c r="F162" s="72"/>
      <c r="G162" s="72"/>
    </row>
    <row r="163" spans="1:7">
      <c r="A163" s="72"/>
      <c r="B163" s="126"/>
      <c r="C163" s="72"/>
      <c r="D163" s="72"/>
      <c r="E163" s="72"/>
      <c r="F163" s="72"/>
      <c r="G163" s="72"/>
    </row>
  </sheetData>
  <sortState xmlns:xlrd2="http://schemas.microsoft.com/office/spreadsheetml/2017/richdata2" ref="A2:G130">
    <sortCondition ref="A2:A130"/>
  </sortState>
  <phoneticPr fontId="8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179B3-1728-4CCC-BFAD-96C51FB2754E}">
  <sheetPr>
    <tabColor rgb="FF00B050"/>
  </sheetPr>
  <dimension ref="B2:K78"/>
  <sheetViews>
    <sheetView view="pageBreakPreview" topLeftCell="A55" zoomScale="60" zoomScaleNormal="100" workbookViewId="0">
      <selection activeCell="L20" sqref="J7:L20"/>
    </sheetView>
  </sheetViews>
  <sheetFormatPr baseColWidth="10" defaultColWidth="11.44140625" defaultRowHeight="13.2"/>
  <cols>
    <col min="1" max="1" width="7.88671875" style="87" customWidth="1"/>
    <col min="2" max="5" width="11.44140625" style="87"/>
    <col min="6" max="6" width="33.33203125" style="87" customWidth="1"/>
    <col min="7" max="16384" width="11.44140625" style="87"/>
  </cols>
  <sheetData>
    <row r="2" spans="2:11" ht="18">
      <c r="B2" s="516" t="s">
        <v>95</v>
      </c>
      <c r="C2" s="517"/>
      <c r="D2" s="517"/>
      <c r="E2" s="517"/>
      <c r="F2" s="517"/>
      <c r="G2" s="517"/>
      <c r="H2" s="518"/>
    </row>
    <row r="3" spans="2:11" ht="15.6">
      <c r="B3" s="519" t="s">
        <v>96</v>
      </c>
      <c r="C3" s="519"/>
      <c r="D3" s="520" t="s">
        <v>97</v>
      </c>
      <c r="E3" s="520"/>
      <c r="F3" s="88" t="s">
        <v>98</v>
      </c>
      <c r="G3" s="521" t="s">
        <v>99</v>
      </c>
      <c r="H3" s="519"/>
    </row>
    <row r="4" spans="2:11" ht="34.200000000000003" customHeight="1">
      <c r="B4" s="507" t="s">
        <v>100</v>
      </c>
      <c r="C4" s="507"/>
      <c r="D4" s="511" t="s">
        <v>101</v>
      </c>
      <c r="E4" s="512"/>
      <c r="F4" s="89">
        <v>1750905</v>
      </c>
      <c r="G4" s="515"/>
      <c r="H4" s="515"/>
    </row>
    <row r="5" spans="2:11" ht="34.200000000000003" customHeight="1">
      <c r="B5" s="507" t="s">
        <v>100</v>
      </c>
      <c r="C5" s="507"/>
      <c r="D5" s="511" t="s">
        <v>102</v>
      </c>
      <c r="E5" s="512"/>
      <c r="F5" s="90">
        <v>249095</v>
      </c>
      <c r="G5" s="515"/>
      <c r="H5" s="515"/>
    </row>
    <row r="6" spans="2:11" ht="34.200000000000003" customHeight="1">
      <c r="B6" s="507" t="s">
        <v>100</v>
      </c>
      <c r="C6" s="507"/>
      <c r="D6" s="508" t="s">
        <v>103</v>
      </c>
      <c r="E6" s="508"/>
      <c r="F6" s="89">
        <f>+F5+F4</f>
        <v>2000000</v>
      </c>
      <c r="G6" s="509"/>
      <c r="H6" s="510"/>
    </row>
    <row r="7" spans="2:11" ht="34.200000000000003" customHeight="1">
      <c r="B7" s="507" t="s">
        <v>104</v>
      </c>
      <c r="C7" s="507"/>
      <c r="D7" s="511" t="s">
        <v>105</v>
      </c>
      <c r="E7" s="512"/>
      <c r="F7" s="89">
        <f>+F6/30</f>
        <v>66666.666666666672</v>
      </c>
      <c r="G7" s="513"/>
      <c r="H7" s="514"/>
      <c r="K7" s="154"/>
    </row>
    <row r="8" spans="2:11" ht="34.200000000000003" customHeight="1">
      <c r="B8" s="507" t="s">
        <v>106</v>
      </c>
      <c r="C8" s="507"/>
      <c r="D8" s="511" t="s">
        <v>107</v>
      </c>
      <c r="E8" s="512"/>
      <c r="F8" s="91">
        <v>0.75</v>
      </c>
      <c r="G8" s="509"/>
      <c r="H8" s="510"/>
    </row>
    <row r="9" spans="2:11" ht="34.200000000000003" customHeight="1">
      <c r="B9" s="507" t="s">
        <v>104</v>
      </c>
      <c r="C9" s="507"/>
      <c r="D9" s="508" t="s">
        <v>108</v>
      </c>
      <c r="E9" s="508"/>
      <c r="F9" s="89">
        <f>+F7*(1+F8)</f>
        <v>116666.66666666667</v>
      </c>
      <c r="G9" s="509"/>
      <c r="H9" s="510"/>
    </row>
    <row r="10" spans="2:11" ht="34.200000000000003" customHeight="1">
      <c r="B10" s="507" t="s">
        <v>100</v>
      </c>
      <c r="C10" s="507"/>
      <c r="D10" s="508" t="s">
        <v>109</v>
      </c>
      <c r="E10" s="508"/>
      <c r="F10" s="89">
        <f>+F9*30</f>
        <v>3500000</v>
      </c>
      <c r="G10" s="509"/>
      <c r="H10" s="510"/>
    </row>
    <row r="11" spans="2:11" ht="15.6">
      <c r="B11" s="505"/>
      <c r="C11" s="506"/>
      <c r="D11" s="506"/>
      <c r="E11" s="506"/>
      <c r="F11" s="506"/>
      <c r="G11" s="506"/>
      <c r="H11" s="506"/>
    </row>
    <row r="12" spans="2:11" ht="46.8">
      <c r="B12" s="92" t="s">
        <v>110</v>
      </c>
      <c r="C12" s="93" t="s">
        <v>111</v>
      </c>
      <c r="D12" s="93" t="s">
        <v>96</v>
      </c>
      <c r="E12" s="93" t="s">
        <v>112</v>
      </c>
      <c r="F12" s="94" t="s">
        <v>113</v>
      </c>
      <c r="G12" s="95" t="s">
        <v>114</v>
      </c>
      <c r="H12" s="96" t="s">
        <v>99</v>
      </c>
    </row>
    <row r="13" spans="2:11" ht="15.6">
      <c r="B13" s="97">
        <v>1</v>
      </c>
      <c r="C13" s="98" t="s">
        <v>115</v>
      </c>
      <c r="D13" s="98" t="s">
        <v>104</v>
      </c>
      <c r="E13" s="99" t="s">
        <v>116</v>
      </c>
      <c r="F13" s="100">
        <f>$F$9*G13</f>
        <v>291666.66666666669</v>
      </c>
      <c r="G13" s="101">
        <v>2.5</v>
      </c>
      <c r="H13" s="102"/>
    </row>
    <row r="14" spans="2:11" ht="15.6">
      <c r="B14" s="97">
        <v>2</v>
      </c>
      <c r="C14" s="98" t="s">
        <v>117</v>
      </c>
      <c r="D14" s="98" t="s">
        <v>104</v>
      </c>
      <c r="E14" s="99" t="s">
        <v>118</v>
      </c>
      <c r="F14" s="100">
        <f t="shared" ref="F14:F77" si="0">$F$9*G14</f>
        <v>116666.66666666667</v>
      </c>
      <c r="G14" s="101">
        <v>1</v>
      </c>
      <c r="H14" s="102"/>
    </row>
    <row r="15" spans="2:11" ht="15.6">
      <c r="B15" s="97">
        <v>3</v>
      </c>
      <c r="C15" s="98" t="s">
        <v>119</v>
      </c>
      <c r="D15" s="98" t="s">
        <v>104</v>
      </c>
      <c r="E15" s="99" t="s">
        <v>120</v>
      </c>
      <c r="F15" s="100">
        <f t="shared" si="0"/>
        <v>122500.00000000001</v>
      </c>
      <c r="G15" s="101">
        <v>1.05</v>
      </c>
      <c r="H15" s="102"/>
    </row>
    <row r="16" spans="2:11" ht="15.6">
      <c r="B16" s="97">
        <v>4</v>
      </c>
      <c r="C16" s="98" t="s">
        <v>121</v>
      </c>
      <c r="D16" s="98" t="s">
        <v>104</v>
      </c>
      <c r="E16" s="99" t="s">
        <v>122</v>
      </c>
      <c r="F16" s="100">
        <f t="shared" si="0"/>
        <v>116666.66666666667</v>
      </c>
      <c r="G16" s="101">
        <v>1</v>
      </c>
      <c r="H16" s="103"/>
    </row>
    <row r="17" spans="2:8" ht="15.6">
      <c r="B17" s="97">
        <v>5</v>
      </c>
      <c r="C17" s="98" t="s">
        <v>123</v>
      </c>
      <c r="D17" s="98" t="s">
        <v>104</v>
      </c>
      <c r="E17" s="99" t="s">
        <v>124</v>
      </c>
      <c r="F17" s="100">
        <f t="shared" si="0"/>
        <v>233333.33333333334</v>
      </c>
      <c r="G17" s="101">
        <v>2</v>
      </c>
      <c r="H17" s="102"/>
    </row>
    <row r="18" spans="2:8" ht="15.6">
      <c r="B18" s="97">
        <v>6</v>
      </c>
      <c r="C18" s="98" t="s">
        <v>125</v>
      </c>
      <c r="D18" s="98" t="s">
        <v>104</v>
      </c>
      <c r="E18" s="99" t="s">
        <v>126</v>
      </c>
      <c r="F18" s="100">
        <f t="shared" si="0"/>
        <v>350000</v>
      </c>
      <c r="G18" s="101">
        <v>3</v>
      </c>
      <c r="H18" s="102"/>
    </row>
    <row r="19" spans="2:8" ht="15.6">
      <c r="B19" s="97">
        <v>7</v>
      </c>
      <c r="C19" s="98" t="s">
        <v>127</v>
      </c>
      <c r="D19" s="98" t="s">
        <v>104</v>
      </c>
      <c r="E19" s="99" t="s">
        <v>128</v>
      </c>
      <c r="F19" s="100">
        <f t="shared" si="0"/>
        <v>466666.66666666669</v>
      </c>
      <c r="G19" s="101">
        <v>4</v>
      </c>
      <c r="H19" s="104"/>
    </row>
    <row r="20" spans="2:8" ht="15.6">
      <c r="B20" s="97">
        <v>8</v>
      </c>
      <c r="C20" s="98" t="s">
        <v>129</v>
      </c>
      <c r="D20" s="98" t="s">
        <v>104</v>
      </c>
      <c r="E20" s="99" t="s">
        <v>130</v>
      </c>
      <c r="F20" s="100">
        <f t="shared" si="0"/>
        <v>583333.33333333337</v>
      </c>
      <c r="G20" s="101">
        <v>5</v>
      </c>
      <c r="H20" s="102"/>
    </row>
    <row r="21" spans="2:8" ht="15.6">
      <c r="B21" s="97">
        <v>9</v>
      </c>
      <c r="C21" s="98" t="s">
        <v>131</v>
      </c>
      <c r="D21" s="98" t="s">
        <v>104</v>
      </c>
      <c r="E21" s="99" t="s">
        <v>132</v>
      </c>
      <c r="F21" s="100">
        <f t="shared" si="0"/>
        <v>700000</v>
      </c>
      <c r="G21" s="101">
        <v>6</v>
      </c>
      <c r="H21" s="102"/>
    </row>
    <row r="22" spans="2:8" ht="15.6">
      <c r="B22" s="97">
        <v>10</v>
      </c>
      <c r="C22" s="98" t="s">
        <v>133</v>
      </c>
      <c r="D22" s="98" t="s">
        <v>104</v>
      </c>
      <c r="E22" s="99" t="s">
        <v>134</v>
      </c>
      <c r="F22" s="100">
        <f t="shared" si="0"/>
        <v>816666.66666666674</v>
      </c>
      <c r="G22" s="101">
        <v>7</v>
      </c>
      <c r="H22" s="102"/>
    </row>
    <row r="23" spans="2:8" ht="15.6">
      <c r="B23" s="97">
        <v>11</v>
      </c>
      <c r="C23" s="98" t="s">
        <v>135</v>
      </c>
      <c r="D23" s="98" t="s">
        <v>104</v>
      </c>
      <c r="E23" s="99" t="s">
        <v>136</v>
      </c>
      <c r="F23" s="100">
        <f t="shared" si="0"/>
        <v>933333.33333333337</v>
      </c>
      <c r="G23" s="101">
        <v>8</v>
      </c>
      <c r="H23" s="102"/>
    </row>
    <row r="24" spans="2:8" ht="15.6">
      <c r="B24" s="97">
        <v>12</v>
      </c>
      <c r="C24" s="98" t="s">
        <v>137</v>
      </c>
      <c r="D24" s="98" t="s">
        <v>104</v>
      </c>
      <c r="E24" s="99" t="s">
        <v>138</v>
      </c>
      <c r="F24" s="100">
        <f t="shared" si="0"/>
        <v>1050000</v>
      </c>
      <c r="G24" s="101">
        <v>9</v>
      </c>
      <c r="H24" s="102"/>
    </row>
    <row r="25" spans="2:8" ht="15.6">
      <c r="B25" s="97">
        <v>13</v>
      </c>
      <c r="C25" s="98" t="s">
        <v>139</v>
      </c>
      <c r="D25" s="98" t="s">
        <v>104</v>
      </c>
      <c r="E25" s="99" t="s">
        <v>140</v>
      </c>
      <c r="F25" s="100">
        <f t="shared" si="0"/>
        <v>1166666.6666666667</v>
      </c>
      <c r="G25" s="101">
        <v>10</v>
      </c>
      <c r="H25" s="102"/>
    </row>
    <row r="26" spans="2:8" ht="43.2">
      <c r="B26" s="97">
        <v>14</v>
      </c>
      <c r="C26" s="98" t="s">
        <v>141</v>
      </c>
      <c r="D26" s="98" t="s">
        <v>104</v>
      </c>
      <c r="E26" s="99" t="s">
        <v>142</v>
      </c>
      <c r="F26" s="100">
        <f t="shared" si="0"/>
        <v>122500.00000000001</v>
      </c>
      <c r="G26" s="101">
        <v>1.05</v>
      </c>
      <c r="H26" s="102"/>
    </row>
    <row r="27" spans="2:8" ht="28.8">
      <c r="B27" s="97">
        <v>15</v>
      </c>
      <c r="C27" s="98" t="s">
        <v>143</v>
      </c>
      <c r="D27" s="98" t="s">
        <v>104</v>
      </c>
      <c r="E27" s="99" t="s">
        <v>144</v>
      </c>
      <c r="F27" s="100">
        <f t="shared" si="0"/>
        <v>116666.66666666667</v>
      </c>
      <c r="G27" s="101">
        <v>1</v>
      </c>
      <c r="H27" s="102"/>
    </row>
    <row r="28" spans="2:8" ht="28.8">
      <c r="B28" s="97">
        <v>16</v>
      </c>
      <c r="C28" s="98" t="s">
        <v>145</v>
      </c>
      <c r="D28" s="98" t="s">
        <v>104</v>
      </c>
      <c r="E28" s="99" t="s">
        <v>146</v>
      </c>
      <c r="F28" s="100">
        <f t="shared" si="0"/>
        <v>218166.66666666669</v>
      </c>
      <c r="G28" s="101">
        <v>1.87</v>
      </c>
      <c r="H28" s="102"/>
    </row>
    <row r="29" spans="2:8" ht="28.8">
      <c r="B29" s="97">
        <v>17</v>
      </c>
      <c r="C29" s="98" t="s">
        <v>147</v>
      </c>
      <c r="D29" s="98" t="s">
        <v>104</v>
      </c>
      <c r="E29" s="99" t="s">
        <v>148</v>
      </c>
      <c r="F29" s="100">
        <f t="shared" si="0"/>
        <v>116666.66666666667</v>
      </c>
      <c r="G29" s="101">
        <v>1</v>
      </c>
      <c r="H29" s="102"/>
    </row>
    <row r="30" spans="2:8" ht="28.8">
      <c r="B30" s="97">
        <v>18</v>
      </c>
      <c r="C30" s="98" t="s">
        <v>149</v>
      </c>
      <c r="D30" s="98" t="s">
        <v>104</v>
      </c>
      <c r="E30" s="99" t="s">
        <v>150</v>
      </c>
      <c r="F30" s="100">
        <f t="shared" si="0"/>
        <v>218166.66666666669</v>
      </c>
      <c r="G30" s="101">
        <v>1.87</v>
      </c>
      <c r="H30" s="102"/>
    </row>
    <row r="31" spans="2:8" ht="15.6">
      <c r="B31" s="97">
        <v>19</v>
      </c>
      <c r="C31" s="105" t="s">
        <v>151</v>
      </c>
      <c r="D31" s="98" t="s">
        <v>104</v>
      </c>
      <c r="E31" s="99" t="s">
        <v>152</v>
      </c>
      <c r="F31" s="100">
        <f t="shared" si="0"/>
        <v>198333.33333333334</v>
      </c>
      <c r="G31" s="101">
        <v>1.7</v>
      </c>
      <c r="H31" s="103"/>
    </row>
    <row r="32" spans="2:8" ht="15.6">
      <c r="B32" s="97">
        <v>20</v>
      </c>
      <c r="C32" s="98" t="s">
        <v>153</v>
      </c>
      <c r="D32" s="98" t="s">
        <v>104</v>
      </c>
      <c r="E32" s="99" t="s">
        <v>154</v>
      </c>
      <c r="F32" s="100">
        <f t="shared" si="0"/>
        <v>396666.66666666669</v>
      </c>
      <c r="G32" s="101">
        <v>3.4</v>
      </c>
      <c r="H32" s="102"/>
    </row>
    <row r="33" spans="2:8" ht="15.6">
      <c r="B33" s="97">
        <v>21</v>
      </c>
      <c r="C33" s="98" t="s">
        <v>155</v>
      </c>
      <c r="D33" s="98" t="s">
        <v>104</v>
      </c>
      <c r="E33" s="99" t="s">
        <v>156</v>
      </c>
      <c r="F33" s="100">
        <f t="shared" si="0"/>
        <v>595000</v>
      </c>
      <c r="G33" s="101">
        <v>5.0999999999999996</v>
      </c>
      <c r="H33" s="102"/>
    </row>
    <row r="34" spans="2:8" ht="72">
      <c r="B34" s="97">
        <v>22</v>
      </c>
      <c r="C34" s="98" t="s">
        <v>157</v>
      </c>
      <c r="D34" s="98" t="s">
        <v>104</v>
      </c>
      <c r="E34" s="99" t="s">
        <v>158</v>
      </c>
      <c r="F34" s="100">
        <f t="shared" si="0"/>
        <v>565833.33333333337</v>
      </c>
      <c r="G34" s="101">
        <v>4.8499999999999996</v>
      </c>
      <c r="H34" s="102"/>
    </row>
    <row r="35" spans="2:8" ht="43.2">
      <c r="B35" s="97">
        <v>23</v>
      </c>
      <c r="C35" s="98" t="s">
        <v>159</v>
      </c>
      <c r="D35" s="98" t="s">
        <v>104</v>
      </c>
      <c r="E35" s="99" t="s">
        <v>160</v>
      </c>
      <c r="F35" s="100">
        <f t="shared" si="0"/>
        <v>233333.33333333334</v>
      </c>
      <c r="G35" s="101">
        <v>2</v>
      </c>
      <c r="H35" s="102"/>
    </row>
    <row r="36" spans="2:8" ht="43.2">
      <c r="B36" s="97">
        <v>24</v>
      </c>
      <c r="C36" s="98" t="s">
        <v>161</v>
      </c>
      <c r="D36" s="98" t="s">
        <v>104</v>
      </c>
      <c r="E36" s="99" t="s">
        <v>162</v>
      </c>
      <c r="F36" s="100">
        <f t="shared" si="0"/>
        <v>239166.66666666666</v>
      </c>
      <c r="G36" s="101">
        <v>2.0499999999999998</v>
      </c>
      <c r="H36" s="102"/>
    </row>
    <row r="37" spans="2:8" ht="72">
      <c r="B37" s="97">
        <v>25</v>
      </c>
      <c r="C37" s="98" t="s">
        <v>163</v>
      </c>
      <c r="D37" s="98" t="s">
        <v>104</v>
      </c>
      <c r="E37" s="99" t="s">
        <v>164</v>
      </c>
      <c r="F37" s="100">
        <f t="shared" si="0"/>
        <v>548333.33333333337</v>
      </c>
      <c r="G37" s="101">
        <v>4.7</v>
      </c>
      <c r="H37" s="102"/>
    </row>
    <row r="38" spans="2:8" ht="28.8">
      <c r="B38" s="97">
        <v>26</v>
      </c>
      <c r="C38" s="98" t="s">
        <v>165</v>
      </c>
      <c r="D38" s="98" t="s">
        <v>104</v>
      </c>
      <c r="E38" s="99" t="s">
        <v>166</v>
      </c>
      <c r="F38" s="100">
        <f t="shared" si="0"/>
        <v>315000.00000000006</v>
      </c>
      <c r="G38" s="101">
        <v>2.7</v>
      </c>
      <c r="H38" s="102"/>
    </row>
    <row r="39" spans="2:8" ht="43.2">
      <c r="B39" s="97">
        <v>27</v>
      </c>
      <c r="C39" s="98" t="s">
        <v>167</v>
      </c>
      <c r="D39" s="98" t="s">
        <v>104</v>
      </c>
      <c r="E39" s="99" t="s">
        <v>168</v>
      </c>
      <c r="F39" s="100">
        <f t="shared" si="0"/>
        <v>431666.66666666669</v>
      </c>
      <c r="G39" s="101">
        <v>3.7</v>
      </c>
      <c r="H39" s="102"/>
    </row>
    <row r="40" spans="2:8" ht="43.2">
      <c r="B40" s="97">
        <v>28</v>
      </c>
      <c r="C40" s="98" t="s">
        <v>169</v>
      </c>
      <c r="D40" s="98" t="s">
        <v>104</v>
      </c>
      <c r="E40" s="99" t="s">
        <v>170</v>
      </c>
      <c r="F40" s="100">
        <f t="shared" si="0"/>
        <v>665000</v>
      </c>
      <c r="G40" s="101">
        <v>5.7</v>
      </c>
      <c r="H40" s="102"/>
    </row>
    <row r="41" spans="2:8" ht="57.6">
      <c r="B41" s="97">
        <v>29</v>
      </c>
      <c r="C41" s="98" t="s">
        <v>171</v>
      </c>
      <c r="D41" s="98" t="s">
        <v>104</v>
      </c>
      <c r="E41" s="99" t="s">
        <v>172</v>
      </c>
      <c r="F41" s="100">
        <f t="shared" si="0"/>
        <v>1093166.6666666665</v>
      </c>
      <c r="G41" s="101">
        <v>9.3699999999999992</v>
      </c>
      <c r="H41" s="102"/>
    </row>
    <row r="42" spans="2:8" ht="28.8">
      <c r="B42" s="97">
        <v>30</v>
      </c>
      <c r="C42" s="98" t="s">
        <v>173</v>
      </c>
      <c r="D42" s="98" t="s">
        <v>104</v>
      </c>
      <c r="E42" s="99" t="s">
        <v>174</v>
      </c>
      <c r="F42" s="100">
        <f t="shared" si="0"/>
        <v>596166.66666666674</v>
      </c>
      <c r="G42" s="101">
        <v>5.1100000000000003</v>
      </c>
      <c r="H42" s="102"/>
    </row>
    <row r="43" spans="2:8" ht="15.6">
      <c r="B43" s="97">
        <v>31</v>
      </c>
      <c r="C43" s="98" t="s">
        <v>175</v>
      </c>
      <c r="D43" s="98" t="s">
        <v>104</v>
      </c>
      <c r="E43" s="99" t="s">
        <v>176</v>
      </c>
      <c r="F43" s="100">
        <f t="shared" si="0"/>
        <v>134166.66666666666</v>
      </c>
      <c r="G43" s="101">
        <v>1.1499999999999999</v>
      </c>
      <c r="H43" s="102"/>
    </row>
    <row r="44" spans="2:8" ht="28.8">
      <c r="B44" s="97">
        <v>32</v>
      </c>
      <c r="C44" s="98" t="s">
        <v>177</v>
      </c>
      <c r="D44" s="98" t="s">
        <v>104</v>
      </c>
      <c r="E44" s="99" t="s">
        <v>178</v>
      </c>
      <c r="F44" s="100">
        <f t="shared" si="0"/>
        <v>268333.33333333331</v>
      </c>
      <c r="G44" s="101">
        <v>2.2999999999999998</v>
      </c>
      <c r="H44" s="102"/>
    </row>
    <row r="45" spans="2:8" ht="15.6">
      <c r="B45" s="97">
        <v>33</v>
      </c>
      <c r="C45" s="98" t="s">
        <v>179</v>
      </c>
      <c r="D45" s="98" t="s">
        <v>104</v>
      </c>
      <c r="E45" s="99" t="s">
        <v>180</v>
      </c>
      <c r="F45" s="100">
        <f t="shared" si="0"/>
        <v>233333.33333333334</v>
      </c>
      <c r="G45" s="101">
        <v>2</v>
      </c>
      <c r="H45" s="102"/>
    </row>
    <row r="46" spans="2:8" ht="15.6">
      <c r="B46" s="97">
        <v>34</v>
      </c>
      <c r="C46" s="98" t="s">
        <v>181</v>
      </c>
      <c r="D46" s="98" t="s">
        <v>104</v>
      </c>
      <c r="E46" s="99" t="s">
        <v>182</v>
      </c>
      <c r="F46" s="100">
        <f t="shared" si="0"/>
        <v>122500.00000000001</v>
      </c>
      <c r="G46" s="101">
        <v>1.05</v>
      </c>
      <c r="H46" s="102"/>
    </row>
    <row r="47" spans="2:8" ht="15.6">
      <c r="B47" s="97">
        <v>35</v>
      </c>
      <c r="C47" s="98" t="s">
        <v>183</v>
      </c>
      <c r="D47" s="98" t="s">
        <v>104</v>
      </c>
      <c r="E47" s="99" t="s">
        <v>184</v>
      </c>
      <c r="F47" s="100">
        <f t="shared" si="0"/>
        <v>116666.66666666667</v>
      </c>
      <c r="G47" s="101">
        <v>1</v>
      </c>
      <c r="H47" s="102"/>
    </row>
    <row r="48" spans="2:8" ht="15.6">
      <c r="B48" s="97">
        <v>36</v>
      </c>
      <c r="C48" s="98" t="s">
        <v>185</v>
      </c>
      <c r="D48" s="98" t="s">
        <v>104</v>
      </c>
      <c r="E48" s="99" t="s">
        <v>186</v>
      </c>
      <c r="F48" s="100">
        <f t="shared" si="0"/>
        <v>233333.33333333334</v>
      </c>
      <c r="G48" s="101">
        <v>2</v>
      </c>
      <c r="H48" s="102"/>
    </row>
    <row r="49" spans="2:8" ht="15.6">
      <c r="B49" s="97">
        <v>37</v>
      </c>
      <c r="C49" s="98" t="s">
        <v>187</v>
      </c>
      <c r="D49" s="98" t="s">
        <v>104</v>
      </c>
      <c r="E49" s="99" t="s">
        <v>188</v>
      </c>
      <c r="F49" s="100">
        <f t="shared" si="0"/>
        <v>149333.33333333334</v>
      </c>
      <c r="G49" s="101">
        <v>1.28</v>
      </c>
      <c r="H49" s="102"/>
    </row>
    <row r="50" spans="2:8" ht="28.8">
      <c r="B50" s="97">
        <v>38</v>
      </c>
      <c r="C50" s="98" t="s">
        <v>189</v>
      </c>
      <c r="D50" s="98" t="s">
        <v>104</v>
      </c>
      <c r="E50" s="99" t="s">
        <v>190</v>
      </c>
      <c r="F50" s="100">
        <f t="shared" si="0"/>
        <v>298666.66666666669</v>
      </c>
      <c r="G50" s="101">
        <v>2.56</v>
      </c>
      <c r="H50" s="102"/>
    </row>
    <row r="51" spans="2:8" ht="15.6">
      <c r="B51" s="97">
        <v>39</v>
      </c>
      <c r="C51" s="98" t="s">
        <v>191</v>
      </c>
      <c r="D51" s="98" t="s">
        <v>104</v>
      </c>
      <c r="E51" s="99" t="s">
        <v>192</v>
      </c>
      <c r="F51" s="100">
        <f t="shared" si="0"/>
        <v>151666.66666666669</v>
      </c>
      <c r="G51" s="101">
        <v>1.3</v>
      </c>
      <c r="H51" s="102"/>
    </row>
    <row r="52" spans="2:8" ht="43.2">
      <c r="B52" s="97">
        <v>40</v>
      </c>
      <c r="C52" s="98" t="s">
        <v>193</v>
      </c>
      <c r="D52" s="98" t="s">
        <v>104</v>
      </c>
      <c r="E52" s="99" t="s">
        <v>194</v>
      </c>
      <c r="F52" s="100">
        <f t="shared" si="0"/>
        <v>248500</v>
      </c>
      <c r="G52" s="101">
        <v>2.13</v>
      </c>
      <c r="H52" s="102"/>
    </row>
    <row r="53" spans="2:8" ht="43.2">
      <c r="B53" s="97">
        <v>41</v>
      </c>
      <c r="C53" s="98" t="s">
        <v>195</v>
      </c>
      <c r="D53" s="98" t="s">
        <v>104</v>
      </c>
      <c r="E53" s="99" t="s">
        <v>196</v>
      </c>
      <c r="F53" s="100">
        <f t="shared" si="0"/>
        <v>248500</v>
      </c>
      <c r="G53" s="101">
        <v>2.13</v>
      </c>
      <c r="H53" s="102"/>
    </row>
    <row r="54" spans="2:8" ht="15.6">
      <c r="B54" s="97">
        <v>42</v>
      </c>
      <c r="C54" s="98" t="s">
        <v>197</v>
      </c>
      <c r="D54" s="98" t="s">
        <v>104</v>
      </c>
      <c r="E54" s="99" t="s">
        <v>198</v>
      </c>
      <c r="F54" s="100">
        <f t="shared" si="0"/>
        <v>198333.33333333334</v>
      </c>
      <c r="G54" s="101">
        <v>1.7</v>
      </c>
      <c r="H54" s="102"/>
    </row>
    <row r="55" spans="2:8" ht="43.2">
      <c r="B55" s="97">
        <v>43</v>
      </c>
      <c r="C55" s="98" t="s">
        <v>199</v>
      </c>
      <c r="D55" s="98" t="s">
        <v>104</v>
      </c>
      <c r="E55" s="99" t="s">
        <v>200</v>
      </c>
      <c r="F55" s="100">
        <f t="shared" si="0"/>
        <v>443333.33333333331</v>
      </c>
      <c r="G55" s="101">
        <v>3.8</v>
      </c>
      <c r="H55" s="102"/>
    </row>
    <row r="56" spans="2:8" ht="15.6">
      <c r="B56" s="97">
        <v>44</v>
      </c>
      <c r="C56" s="98" t="s">
        <v>201</v>
      </c>
      <c r="D56" s="98" t="s">
        <v>104</v>
      </c>
      <c r="E56" s="99" t="s">
        <v>202</v>
      </c>
      <c r="F56" s="100">
        <f t="shared" si="0"/>
        <v>198333.33333333334</v>
      </c>
      <c r="G56" s="101">
        <v>1.7</v>
      </c>
      <c r="H56" s="102"/>
    </row>
    <row r="57" spans="2:8" ht="15.6">
      <c r="B57" s="97">
        <v>45</v>
      </c>
      <c r="C57" s="98" t="s">
        <v>203</v>
      </c>
      <c r="D57" s="98" t="s">
        <v>104</v>
      </c>
      <c r="E57" s="99" t="s">
        <v>204</v>
      </c>
      <c r="F57" s="100">
        <f t="shared" si="0"/>
        <v>396666.66666666669</v>
      </c>
      <c r="G57" s="101">
        <v>3.4</v>
      </c>
      <c r="H57" s="102"/>
    </row>
    <row r="58" spans="2:8" ht="15.6">
      <c r="B58" s="97">
        <v>46</v>
      </c>
      <c r="C58" s="98" t="s">
        <v>205</v>
      </c>
      <c r="D58" s="98" t="s">
        <v>104</v>
      </c>
      <c r="E58" s="99" t="s">
        <v>206</v>
      </c>
      <c r="F58" s="100">
        <f t="shared" si="0"/>
        <v>249666.66666666669</v>
      </c>
      <c r="G58" s="101">
        <v>2.14</v>
      </c>
      <c r="H58" s="102"/>
    </row>
    <row r="59" spans="2:8" ht="57.6">
      <c r="B59" s="97">
        <v>47</v>
      </c>
      <c r="C59" s="98" t="s">
        <v>207</v>
      </c>
      <c r="D59" s="98" t="s">
        <v>104</v>
      </c>
      <c r="E59" s="99" t="s">
        <v>208</v>
      </c>
      <c r="F59" s="100">
        <f t="shared" si="0"/>
        <v>249666.66666666669</v>
      </c>
      <c r="G59" s="101">
        <v>2.14</v>
      </c>
      <c r="H59" s="102"/>
    </row>
    <row r="60" spans="2:8" ht="15.6">
      <c r="B60" s="97">
        <v>48</v>
      </c>
      <c r="C60" s="98" t="s">
        <v>209</v>
      </c>
      <c r="D60" s="98" t="s">
        <v>104</v>
      </c>
      <c r="E60" s="99" t="s">
        <v>210</v>
      </c>
      <c r="F60" s="100">
        <f t="shared" si="0"/>
        <v>116666.66666666667</v>
      </c>
      <c r="G60" s="101">
        <v>1</v>
      </c>
      <c r="H60" s="102"/>
    </row>
    <row r="61" spans="2:8" ht="15.6">
      <c r="B61" s="97">
        <v>49</v>
      </c>
      <c r="C61" s="98" t="s">
        <v>211</v>
      </c>
      <c r="D61" s="98" t="s">
        <v>104</v>
      </c>
      <c r="E61" s="99" t="s">
        <v>212</v>
      </c>
      <c r="F61" s="100">
        <f t="shared" si="0"/>
        <v>186666.66666666669</v>
      </c>
      <c r="G61" s="101">
        <v>1.6</v>
      </c>
      <c r="H61" s="102"/>
    </row>
    <row r="62" spans="2:8" ht="43.2">
      <c r="B62" s="97">
        <v>50</v>
      </c>
      <c r="C62" s="98" t="s">
        <v>213</v>
      </c>
      <c r="D62" s="98" t="s">
        <v>104</v>
      </c>
      <c r="E62" s="99" t="s">
        <v>214</v>
      </c>
      <c r="F62" s="100">
        <f t="shared" si="0"/>
        <v>233333.33333333334</v>
      </c>
      <c r="G62" s="101">
        <v>2</v>
      </c>
      <c r="H62" s="102"/>
    </row>
    <row r="63" spans="2:8" ht="28.8">
      <c r="B63" s="97">
        <v>51</v>
      </c>
      <c r="C63" s="98" t="s">
        <v>215</v>
      </c>
      <c r="D63" s="98" t="s">
        <v>104</v>
      </c>
      <c r="E63" s="99" t="s">
        <v>216</v>
      </c>
      <c r="F63" s="100">
        <f t="shared" si="0"/>
        <v>186666.66666666669</v>
      </c>
      <c r="G63" s="101">
        <v>1.6</v>
      </c>
      <c r="H63" s="102"/>
    </row>
    <row r="64" spans="2:8" ht="57.6">
      <c r="B64" s="97">
        <v>52</v>
      </c>
      <c r="C64" s="98" t="s">
        <v>217</v>
      </c>
      <c r="D64" s="98" t="s">
        <v>104</v>
      </c>
      <c r="E64" s="99" t="s">
        <v>218</v>
      </c>
      <c r="F64" s="100">
        <f t="shared" si="0"/>
        <v>175000</v>
      </c>
      <c r="G64" s="101">
        <v>1.5</v>
      </c>
      <c r="H64" s="102"/>
    </row>
    <row r="65" spans="2:8" ht="15.6">
      <c r="B65" s="97">
        <v>53</v>
      </c>
      <c r="C65" s="98" t="s">
        <v>219</v>
      </c>
      <c r="D65" s="98" t="s">
        <v>104</v>
      </c>
      <c r="E65" s="99" t="s">
        <v>220</v>
      </c>
      <c r="F65" s="100">
        <f t="shared" si="0"/>
        <v>280000</v>
      </c>
      <c r="G65" s="101">
        <v>2.4</v>
      </c>
      <c r="H65" s="102"/>
    </row>
    <row r="66" spans="2:8" ht="15.6">
      <c r="B66" s="97">
        <v>54</v>
      </c>
      <c r="C66" s="98" t="s">
        <v>221</v>
      </c>
      <c r="D66" s="98" t="s">
        <v>104</v>
      </c>
      <c r="E66" s="99" t="s">
        <v>222</v>
      </c>
      <c r="F66" s="100">
        <f t="shared" si="0"/>
        <v>583333.33333333337</v>
      </c>
      <c r="G66" s="101">
        <v>5</v>
      </c>
      <c r="H66" s="102"/>
    </row>
    <row r="67" spans="2:8" ht="15.6">
      <c r="B67" s="97">
        <v>55</v>
      </c>
      <c r="C67" s="98" t="s">
        <v>223</v>
      </c>
      <c r="D67" s="98" t="s">
        <v>104</v>
      </c>
      <c r="E67" s="99" t="s">
        <v>224</v>
      </c>
      <c r="F67" s="100">
        <f t="shared" si="0"/>
        <v>175000</v>
      </c>
      <c r="G67" s="101">
        <v>1.5</v>
      </c>
      <c r="H67" s="102"/>
    </row>
    <row r="68" spans="2:8" ht="15.6">
      <c r="B68" s="97">
        <v>56</v>
      </c>
      <c r="C68" s="98" t="s">
        <v>225</v>
      </c>
      <c r="D68" s="98" t="s">
        <v>104</v>
      </c>
      <c r="E68" s="99" t="s">
        <v>226</v>
      </c>
      <c r="F68" s="100">
        <f t="shared" si="0"/>
        <v>175000</v>
      </c>
      <c r="G68" s="101">
        <v>1.5</v>
      </c>
      <c r="H68" s="102"/>
    </row>
    <row r="69" spans="2:8" ht="72">
      <c r="B69" s="97">
        <v>57</v>
      </c>
      <c r="C69" s="98" t="s">
        <v>227</v>
      </c>
      <c r="D69" s="98" t="s">
        <v>104</v>
      </c>
      <c r="E69" s="99" t="s">
        <v>228</v>
      </c>
      <c r="F69" s="100">
        <f t="shared" si="0"/>
        <v>116666.66666666667</v>
      </c>
      <c r="G69" s="101">
        <v>1</v>
      </c>
      <c r="H69" s="102"/>
    </row>
    <row r="70" spans="2:8" ht="43.2">
      <c r="B70" s="97">
        <v>58</v>
      </c>
      <c r="C70" s="98" t="s">
        <v>229</v>
      </c>
      <c r="D70" s="98" t="s">
        <v>104</v>
      </c>
      <c r="E70" s="99" t="s">
        <v>230</v>
      </c>
      <c r="F70" s="100">
        <f t="shared" si="0"/>
        <v>905333.33333333337</v>
      </c>
      <c r="G70" s="101">
        <v>7.76</v>
      </c>
      <c r="H70" s="102"/>
    </row>
    <row r="71" spans="2:8" ht="57.6">
      <c r="B71" s="97">
        <v>59</v>
      </c>
      <c r="C71" s="98" t="s">
        <v>231</v>
      </c>
      <c r="D71" s="98" t="s">
        <v>104</v>
      </c>
      <c r="E71" s="99" t="s">
        <v>232</v>
      </c>
      <c r="F71" s="100">
        <f t="shared" si="0"/>
        <v>889000</v>
      </c>
      <c r="G71" s="101">
        <v>7.62</v>
      </c>
      <c r="H71" s="102"/>
    </row>
    <row r="72" spans="2:8" ht="57.6">
      <c r="B72" s="97">
        <v>60</v>
      </c>
      <c r="C72" s="98" t="s">
        <v>233</v>
      </c>
      <c r="D72" s="98" t="s">
        <v>104</v>
      </c>
      <c r="E72" s="99" t="s">
        <v>234</v>
      </c>
      <c r="F72" s="100">
        <f t="shared" si="0"/>
        <v>764166.66666666663</v>
      </c>
      <c r="G72" s="101">
        <v>6.55</v>
      </c>
      <c r="H72" s="102"/>
    </row>
    <row r="73" spans="2:8" ht="28.8">
      <c r="B73" s="97">
        <v>61</v>
      </c>
      <c r="C73" s="98" t="s">
        <v>235</v>
      </c>
      <c r="D73" s="98" t="s">
        <v>104</v>
      </c>
      <c r="E73" s="99" t="s">
        <v>236</v>
      </c>
      <c r="F73" s="100">
        <f t="shared" si="0"/>
        <v>764166.66666666663</v>
      </c>
      <c r="G73" s="101">
        <v>6.55</v>
      </c>
      <c r="H73" s="102"/>
    </row>
    <row r="74" spans="2:8" ht="28.8">
      <c r="B74" s="97">
        <v>62</v>
      </c>
      <c r="C74" s="98" t="s">
        <v>237</v>
      </c>
      <c r="D74" s="98" t="s">
        <v>104</v>
      </c>
      <c r="E74" s="99" t="s">
        <v>238</v>
      </c>
      <c r="F74" s="100">
        <f t="shared" si="0"/>
        <v>688333.33333333337</v>
      </c>
      <c r="G74" s="101">
        <v>5.9</v>
      </c>
      <c r="H74" s="102"/>
    </row>
    <row r="75" spans="2:8" ht="57.6">
      <c r="B75" s="97">
        <v>63</v>
      </c>
      <c r="C75" s="98" t="s">
        <v>239</v>
      </c>
      <c r="D75" s="98" t="s">
        <v>104</v>
      </c>
      <c r="E75" s="99" t="s">
        <v>240</v>
      </c>
      <c r="F75" s="100">
        <f t="shared" si="0"/>
        <v>1061666.6666666667</v>
      </c>
      <c r="G75" s="101">
        <v>9.1</v>
      </c>
      <c r="H75" s="102"/>
    </row>
    <row r="76" spans="2:8" ht="72">
      <c r="B76" s="97">
        <v>64</v>
      </c>
      <c r="C76" s="98" t="s">
        <v>241</v>
      </c>
      <c r="D76" s="98" t="s">
        <v>104</v>
      </c>
      <c r="E76" s="99" t="s">
        <v>242</v>
      </c>
      <c r="F76" s="100">
        <f t="shared" si="0"/>
        <v>1061666.6666666667</v>
      </c>
      <c r="G76" s="101">
        <v>9.1</v>
      </c>
      <c r="H76" s="102"/>
    </row>
    <row r="77" spans="2:8" ht="57.6">
      <c r="B77" s="97">
        <v>65</v>
      </c>
      <c r="C77" s="98" t="s">
        <v>243</v>
      </c>
      <c r="D77" s="98" t="s">
        <v>104</v>
      </c>
      <c r="E77" s="99" t="s">
        <v>244</v>
      </c>
      <c r="F77" s="100">
        <f t="shared" si="0"/>
        <v>256666.66666666669</v>
      </c>
      <c r="G77" s="101">
        <v>2.2000000000000002</v>
      </c>
      <c r="H77" s="102"/>
    </row>
    <row r="78" spans="2:8" ht="43.2">
      <c r="B78" s="97">
        <v>66</v>
      </c>
      <c r="C78" s="98" t="s">
        <v>245</v>
      </c>
      <c r="D78" s="98" t="s">
        <v>104</v>
      </c>
      <c r="E78" s="99" t="s">
        <v>246</v>
      </c>
      <c r="F78" s="100">
        <f t="shared" ref="F78" si="1">$F$9*G78</f>
        <v>233333.33333333334</v>
      </c>
      <c r="G78" s="101">
        <v>2</v>
      </c>
      <c r="H78" s="106"/>
    </row>
  </sheetData>
  <mergeCells count="26">
    <mergeCell ref="B2:H2"/>
    <mergeCell ref="B3:C3"/>
    <mergeCell ref="D3:E3"/>
    <mergeCell ref="G3:H3"/>
    <mergeCell ref="B4:C4"/>
    <mergeCell ref="D4:E4"/>
    <mergeCell ref="G4:H4"/>
    <mergeCell ref="B5:C5"/>
    <mergeCell ref="D5:E5"/>
    <mergeCell ref="G5:H5"/>
    <mergeCell ref="B6:C6"/>
    <mergeCell ref="D6:E6"/>
    <mergeCell ref="G6:H6"/>
    <mergeCell ref="B7:C7"/>
    <mergeCell ref="D7:E7"/>
    <mergeCell ref="G7:H7"/>
    <mergeCell ref="B8:C8"/>
    <mergeCell ref="D8:E8"/>
    <mergeCell ref="G8:H8"/>
    <mergeCell ref="B11:H11"/>
    <mergeCell ref="B9:C9"/>
    <mergeCell ref="D9:E9"/>
    <mergeCell ref="G9:H9"/>
    <mergeCell ref="B10:C10"/>
    <mergeCell ref="D10:E10"/>
    <mergeCell ref="G10:H10"/>
  </mergeCells>
  <pageMargins left="0.7" right="0.7" top="0.75" bottom="0.75" header="0.3" footer="0.3"/>
  <pageSetup scale="8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1D86A-673F-408C-9D1A-12E80CF8C1AC}">
  <dimension ref="B1:M57"/>
  <sheetViews>
    <sheetView view="pageBreakPreview" topLeftCell="B1" zoomScale="60" zoomScaleNormal="100" workbookViewId="0">
      <selection activeCell="J47" sqref="J47"/>
    </sheetView>
  </sheetViews>
  <sheetFormatPr baseColWidth="10" defaultRowHeight="14.4"/>
  <cols>
    <col min="1" max="1" width="5.77734375" customWidth="1"/>
    <col min="2" max="2" width="8.88671875" customWidth="1"/>
    <col min="3" max="3" width="15.6640625" bestFit="1" customWidth="1"/>
    <col min="4" max="4" width="56.109375" customWidth="1"/>
    <col min="5" max="6" width="8.6640625" customWidth="1"/>
    <col min="7" max="7" width="9.44140625" customWidth="1"/>
    <col min="8" max="8" width="12.109375" customWidth="1"/>
    <col min="9" max="9" width="13" customWidth="1"/>
    <col min="10" max="10" width="11.109375" customWidth="1"/>
    <col min="13" max="13" width="15.21875" bestFit="1" customWidth="1"/>
    <col min="14" max="14" width="14.77734375" bestFit="1" customWidth="1"/>
  </cols>
  <sheetData>
    <row r="1" spans="2:10" ht="18">
      <c r="B1" s="522" t="s">
        <v>12</v>
      </c>
      <c r="C1" s="523"/>
      <c r="D1" s="523"/>
      <c r="E1" s="523"/>
      <c r="F1" s="523"/>
      <c r="G1" s="523"/>
      <c r="H1" s="523"/>
      <c r="I1" s="523"/>
      <c r="J1" s="524"/>
    </row>
    <row r="2" spans="2:10">
      <c r="B2" s="525" t="s">
        <v>13</v>
      </c>
      <c r="C2" s="526"/>
      <c r="D2" s="529" t="str">
        <f>+PTO!D3</f>
        <v>PAVIMENTACIÓN SECTORIAL DE LA CARRERA 5 ENTRE CALLES 2 Y 3 DEL MUNICIPIO DE RIOBLANCO TOLIMA</v>
      </c>
      <c r="E2" s="529"/>
      <c r="F2" s="529"/>
      <c r="G2" s="529"/>
      <c r="H2" s="529"/>
      <c r="I2" s="529"/>
      <c r="J2" s="530"/>
    </row>
    <row r="3" spans="2:10" ht="15" thickBot="1">
      <c r="B3" s="527"/>
      <c r="C3" s="528"/>
      <c r="D3" s="531"/>
      <c r="E3" s="531"/>
      <c r="F3" s="531"/>
      <c r="G3" s="531"/>
      <c r="H3" s="531"/>
      <c r="I3" s="531"/>
      <c r="J3" s="532"/>
    </row>
    <row r="4" spans="2:10" ht="16.2" thickBot="1">
      <c r="B4" s="533" t="str">
        <f>+PTO!D5</f>
        <v>PRELIMINARES (P)</v>
      </c>
      <c r="C4" s="534"/>
      <c r="D4" s="534"/>
      <c r="E4" s="534"/>
      <c r="F4" s="534"/>
      <c r="G4" s="534"/>
      <c r="H4" s="534"/>
      <c r="I4" s="534"/>
      <c r="J4" s="535"/>
    </row>
    <row r="5" spans="2:10">
      <c r="B5" s="4" t="s">
        <v>3</v>
      </c>
      <c r="C5" s="5" t="s">
        <v>14</v>
      </c>
      <c r="D5" s="111" t="str">
        <f>+PTO!D6</f>
        <v>CERRAMIENTO EN LONA VERDE PROVISIONAL H:2 METROS</v>
      </c>
      <c r="E5" s="536" t="s">
        <v>15</v>
      </c>
      <c r="F5" s="537"/>
      <c r="G5" s="537"/>
      <c r="H5" s="537"/>
      <c r="I5" s="538"/>
      <c r="J5" s="9">
        <f>ROUND(SUM(J6:J9),0)</f>
        <v>68</v>
      </c>
    </row>
    <row r="6" spans="2:10">
      <c r="B6" s="6">
        <f>+_xlfn.XLOOKUP(TEXT(D5,0),PTO!$D$5:$D$15,PTO!$C$5:$C$15)</f>
        <v>1.01</v>
      </c>
      <c r="C6" s="5" t="s">
        <v>16</v>
      </c>
      <c r="D6" s="111" t="str">
        <f>+_xlfn.XLOOKUP(TEXT(D5,0),LIST[DESCRIPCIÓN],LIST[UNIDAD])</f>
        <v>M</v>
      </c>
      <c r="E6" s="7"/>
      <c r="F6" s="7" t="s">
        <v>17</v>
      </c>
      <c r="G6" s="7" t="s">
        <v>18</v>
      </c>
      <c r="H6" s="8" t="s">
        <v>19</v>
      </c>
      <c r="I6" s="7" t="s">
        <v>20</v>
      </c>
      <c r="J6" s="304" t="s">
        <v>33</v>
      </c>
    </row>
    <row r="7" spans="2:10" s="383" customFormat="1">
      <c r="B7" s="384">
        <v>1</v>
      </c>
      <c r="C7" s="539" t="s">
        <v>677</v>
      </c>
      <c r="D7" s="540"/>
      <c r="E7" s="385"/>
      <c r="F7" s="386">
        <v>28</v>
      </c>
      <c r="G7" s="386"/>
      <c r="H7" s="387"/>
      <c r="I7" s="387">
        <v>2</v>
      </c>
      <c r="J7" s="388">
        <f>+F7*I7</f>
        <v>56</v>
      </c>
    </row>
    <row r="8" spans="2:10">
      <c r="B8" s="10">
        <v>2</v>
      </c>
      <c r="C8" s="539" t="s">
        <v>18</v>
      </c>
      <c r="D8" s="540"/>
      <c r="E8" s="11"/>
      <c r="F8" s="386">
        <v>6</v>
      </c>
      <c r="G8" s="386"/>
      <c r="H8" s="387"/>
      <c r="I8" s="387">
        <v>2</v>
      </c>
      <c r="J8" s="388">
        <f>+F8*I8</f>
        <v>12</v>
      </c>
    </row>
    <row r="9" spans="2:10">
      <c r="B9" s="10"/>
      <c r="C9" s="541"/>
      <c r="D9" s="542"/>
      <c r="E9" s="11"/>
      <c r="F9" s="12"/>
      <c r="G9" s="12"/>
      <c r="H9" s="13"/>
      <c r="I9" s="13"/>
      <c r="J9" s="14"/>
    </row>
    <row r="10" spans="2:10" ht="28.8">
      <c r="B10" s="4" t="s">
        <v>3</v>
      </c>
      <c r="C10" s="5" t="s">
        <v>14</v>
      </c>
      <c r="D10" s="111" t="str">
        <f>+PTO!D7</f>
        <v>DEMOLICIÓN DE PAVIMENTO EN CONCRETO RIGIDO, INCLUYE RETIRO</v>
      </c>
      <c r="E10" s="536" t="s">
        <v>15</v>
      </c>
      <c r="F10" s="537"/>
      <c r="G10" s="537"/>
      <c r="H10" s="537"/>
      <c r="I10" s="538"/>
      <c r="J10" s="9">
        <f>ROUND(SUM(J11:J14),1)</f>
        <v>82.5</v>
      </c>
    </row>
    <row r="11" spans="2:10">
      <c r="B11" s="6">
        <f>+_xlfn.XLOOKUP(TEXT(D10,0),PTO!$D$5:$D$15,PTO!$C$5:$C$15)</f>
        <v>1.02</v>
      </c>
      <c r="C11" s="5" t="s">
        <v>16</v>
      </c>
      <c r="D11" s="111" t="str">
        <f>+_xlfn.XLOOKUP(TEXT(D10,0),LIST[DESCRIPCIÓN],LIST[UNIDAD])</f>
        <v>M3</v>
      </c>
      <c r="E11" s="7"/>
      <c r="F11" s="7" t="s">
        <v>17</v>
      </c>
      <c r="G11" s="7" t="s">
        <v>18</v>
      </c>
      <c r="H11" s="8" t="s">
        <v>19</v>
      </c>
      <c r="I11" s="7" t="s">
        <v>20</v>
      </c>
      <c r="J11" s="304" t="s">
        <v>33</v>
      </c>
    </row>
    <row r="12" spans="2:10" s="383" customFormat="1">
      <c r="B12" s="384">
        <v>1</v>
      </c>
      <c r="C12" s="539" t="s">
        <v>678</v>
      </c>
      <c r="D12" s="540"/>
      <c r="E12" s="385"/>
      <c r="F12" s="386">
        <v>23.4</v>
      </c>
      <c r="G12" s="386">
        <v>2.8</v>
      </c>
      <c r="H12" s="387"/>
      <c r="I12" s="387">
        <v>1</v>
      </c>
      <c r="J12" s="388">
        <f>+F12*G12</f>
        <v>65.52</v>
      </c>
    </row>
    <row r="13" spans="2:10" s="383" customFormat="1">
      <c r="B13" s="10">
        <v>2</v>
      </c>
      <c r="C13" s="539" t="s">
        <v>679</v>
      </c>
      <c r="D13" s="540"/>
      <c r="E13" s="11"/>
      <c r="F13" s="386">
        <v>3</v>
      </c>
      <c r="G13" s="386">
        <v>5.65</v>
      </c>
      <c r="H13" s="387"/>
      <c r="I13" s="387">
        <v>1</v>
      </c>
      <c r="J13" s="388">
        <f>+F13*G13</f>
        <v>16.950000000000003</v>
      </c>
    </row>
    <row r="14" spans="2:10">
      <c r="B14" s="10"/>
      <c r="C14" s="541"/>
      <c r="D14" s="542"/>
      <c r="E14" s="11"/>
      <c r="F14" s="12"/>
      <c r="G14" s="12"/>
      <c r="H14" s="13"/>
      <c r="I14" s="13"/>
      <c r="J14" s="14"/>
    </row>
    <row r="15" spans="2:10">
      <c r="B15" s="4" t="s">
        <v>3</v>
      </c>
      <c r="C15" s="5" t="s">
        <v>14</v>
      </c>
      <c r="D15" s="111" t="str">
        <f>+PTO!D8</f>
        <v>EXCAVACIÓN MECANICA EN MATERIAL COMÚN</v>
      </c>
      <c r="E15" s="536" t="s">
        <v>15</v>
      </c>
      <c r="F15" s="537"/>
      <c r="G15" s="537"/>
      <c r="H15" s="537"/>
      <c r="I15" s="538"/>
      <c r="J15" s="9">
        <f>ROUND(SUM(J16:J19),1)</f>
        <v>44.2</v>
      </c>
    </row>
    <row r="16" spans="2:10">
      <c r="B16" s="6">
        <f>+_xlfn.XLOOKUP(TEXT(D15,0),PTO!$D$5:$D$15,PTO!$C$5:$C$15)</f>
        <v>1.03</v>
      </c>
      <c r="C16" s="5" t="s">
        <v>16</v>
      </c>
      <c r="D16" s="111" t="str">
        <f>+_xlfn.XLOOKUP(TEXT(D15,0),LIST[DESCRIPCIÓN],LIST[UNIDAD])</f>
        <v>M3</v>
      </c>
      <c r="E16" s="7"/>
      <c r="F16" s="7" t="s">
        <v>17</v>
      </c>
      <c r="G16" s="7" t="s">
        <v>18</v>
      </c>
      <c r="H16" s="8" t="s">
        <v>19</v>
      </c>
      <c r="I16" s="7" t="s">
        <v>20</v>
      </c>
      <c r="J16" s="304" t="s">
        <v>33</v>
      </c>
    </row>
    <row r="17" spans="2:13" s="383" customFormat="1">
      <c r="B17" s="384">
        <v>1</v>
      </c>
      <c r="C17" s="539" t="s">
        <v>678</v>
      </c>
      <c r="D17" s="540"/>
      <c r="E17" s="385"/>
      <c r="F17" s="386">
        <v>23.4</v>
      </c>
      <c r="G17" s="386">
        <f>+(5.65+5.5)/2</f>
        <v>5.5750000000000002</v>
      </c>
      <c r="H17" s="387">
        <v>0.3</v>
      </c>
      <c r="I17" s="387">
        <v>1</v>
      </c>
      <c r="J17" s="388">
        <f>+F17*G17*H17</f>
        <v>39.136499999999991</v>
      </c>
    </row>
    <row r="18" spans="2:13" s="383" customFormat="1">
      <c r="B18" s="10">
        <v>2</v>
      </c>
      <c r="C18" s="539" t="s">
        <v>679</v>
      </c>
      <c r="D18" s="540"/>
      <c r="E18" s="11"/>
      <c r="F18" s="386">
        <v>3</v>
      </c>
      <c r="G18" s="386">
        <v>5.65</v>
      </c>
      <c r="H18" s="387">
        <v>0.3</v>
      </c>
      <c r="I18" s="387">
        <v>1</v>
      </c>
      <c r="J18" s="388">
        <f>+F18*G18*H18</f>
        <v>5.0850000000000009</v>
      </c>
    </row>
    <row r="19" spans="2:13">
      <c r="B19" s="10"/>
      <c r="C19" s="541"/>
      <c r="D19" s="542"/>
      <c r="E19" s="11"/>
      <c r="F19" s="12"/>
      <c r="G19" s="12"/>
      <c r="H19" s="13"/>
      <c r="I19" s="13"/>
      <c r="J19" s="14"/>
    </row>
    <row r="20" spans="2:13">
      <c r="B20" s="4" t="s">
        <v>3</v>
      </c>
      <c r="C20" s="5" t="s">
        <v>14</v>
      </c>
      <c r="D20" s="111" t="str">
        <f>+PTO!D9</f>
        <v>RETIRO DE MATERIAL SOBRANTE HASTA 5 KM</v>
      </c>
      <c r="E20" s="536" t="s">
        <v>15</v>
      </c>
      <c r="F20" s="537"/>
      <c r="G20" s="537"/>
      <c r="H20" s="537"/>
      <c r="I20" s="538"/>
      <c r="J20" s="9">
        <f>ROUND(SUM(J21:J24),1)</f>
        <v>57.5</v>
      </c>
    </row>
    <row r="21" spans="2:13">
      <c r="B21" s="6">
        <f>+_xlfn.XLOOKUP(TEXT(D20,0),PTO!$D$5:$D$15,PTO!$C$5:$C$15)</f>
        <v>1.04</v>
      </c>
      <c r="C21" s="5" t="s">
        <v>16</v>
      </c>
      <c r="D21" s="111" t="str">
        <f>+_xlfn.XLOOKUP(TEXT(D20,0),LIST[DESCRIPCIÓN],LIST[UNIDAD])</f>
        <v>M3</v>
      </c>
      <c r="E21" s="7"/>
      <c r="F21" s="7" t="s">
        <v>17</v>
      </c>
      <c r="G21" s="7" t="s">
        <v>18</v>
      </c>
      <c r="H21" s="8" t="s">
        <v>19</v>
      </c>
      <c r="I21" s="7" t="s">
        <v>20</v>
      </c>
      <c r="J21" s="304" t="s">
        <v>33</v>
      </c>
    </row>
    <row r="22" spans="2:13" s="383" customFormat="1">
      <c r="B22" s="384">
        <v>1</v>
      </c>
      <c r="C22" s="539" t="s">
        <v>678</v>
      </c>
      <c r="D22" s="540"/>
      <c r="E22" s="385"/>
      <c r="F22" s="386">
        <v>23.4</v>
      </c>
      <c r="G22" s="386">
        <f>+(5.65+5.5)/2</f>
        <v>5.5750000000000002</v>
      </c>
      <c r="H22" s="387">
        <f>+H17</f>
        <v>0.3</v>
      </c>
      <c r="I22" s="387">
        <v>1.3</v>
      </c>
      <c r="J22" s="388">
        <f>+F22*G22*H22*I22</f>
        <v>50.877449999999989</v>
      </c>
    </row>
    <row r="23" spans="2:13" s="383" customFormat="1">
      <c r="B23" s="10">
        <v>2</v>
      </c>
      <c r="C23" s="539" t="s">
        <v>679</v>
      </c>
      <c r="D23" s="540"/>
      <c r="E23" s="11"/>
      <c r="F23" s="386">
        <v>3</v>
      </c>
      <c r="G23" s="386">
        <v>5.65</v>
      </c>
      <c r="H23" s="387">
        <f>+H22</f>
        <v>0.3</v>
      </c>
      <c r="I23" s="387">
        <v>1.3</v>
      </c>
      <c r="J23" s="388">
        <f>+F23*G23*H23*I23</f>
        <v>6.6105000000000009</v>
      </c>
    </row>
    <row r="24" spans="2:13">
      <c r="B24" s="10"/>
      <c r="C24" s="541"/>
      <c r="D24" s="542"/>
      <c r="E24" s="11"/>
      <c r="F24" s="12"/>
      <c r="G24" s="12"/>
      <c r="H24" s="13"/>
      <c r="I24" s="13"/>
      <c r="J24" s="14"/>
    </row>
    <row r="25" spans="2:13">
      <c r="B25" s="4" t="s">
        <v>3</v>
      </c>
      <c r="C25" s="5" t="s">
        <v>14</v>
      </c>
      <c r="D25" s="111" t="str">
        <f>+PTO!D10</f>
        <v>RELLENO EN RECEBO COMPACTADO</v>
      </c>
      <c r="E25" s="536" t="s">
        <v>15</v>
      </c>
      <c r="F25" s="537"/>
      <c r="G25" s="537"/>
      <c r="H25" s="537"/>
      <c r="I25" s="538"/>
      <c r="J25" s="9">
        <f>ROUND(SUM(J26:J29),1)</f>
        <v>29.5</v>
      </c>
    </row>
    <row r="26" spans="2:13">
      <c r="B26" s="6">
        <f>+_xlfn.XLOOKUP(TEXT(D25,0),PTO!$D$5:$D$15,PTO!$C$5:$C$15)</f>
        <v>1.05</v>
      </c>
      <c r="C26" s="5" t="s">
        <v>16</v>
      </c>
      <c r="D26" s="111" t="str">
        <f>+_xlfn.XLOOKUP(TEXT(D25,0),LIST[DESCRIPCIÓN],LIST[UNIDAD])</f>
        <v>M3</v>
      </c>
      <c r="E26" s="7"/>
      <c r="F26" s="7" t="s">
        <v>17</v>
      </c>
      <c r="G26" s="7" t="s">
        <v>18</v>
      </c>
      <c r="H26" s="8" t="s">
        <v>19</v>
      </c>
      <c r="I26" s="7" t="s">
        <v>20</v>
      </c>
      <c r="J26" s="304" t="s">
        <v>33</v>
      </c>
    </row>
    <row r="27" spans="2:13" s="383" customFormat="1">
      <c r="B27" s="384">
        <v>1</v>
      </c>
      <c r="C27" s="539" t="s">
        <v>678</v>
      </c>
      <c r="D27" s="540"/>
      <c r="E27" s="385"/>
      <c r="F27" s="386">
        <v>23.4</v>
      </c>
      <c r="G27" s="386">
        <f>+(5.65+5.5)/2</f>
        <v>5.5750000000000002</v>
      </c>
      <c r="H27" s="387">
        <v>0.2</v>
      </c>
      <c r="I27" s="387">
        <v>1</v>
      </c>
      <c r="J27" s="388">
        <f>+F27*G27*H27*I27</f>
        <v>26.090999999999998</v>
      </c>
    </row>
    <row r="28" spans="2:13" s="383" customFormat="1">
      <c r="B28" s="10">
        <v>2</v>
      </c>
      <c r="C28" s="539" t="s">
        <v>679</v>
      </c>
      <c r="D28" s="540"/>
      <c r="E28" s="11"/>
      <c r="F28" s="386">
        <v>3</v>
      </c>
      <c r="G28" s="386">
        <v>5.65</v>
      </c>
      <c r="H28" s="387">
        <v>0.2</v>
      </c>
      <c r="I28" s="387">
        <v>1</v>
      </c>
      <c r="J28" s="388">
        <f>+F28*G28*H28*I28</f>
        <v>3.3900000000000006</v>
      </c>
    </row>
    <row r="29" spans="2:13" ht="15" thickBot="1">
      <c r="B29" s="10"/>
      <c r="C29" s="541"/>
      <c r="D29" s="542"/>
      <c r="E29" s="11"/>
      <c r="F29" s="12"/>
      <c r="G29" s="12"/>
      <c r="H29" s="13"/>
      <c r="I29" s="13"/>
      <c r="J29" s="14"/>
    </row>
    <row r="30" spans="2:13" ht="16.2" thickBot="1">
      <c r="B30" s="533" t="str">
        <f>+PTO!D11</f>
        <v>PAVIMENTACION</v>
      </c>
      <c r="C30" s="534"/>
      <c r="D30" s="534"/>
      <c r="E30" s="534"/>
      <c r="F30" s="534"/>
      <c r="G30" s="534"/>
      <c r="H30" s="534"/>
      <c r="I30" s="534"/>
      <c r="J30" s="535"/>
    </row>
    <row r="31" spans="2:13" ht="30.75" customHeight="1">
      <c r="B31" s="4" t="s">
        <v>3</v>
      </c>
      <c r="C31" s="5" t="s">
        <v>14</v>
      </c>
      <c r="D31" s="112" t="str">
        <f>+PTO!D12</f>
        <v>SUMINISTRO, INSTALACION Y COMPACTACIÓN DE SUBBASE GRANULAR CLASE C</v>
      </c>
      <c r="E31" s="543" t="s">
        <v>15</v>
      </c>
      <c r="F31" s="543"/>
      <c r="G31" s="543"/>
      <c r="H31" s="543"/>
      <c r="I31" s="543"/>
      <c r="J31" s="9">
        <f>ROUNDUP(SUM(J33:J35),1)</f>
        <v>22.200000000000003</v>
      </c>
      <c r="M31" s="407"/>
    </row>
    <row r="32" spans="2:13">
      <c r="B32" s="6">
        <f>+PTO!C12</f>
        <v>2.0099999999999998</v>
      </c>
      <c r="C32" s="5" t="s">
        <v>16</v>
      </c>
      <c r="D32" s="111" t="str">
        <f>+PTO!E12</f>
        <v>M3</v>
      </c>
      <c r="E32" s="7"/>
      <c r="F32" s="7" t="s">
        <v>17</v>
      </c>
      <c r="G32" s="7" t="s">
        <v>18</v>
      </c>
      <c r="H32" s="8" t="s">
        <v>21</v>
      </c>
      <c r="I32" s="7" t="s">
        <v>20</v>
      </c>
      <c r="J32" s="304" t="s">
        <v>33</v>
      </c>
    </row>
    <row r="33" spans="2:10" s="383" customFormat="1">
      <c r="B33" s="384">
        <v>1</v>
      </c>
      <c r="C33" s="539" t="s">
        <v>678</v>
      </c>
      <c r="D33" s="540"/>
      <c r="E33" s="385"/>
      <c r="F33" s="386">
        <v>23.4</v>
      </c>
      <c r="G33" s="386">
        <f>+(5.65+5.5)/2</f>
        <v>5.5750000000000002</v>
      </c>
      <c r="H33" s="387">
        <v>0.15</v>
      </c>
      <c r="I33" s="387">
        <v>1</v>
      </c>
      <c r="J33" s="388">
        <f>+F33*G33*I33*H33</f>
        <v>19.568249999999995</v>
      </c>
    </row>
    <row r="34" spans="2:10" s="383" customFormat="1">
      <c r="B34" s="10">
        <v>2</v>
      </c>
      <c r="C34" s="539" t="s">
        <v>679</v>
      </c>
      <c r="D34" s="540"/>
      <c r="E34" s="11"/>
      <c r="F34" s="386">
        <v>3</v>
      </c>
      <c r="G34" s="386">
        <v>5.65</v>
      </c>
      <c r="H34" s="387">
        <v>0.15</v>
      </c>
      <c r="I34" s="387">
        <v>1</v>
      </c>
      <c r="J34" s="388">
        <f>+F34*G34*I34*H34</f>
        <v>2.5425000000000004</v>
      </c>
    </row>
    <row r="35" spans="2:10">
      <c r="B35" s="15"/>
      <c r="C35" s="541"/>
      <c r="D35" s="542"/>
      <c r="E35" s="7"/>
      <c r="F35" s="7"/>
      <c r="G35" s="7"/>
      <c r="H35" s="8"/>
      <c r="I35" s="7"/>
      <c r="J35" s="14"/>
    </row>
    <row r="36" spans="2:10" ht="30.75" customHeight="1">
      <c r="B36" s="4" t="s">
        <v>3</v>
      </c>
      <c r="C36" s="5" t="s">
        <v>14</v>
      </c>
      <c r="D36" s="112" t="str">
        <f>+PTO!D13</f>
        <v>CONCRETO PARA PAVIMENTO RÍGIDO MR-40, INCLUYE SELLADO DE JUNTAS</v>
      </c>
      <c r="E36" s="543" t="s">
        <v>15</v>
      </c>
      <c r="F36" s="543"/>
      <c r="G36" s="543"/>
      <c r="H36" s="543"/>
      <c r="I36" s="543"/>
      <c r="J36" s="9">
        <f>ROUND(SUM(J37:J40),1)</f>
        <v>26.5</v>
      </c>
    </row>
    <row r="37" spans="2:10">
      <c r="B37" s="6">
        <f>+PTO!C13</f>
        <v>2.0199999999999996</v>
      </c>
      <c r="C37" s="5" t="s">
        <v>16</v>
      </c>
      <c r="D37" s="111" t="str">
        <f>+_xlfn.XLOOKUP(TEXT(D36,0),LIST[DESCRIPCIÓN],LIST[UNIDAD])</f>
        <v>M3</v>
      </c>
      <c r="E37" s="7"/>
      <c r="F37" s="7" t="s">
        <v>17</v>
      </c>
      <c r="G37" s="7" t="s">
        <v>18</v>
      </c>
      <c r="H37" s="8" t="s">
        <v>21</v>
      </c>
      <c r="I37" s="7" t="s">
        <v>28</v>
      </c>
      <c r="J37" s="304" t="s">
        <v>33</v>
      </c>
    </row>
    <row r="38" spans="2:10" s="383" customFormat="1">
      <c r="B38" s="384">
        <v>1</v>
      </c>
      <c r="C38" s="539" t="s">
        <v>678</v>
      </c>
      <c r="D38" s="540"/>
      <c r="E38" s="385"/>
      <c r="F38" s="386">
        <v>23.4</v>
      </c>
      <c r="G38" s="386">
        <f>+(5.65+5.5)/2</f>
        <v>5.5750000000000002</v>
      </c>
      <c r="H38" s="387">
        <v>0.18</v>
      </c>
      <c r="I38" s="387">
        <v>1</v>
      </c>
      <c r="J38" s="388">
        <f>+F38*H38*I38*G38</f>
        <v>23.4819</v>
      </c>
    </row>
    <row r="39" spans="2:10" s="383" customFormat="1">
      <c r="B39" s="10">
        <v>2</v>
      </c>
      <c r="C39" s="539" t="s">
        <v>679</v>
      </c>
      <c r="D39" s="540"/>
      <c r="E39" s="11"/>
      <c r="F39" s="386">
        <v>3</v>
      </c>
      <c r="G39" s="386">
        <v>5.65</v>
      </c>
      <c r="H39" s="387">
        <v>0.18</v>
      </c>
      <c r="I39" s="387">
        <v>1</v>
      </c>
      <c r="J39" s="388">
        <f>+F39*H39*I39*G39</f>
        <v>3.0510000000000006</v>
      </c>
    </row>
    <row r="40" spans="2:10">
      <c r="B40" s="15"/>
      <c r="C40" s="544"/>
      <c r="D40" s="544"/>
      <c r="E40" s="7"/>
      <c r="F40" s="7"/>
      <c r="G40" s="7"/>
      <c r="H40" s="8"/>
      <c r="I40" s="7"/>
      <c r="J40" s="14"/>
    </row>
    <row r="41" spans="2:10" ht="30.75" customHeight="1">
      <c r="B41" s="4" t="s">
        <v>3</v>
      </c>
      <c r="C41" s="5" t="s">
        <v>14</v>
      </c>
      <c r="D41" s="112" t="str">
        <f>+PTO!D14</f>
        <v>ACERO DE REFUERZO FIGURADO ƒ'y= 4200 GRADO 60 (PAVIMENTO)</v>
      </c>
      <c r="E41" s="543" t="s">
        <v>15</v>
      </c>
      <c r="F41" s="543"/>
      <c r="G41" s="543"/>
      <c r="H41" s="543"/>
      <c r="I41" s="543"/>
      <c r="J41" s="9">
        <f>ROUND(SUM(J42:J46),1)</f>
        <v>360.3</v>
      </c>
    </row>
    <row r="42" spans="2:10">
      <c r="B42" s="6">
        <f>+_xlfn.XLOOKUP(TEXT(D41,0),PTO!$D$5:$D$15,PTO!$C$5:$C$15)</f>
        <v>2.0299999999999994</v>
      </c>
      <c r="C42" s="5" t="s">
        <v>16</v>
      </c>
      <c r="D42" s="111" t="str">
        <f>+_xlfn.XLOOKUP(TEXT(D41,0),LIST[DESCRIPCIÓN],LIST[UNIDAD])</f>
        <v>KG</v>
      </c>
      <c r="E42" s="7" t="s">
        <v>17</v>
      </c>
      <c r="F42" s="7" t="s">
        <v>697</v>
      </c>
      <c r="G42" s="7" t="s">
        <v>698</v>
      </c>
      <c r="H42" s="8" t="s">
        <v>699</v>
      </c>
      <c r="I42" s="7" t="s">
        <v>700</v>
      </c>
      <c r="J42" s="304" t="s">
        <v>33</v>
      </c>
    </row>
    <row r="43" spans="2:10" s="383" customFormat="1">
      <c r="B43" s="384">
        <v>1</v>
      </c>
      <c r="C43" s="539" t="s">
        <v>696</v>
      </c>
      <c r="D43" s="540"/>
      <c r="E43" s="386">
        <v>0.35</v>
      </c>
      <c r="F43" s="386">
        <v>7</v>
      </c>
      <c r="G43" s="386">
        <v>4.62</v>
      </c>
      <c r="H43" s="387">
        <f>ROUNDUP(G38/0.3,0)</f>
        <v>19</v>
      </c>
      <c r="I43" s="387">
        <v>6</v>
      </c>
      <c r="J43" s="388">
        <f>+E43*H43*I43*G43</f>
        <v>184.33799999999999</v>
      </c>
    </row>
    <row r="44" spans="2:10" s="383" customFormat="1">
      <c r="B44" s="10">
        <v>2</v>
      </c>
      <c r="C44" s="539" t="s">
        <v>701</v>
      </c>
      <c r="D44" s="540"/>
      <c r="E44" s="386">
        <v>0.85</v>
      </c>
      <c r="F44" s="386">
        <v>4</v>
      </c>
      <c r="G44" s="386">
        <v>1</v>
      </c>
      <c r="H44" s="387">
        <v>1</v>
      </c>
      <c r="I44" s="387">
        <f>ROUNDUP(23.4/1.2,0)</f>
        <v>20</v>
      </c>
      <c r="J44" s="388">
        <f>+F44*H44*I44*G44</f>
        <v>80</v>
      </c>
    </row>
    <row r="45" spans="2:10" s="383" customFormat="1">
      <c r="B45" s="10">
        <v>2</v>
      </c>
      <c r="C45" s="539" t="s">
        <v>702</v>
      </c>
      <c r="D45" s="540"/>
      <c r="E45" s="386">
        <v>3</v>
      </c>
      <c r="F45" s="386">
        <v>4</v>
      </c>
      <c r="G45" s="386">
        <v>1</v>
      </c>
      <c r="H45" s="387">
        <v>1</v>
      </c>
      <c r="I45" s="387">
        <f>ROUNDUP(3/0.25,0)*2</f>
        <v>24</v>
      </c>
      <c r="J45" s="388">
        <f>+F45*H45*I45*G45</f>
        <v>96</v>
      </c>
    </row>
    <row r="46" spans="2:10">
      <c r="B46" s="15"/>
      <c r="C46" s="544"/>
      <c r="D46" s="544"/>
      <c r="E46" s="7"/>
      <c r="F46" s="7"/>
      <c r="G46" s="7"/>
      <c r="H46" s="8"/>
      <c r="I46" s="7"/>
      <c r="J46" s="14"/>
    </row>
    <row r="47" spans="2:10" ht="30.75" customHeight="1">
      <c r="B47" s="4" t="s">
        <v>3</v>
      </c>
      <c r="C47" s="5" t="s">
        <v>14</v>
      </c>
      <c r="D47" s="112" t="str">
        <f>+PTO!D15</f>
        <v xml:space="preserve">BORDILLO FUNDIDO EN SITIO DE 15X40 CM  EN CONCRETO 3000 PSI </v>
      </c>
      <c r="E47" s="543" t="s">
        <v>15</v>
      </c>
      <c r="F47" s="543"/>
      <c r="G47" s="543"/>
      <c r="H47" s="543"/>
      <c r="I47" s="543"/>
      <c r="J47" s="9">
        <f>SUM(J48:J51)</f>
        <v>52.8</v>
      </c>
    </row>
    <row r="48" spans="2:10">
      <c r="B48" s="6">
        <f>+_xlfn.XLOOKUP(TEXT(D47,0),PTO!$D$5:$D$15,PTO!$C$5:$C$15)</f>
        <v>2.0399999999999991</v>
      </c>
      <c r="C48" s="5" t="s">
        <v>16</v>
      </c>
      <c r="D48" s="111" t="str">
        <f>+_xlfn.XLOOKUP(TEXT(D47,0),LIST[DESCRIPCIÓN],LIST[UNIDAD])</f>
        <v>M</v>
      </c>
      <c r="E48" s="7"/>
      <c r="F48" s="7" t="s">
        <v>17</v>
      </c>
      <c r="G48" s="7" t="s">
        <v>18</v>
      </c>
      <c r="H48" s="8" t="s">
        <v>21</v>
      </c>
      <c r="I48" s="7" t="s">
        <v>20</v>
      </c>
      <c r="J48" s="304" t="s">
        <v>33</v>
      </c>
    </row>
    <row r="49" spans="2:13" s="383" customFormat="1">
      <c r="B49" s="384">
        <v>1</v>
      </c>
      <c r="C49" s="539" t="s">
        <v>678</v>
      </c>
      <c r="D49" s="540"/>
      <c r="E49" s="385"/>
      <c r="F49" s="386">
        <v>23.4</v>
      </c>
      <c r="G49" s="386"/>
      <c r="H49" s="387"/>
      <c r="I49" s="387">
        <v>2</v>
      </c>
      <c r="J49" s="388">
        <f>+F49*I49</f>
        <v>46.8</v>
      </c>
    </row>
    <row r="50" spans="2:13" s="383" customFormat="1">
      <c r="B50" s="10">
        <v>2</v>
      </c>
      <c r="C50" s="539" t="s">
        <v>679</v>
      </c>
      <c r="D50" s="540"/>
      <c r="E50" s="11"/>
      <c r="F50" s="386">
        <v>3</v>
      </c>
      <c r="G50" s="386"/>
      <c r="H50" s="387"/>
      <c r="I50" s="387">
        <v>2</v>
      </c>
      <c r="J50" s="388">
        <f>+F50*I50</f>
        <v>6</v>
      </c>
    </row>
    <row r="51" spans="2:13" ht="15" thickBot="1">
      <c r="B51" s="15"/>
      <c r="C51" s="541"/>
      <c r="D51" s="542"/>
      <c r="E51" s="7"/>
      <c r="F51" s="7"/>
      <c r="G51" s="7"/>
      <c r="H51" s="8"/>
      <c r="I51" s="7"/>
      <c r="J51" s="14"/>
    </row>
    <row r="52" spans="2:13" ht="16.2" thickBot="1">
      <c r="B52" s="533" t="str">
        <f>+PTO!D16</f>
        <v>HIDRAULICA Y SANITARIA</v>
      </c>
      <c r="C52" s="534"/>
      <c r="D52" s="534"/>
      <c r="E52" s="534"/>
      <c r="F52" s="534"/>
      <c r="G52" s="534"/>
      <c r="H52" s="534"/>
      <c r="I52" s="534"/>
      <c r="J52" s="535"/>
    </row>
    <row r="53" spans="2:13" ht="30.75" customHeight="1">
      <c r="B53" s="4" t="s">
        <v>3</v>
      </c>
      <c r="C53" s="5" t="s">
        <v>14</v>
      </c>
      <c r="D53" s="112" t="str">
        <f>+PTO!D17</f>
        <v>MANGUERA POLIURETANO DE ALTA PRESIÓN 1/2" RDE 9</v>
      </c>
      <c r="E53" s="543" t="s">
        <v>15</v>
      </c>
      <c r="F53" s="543"/>
      <c r="G53" s="543"/>
      <c r="H53" s="543"/>
      <c r="I53" s="543"/>
      <c r="J53" s="9">
        <f>ROUND(SUM(J55:J57),2)</f>
        <v>24</v>
      </c>
      <c r="M53" s="407"/>
    </row>
    <row r="54" spans="2:13">
      <c r="B54" s="6">
        <f>+_xlfn.XLOOKUP(TEXT(D53,0),PTO!$D$5:$D$19,PTO!$C$5:$C$19)</f>
        <v>3.01</v>
      </c>
      <c r="C54" s="5" t="s">
        <v>16</v>
      </c>
      <c r="D54" s="111" t="str">
        <f>+_xlfn.XLOOKUP(TEXT(D53,0),LIST[DESCRIPCIÓN],LIST[UNIDAD])</f>
        <v>M</v>
      </c>
      <c r="E54" s="7"/>
      <c r="F54" s="7" t="s">
        <v>17</v>
      </c>
      <c r="G54" s="7" t="s">
        <v>18</v>
      </c>
      <c r="H54" s="8" t="s">
        <v>21</v>
      </c>
      <c r="I54" s="7" t="s">
        <v>20</v>
      </c>
      <c r="J54" s="304" t="s">
        <v>33</v>
      </c>
    </row>
    <row r="55" spans="2:13" s="383" customFormat="1">
      <c r="B55" s="384">
        <v>1</v>
      </c>
      <c r="C55" s="539" t="s">
        <v>678</v>
      </c>
      <c r="D55" s="540"/>
      <c r="E55" s="385"/>
      <c r="F55" s="386">
        <v>6</v>
      </c>
      <c r="G55" s="386"/>
      <c r="H55" s="387"/>
      <c r="I55" s="387">
        <v>4</v>
      </c>
      <c r="J55" s="388">
        <f>+F55*I55</f>
        <v>24</v>
      </c>
    </row>
    <row r="56" spans="2:13" s="383" customFormat="1">
      <c r="B56" s="10">
        <v>2</v>
      </c>
      <c r="C56" s="539" t="s">
        <v>679</v>
      </c>
      <c r="D56" s="540"/>
      <c r="E56" s="11"/>
      <c r="F56" s="386"/>
      <c r="G56" s="386"/>
      <c r="H56" s="387"/>
      <c r="I56" s="387"/>
      <c r="J56" s="388">
        <f>+F56*G56*I56*H56</f>
        <v>0</v>
      </c>
    </row>
    <row r="57" spans="2:13">
      <c r="B57" s="15"/>
      <c r="C57" s="541"/>
      <c r="D57" s="542"/>
      <c r="E57" s="7"/>
      <c r="F57" s="7"/>
      <c r="G57" s="7"/>
      <c r="H57" s="8"/>
      <c r="I57" s="7"/>
      <c r="J57" s="14"/>
    </row>
  </sheetData>
  <mergeCells count="47">
    <mergeCell ref="C57:D57"/>
    <mergeCell ref="C49:D49"/>
    <mergeCell ref="B52:J52"/>
    <mergeCell ref="E53:I53"/>
    <mergeCell ref="C55:D55"/>
    <mergeCell ref="C56:D56"/>
    <mergeCell ref="C51:D51"/>
    <mergeCell ref="C39:D39"/>
    <mergeCell ref="E15:I15"/>
    <mergeCell ref="C50:D50"/>
    <mergeCell ref="C17:D17"/>
    <mergeCell ref="C18:D18"/>
    <mergeCell ref="C19:D19"/>
    <mergeCell ref="E20:I20"/>
    <mergeCell ref="C22:D22"/>
    <mergeCell ref="C23:D23"/>
    <mergeCell ref="C24:D24"/>
    <mergeCell ref="C43:D43"/>
    <mergeCell ref="C44:D44"/>
    <mergeCell ref="C45:D45"/>
    <mergeCell ref="E25:I25"/>
    <mergeCell ref="C27:D27"/>
    <mergeCell ref="C12:D12"/>
    <mergeCell ref="C14:D14"/>
    <mergeCell ref="E47:I47"/>
    <mergeCell ref="C38:D38"/>
    <mergeCell ref="E36:I36"/>
    <mergeCell ref="C40:D40"/>
    <mergeCell ref="B30:J30"/>
    <mergeCell ref="C35:D35"/>
    <mergeCell ref="C33:D33"/>
    <mergeCell ref="C34:D34"/>
    <mergeCell ref="E41:I41"/>
    <mergeCell ref="C46:D46"/>
    <mergeCell ref="C13:D13"/>
    <mergeCell ref="E31:I31"/>
    <mergeCell ref="C28:D28"/>
    <mergeCell ref="C29:D29"/>
    <mergeCell ref="B1:J1"/>
    <mergeCell ref="B2:C3"/>
    <mergeCell ref="D2:J3"/>
    <mergeCell ref="B4:J4"/>
    <mergeCell ref="E10:I10"/>
    <mergeCell ref="E5:I5"/>
    <mergeCell ref="C7:D7"/>
    <mergeCell ref="C8:D8"/>
    <mergeCell ref="C9:D9"/>
  </mergeCells>
  <pageMargins left="0.7" right="0.7" top="0.75" bottom="0.75" header="0.3" footer="0.3"/>
  <pageSetup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DF0D-AE3D-463B-A728-604D62637770}">
  <dimension ref="B1:I32"/>
  <sheetViews>
    <sheetView topLeftCell="A10" workbookViewId="0">
      <selection activeCell="I7" sqref="I7"/>
    </sheetView>
  </sheetViews>
  <sheetFormatPr baseColWidth="10" defaultRowHeight="14.4"/>
  <cols>
    <col min="1" max="1" width="4.77734375" customWidth="1"/>
    <col min="2" max="2" width="11.5546875" hidden="1" customWidth="1"/>
    <col min="3" max="3" width="10.21875" customWidth="1"/>
    <col min="4" max="4" width="65.109375" customWidth="1"/>
    <col min="5" max="5" width="8.44140625" customWidth="1"/>
    <col min="6" max="6" width="11" customWidth="1"/>
    <col min="7" max="7" width="17" customWidth="1"/>
    <col min="8" max="8" width="18.44140625" customWidth="1"/>
    <col min="9" max="9" width="23.33203125" customWidth="1"/>
    <col min="12" max="12" width="13.44140625" bestFit="1" customWidth="1"/>
  </cols>
  <sheetData>
    <row r="1" spans="2:9" ht="66.75" customHeight="1">
      <c r="B1" s="464"/>
      <c r="C1" s="465"/>
      <c r="D1" s="464"/>
      <c r="E1" s="456" t="s">
        <v>0</v>
      </c>
      <c r="F1" s="457"/>
      <c r="G1" s="457"/>
      <c r="H1" s="457"/>
    </row>
    <row r="2" spans="2:9">
      <c r="B2" s="458" t="s">
        <v>1</v>
      </c>
      <c r="C2" s="458"/>
      <c r="D2" s="458"/>
      <c r="E2" s="458"/>
      <c r="F2" s="458"/>
      <c r="G2" s="458"/>
      <c r="H2" s="458"/>
      <c r="I2" s="1"/>
    </row>
    <row r="3" spans="2:9" ht="42.75" customHeight="1">
      <c r="B3" s="272"/>
      <c r="C3" s="272" t="s">
        <v>2</v>
      </c>
      <c r="D3" s="459" t="s">
        <v>659</v>
      </c>
      <c r="E3" s="460"/>
      <c r="F3" s="461"/>
      <c r="G3" s="462" t="s">
        <v>660</v>
      </c>
      <c r="H3" s="463"/>
      <c r="I3" s="1"/>
    </row>
    <row r="4" spans="2:9">
      <c r="B4" s="273" t="s">
        <v>335</v>
      </c>
      <c r="C4" s="273" t="s">
        <v>3</v>
      </c>
      <c r="D4" s="273" t="s">
        <v>4</v>
      </c>
      <c r="E4" s="273" t="s">
        <v>5</v>
      </c>
      <c r="F4" s="274" t="s">
        <v>6</v>
      </c>
      <c r="G4" s="273" t="s">
        <v>7</v>
      </c>
      <c r="H4" s="275" t="s">
        <v>8</v>
      </c>
      <c r="I4" s="1"/>
    </row>
    <row r="5" spans="2:9">
      <c r="B5" s="392"/>
      <c r="C5" s="392">
        <v>1</v>
      </c>
      <c r="D5" s="393" t="s">
        <v>337</v>
      </c>
      <c r="E5" s="394"/>
      <c r="F5" s="395"/>
      <c r="G5" s="396"/>
      <c r="H5" s="397">
        <f>+SUM(H6:H10)</f>
        <v>12977352.199999999</v>
      </c>
      <c r="I5" s="391"/>
    </row>
    <row r="6" spans="2:9">
      <c r="B6" s="276" t="s">
        <v>661</v>
      </c>
      <c r="C6" s="276">
        <f>C5+0.01</f>
        <v>1.01</v>
      </c>
      <c r="D6" s="282" t="str">
        <f>+_xlfn.XLOOKUP($B6,LIST[ID],LIST[DESCRIPCIÓN])</f>
        <v>CERRAMIENTO EN LONA VERDE PROVISIONAL H:2 METROS</v>
      </c>
      <c r="E6" s="277" t="str">
        <f>+_xlfn.XLOOKUP($B6,LIST[ID],LIST[UNIDAD])</f>
        <v>M</v>
      </c>
      <c r="F6" s="278">
        <f>+_xlfn.XLOOKUP(TEXT(PTO!D6,0),'M. CANT.'!$D$4:$D$51,'M. CANT.'!$J$4:$J$51)</f>
        <v>68</v>
      </c>
      <c r="G6" s="295">
        <f>+_xlfn.XLOOKUP($B6,LIST[ID],LIST[V/UNIT])</f>
        <v>12708</v>
      </c>
      <c r="H6" s="279">
        <f>+F6*G6</f>
        <v>864144</v>
      </c>
      <c r="I6" s="391"/>
    </row>
    <row r="7" spans="2:9">
      <c r="B7" s="276" t="s">
        <v>662</v>
      </c>
      <c r="C7" s="276">
        <f t="shared" ref="C7:C10" si="0">C6+0.01</f>
        <v>1.02</v>
      </c>
      <c r="D7" s="282" t="str">
        <f>+_xlfn.XLOOKUP($B7,LIST[ID],LIST[DESCRIPCIÓN])</f>
        <v>DEMOLICIÓN DE PAVIMENTO EN CONCRETO RIGIDO, INCLUYE RETIRO</v>
      </c>
      <c r="E7" s="277" t="str">
        <f>+_xlfn.XLOOKUP($B7,LIST[ID],LIST[UNIDAD])</f>
        <v>M3</v>
      </c>
      <c r="F7" s="278">
        <f>+_xlfn.XLOOKUP(TEXT(PTO!D7,0),'M. CANT.'!$D$4:$D$51,'M. CANT.'!$J$4:$J$51)</f>
        <v>82.5</v>
      </c>
      <c r="G7" s="295">
        <f>+_xlfn.XLOOKUP($B7,LIST[ID],LIST[V/UNIT])</f>
        <v>52406</v>
      </c>
      <c r="H7" s="279">
        <f t="shared" ref="H7:H10" si="1">+F7*G7</f>
        <v>4323495</v>
      </c>
      <c r="I7" s="391"/>
    </row>
    <row r="8" spans="2:9">
      <c r="B8" s="276" t="s">
        <v>499</v>
      </c>
      <c r="C8" s="276">
        <f t="shared" si="0"/>
        <v>1.03</v>
      </c>
      <c r="D8" s="282" t="str">
        <f>+_xlfn.XLOOKUP($B8,LIST[ID],LIST[DESCRIPCIÓN])</f>
        <v>EXCAVACIÓN MECANICA EN MATERIAL COMÚN</v>
      </c>
      <c r="E8" s="277" t="str">
        <f>+_xlfn.XLOOKUP($B8,LIST[ID],LIST[UNIDAD])</f>
        <v>M3</v>
      </c>
      <c r="F8" s="278">
        <f>+_xlfn.XLOOKUP(TEXT(PTO!D8,0),'M. CANT.'!$D$4:$D$51,'M. CANT.'!$J$4:$J$51)</f>
        <v>44.2</v>
      </c>
      <c r="G8" s="295">
        <f>+_xlfn.XLOOKUP($B8,LIST[ID],LIST[V/UNIT])</f>
        <v>30161</v>
      </c>
      <c r="H8" s="279">
        <f t="shared" si="1"/>
        <v>1333116.2000000002</v>
      </c>
      <c r="I8" s="391"/>
    </row>
    <row r="9" spans="2:9">
      <c r="B9" s="276" t="s">
        <v>388</v>
      </c>
      <c r="C9" s="276">
        <f t="shared" si="0"/>
        <v>1.04</v>
      </c>
      <c r="D9" s="282" t="str">
        <f>+_xlfn.XLOOKUP($B9,LIST[ID],LIST[DESCRIPCIÓN])</f>
        <v>RETIRO DE MATERIAL SOBRANTE HASTA 5 KM</v>
      </c>
      <c r="E9" s="277" t="str">
        <f>+_xlfn.XLOOKUP($B9,LIST[ID],LIST[UNIDAD])</f>
        <v>M3</v>
      </c>
      <c r="F9" s="278">
        <f>+_xlfn.XLOOKUP(TEXT(PTO!D9,0),'M. CANT.'!$D$4:$D$51,'M. CANT.'!$J$4:$J$51)</f>
        <v>57.5</v>
      </c>
      <c r="G9" s="295">
        <f>+_xlfn.XLOOKUP($B9,LIST[ID],LIST[V/UNIT])</f>
        <v>30981</v>
      </c>
      <c r="H9" s="279">
        <f t="shared" si="1"/>
        <v>1781407.5</v>
      </c>
      <c r="I9" s="391"/>
    </row>
    <row r="10" spans="2:9">
      <c r="B10" s="276" t="s">
        <v>502</v>
      </c>
      <c r="C10" s="276">
        <f t="shared" si="0"/>
        <v>1.05</v>
      </c>
      <c r="D10" s="282" t="str">
        <f>+_xlfn.XLOOKUP($B10,LIST[ID],LIST[DESCRIPCIÓN])</f>
        <v>RELLENO EN RECEBO COMPACTADO</v>
      </c>
      <c r="E10" s="277" t="str">
        <f>+_xlfn.XLOOKUP($B10,LIST[ID],LIST[UNIDAD])</f>
        <v>M3</v>
      </c>
      <c r="F10" s="278">
        <f>+_xlfn.XLOOKUP(TEXT(PTO!D10,0),'M. CANT.'!$D$4:$D$51,'M. CANT.'!$J$4:$J$51)</f>
        <v>29.5</v>
      </c>
      <c r="G10" s="295">
        <f>+_xlfn.XLOOKUP($B10,LIST[ID],LIST[V/UNIT])</f>
        <v>158481</v>
      </c>
      <c r="H10" s="279">
        <f t="shared" si="1"/>
        <v>4675189.5</v>
      </c>
      <c r="I10" s="391"/>
    </row>
    <row r="11" spans="2:9">
      <c r="B11" s="280"/>
      <c r="C11" s="280">
        <v>2</v>
      </c>
      <c r="D11" s="417" t="s">
        <v>703</v>
      </c>
      <c r="E11" s="281"/>
      <c r="F11" s="281"/>
      <c r="G11" s="281"/>
      <c r="H11" s="344">
        <f>+SUM(H12:H15)</f>
        <v>54809296.300000004</v>
      </c>
      <c r="I11" s="2"/>
    </row>
    <row r="12" spans="2:9" ht="28.8">
      <c r="B12" s="398" t="s">
        <v>665</v>
      </c>
      <c r="C12" s="276">
        <f>C11+0.01</f>
        <v>2.0099999999999998</v>
      </c>
      <c r="D12" s="282" t="str">
        <f>+_xlfn.XLOOKUP($B12,LIST[ID],LIST[DESCRIPCIÓN])</f>
        <v>SUMINISTRO, INSTALACION Y COMPACTACIÓN DE SUBBASE GRANULAR CLASE C</v>
      </c>
      <c r="E12" s="283" t="str">
        <f>+_xlfn.XLOOKUP($B12,LIST[ID],LIST[UNIDAD])</f>
        <v>M3</v>
      </c>
      <c r="F12" s="278">
        <f>+_xlfn.XLOOKUP(TEXT(PTO!D12,0),'M. CANT.'!$D$4:$D$51,'M. CANT.'!$J$4:$J$51)</f>
        <v>22.200000000000003</v>
      </c>
      <c r="G12" s="295">
        <f>+_xlfn.XLOOKUP($B12,LIST[ID],LIST[V/UNIT])</f>
        <v>493862</v>
      </c>
      <c r="H12" s="284">
        <f t="shared" ref="H12:H14" si="2">ROUND(F12*G12,2)</f>
        <v>10963736.4</v>
      </c>
      <c r="I12" s="2"/>
    </row>
    <row r="13" spans="2:9">
      <c r="B13" s="398" t="s">
        <v>695</v>
      </c>
      <c r="C13" s="276">
        <f t="shared" ref="C13:C15" si="3">C12+0.01</f>
        <v>2.0199999999999996</v>
      </c>
      <c r="D13" s="282" t="str">
        <f>+_xlfn.XLOOKUP($B13,LIST[ID],LIST[DESCRIPCIÓN])</f>
        <v>CONCRETO PARA PAVIMENTO RÍGIDO MR-40, INCLUYE SELLADO DE JUNTAS</v>
      </c>
      <c r="E13" s="283" t="str">
        <f>+_xlfn.XLOOKUP($B13,LIST[ID],LIST[UNIDAD])</f>
        <v>M3</v>
      </c>
      <c r="F13" s="278">
        <f>+_xlfn.XLOOKUP(TEXT(PTO!D13,0),'M. CANT.'!$D$4:$D$51,'M. CANT.'!$J$4:$J$51)</f>
        <v>26.5</v>
      </c>
      <c r="G13" s="295">
        <f>+_xlfn.XLOOKUP($B13,LIST[ID],LIST[V/UNIT])</f>
        <v>1247734</v>
      </c>
      <c r="H13" s="284">
        <f t="shared" si="2"/>
        <v>33064951</v>
      </c>
      <c r="I13" s="2"/>
    </row>
    <row r="14" spans="2:9">
      <c r="B14" s="398" t="s">
        <v>668</v>
      </c>
      <c r="C14" s="276">
        <f t="shared" si="3"/>
        <v>2.0299999999999994</v>
      </c>
      <c r="D14" s="282" t="str">
        <f>+_xlfn.XLOOKUP($B14,LIST[ID],LIST[DESCRIPCIÓN])</f>
        <v>ACERO DE REFUERZO FIGURADO ƒ'y= 4200 GRADO 60 (PAVIMENTO)</v>
      </c>
      <c r="E14" s="283" t="str">
        <f>+_xlfn.XLOOKUP($B14,LIST[ID],LIST[UNIDAD])</f>
        <v>KG</v>
      </c>
      <c r="F14" s="278">
        <f>+_xlfn.XLOOKUP(TEXT(PTO!D14,0),'M. CANT.'!$D$4:$D$51,'M. CANT.'!$J$4:$J$51)</f>
        <v>360.3</v>
      </c>
      <c r="G14" s="295">
        <f>+_xlfn.XLOOKUP($B14,LIST[ID],LIST[V/UNIT])</f>
        <v>10979</v>
      </c>
      <c r="H14" s="284">
        <f t="shared" si="2"/>
        <v>3955733.7</v>
      </c>
      <c r="I14" s="2"/>
    </row>
    <row r="15" spans="2:9">
      <c r="B15" s="398" t="s">
        <v>670</v>
      </c>
      <c r="C15" s="276">
        <f t="shared" si="3"/>
        <v>2.0399999999999991</v>
      </c>
      <c r="D15" s="282" t="str">
        <f>+_xlfn.XLOOKUP($B15,LIST[ID],LIST[DESCRIPCIÓN])</f>
        <v xml:space="preserve">BORDILLO FUNDIDO EN SITIO DE 15X40 CM  EN CONCRETO 3000 PSI </v>
      </c>
      <c r="E15" s="283" t="str">
        <f>+_xlfn.XLOOKUP($B15,LIST[ID],LIST[UNIDAD])</f>
        <v>M</v>
      </c>
      <c r="F15" s="278">
        <f>+_xlfn.XLOOKUP(TEXT(PTO!D15,0),'M. CANT.'!$D$4:$D$51,'M. CANT.'!$J$4:$J$51)</f>
        <v>52.8</v>
      </c>
      <c r="G15" s="295">
        <f>+_xlfn.XLOOKUP($B15,LIST[ID],LIST[V/UNIT])</f>
        <v>129259</v>
      </c>
      <c r="H15" s="284">
        <f t="shared" ref="H15" si="4">ROUND(F15*G15,2)</f>
        <v>6824875.2000000002</v>
      </c>
      <c r="I15" s="2"/>
    </row>
    <row r="16" spans="2:9">
      <c r="B16" s="280"/>
      <c r="C16" s="280">
        <v>3</v>
      </c>
      <c r="D16" s="417" t="s">
        <v>704</v>
      </c>
      <c r="E16" s="281"/>
      <c r="F16" s="281"/>
      <c r="G16" s="281"/>
      <c r="H16" s="344">
        <f>+SUM(H17:H17)</f>
        <v>354288</v>
      </c>
      <c r="I16" s="2"/>
    </row>
    <row r="17" spans="2:9">
      <c r="B17" s="398" t="s">
        <v>705</v>
      </c>
      <c r="C17" s="276">
        <f>C16+0.01</f>
        <v>3.01</v>
      </c>
      <c r="D17" s="282" t="str">
        <f>+_xlfn.XLOOKUP($B17,LIST[ID],LIST[DESCRIPCIÓN])</f>
        <v>MANGUERA POLIURETANO DE ALTA PRESIÓN 1/2" RDE 9</v>
      </c>
      <c r="E17" s="283" t="str">
        <f>+_xlfn.XLOOKUP($B17,LIST[ID],LIST[UNIDAD])</f>
        <v>M</v>
      </c>
      <c r="F17" s="278">
        <f>+_xlfn.XLOOKUP(TEXT(PTO!D17,0),'M. CANT.'!$D$4:$D$60,'M. CANT.'!$J$4:$J$60)</f>
        <v>24</v>
      </c>
      <c r="G17" s="295">
        <f>+_xlfn.XLOOKUP($B17,LIST[ID],LIST[V/UNIT])</f>
        <v>14762</v>
      </c>
      <c r="H17" s="284">
        <f t="shared" ref="H17" si="5">ROUND(F17*G17,2)</f>
        <v>354288</v>
      </c>
      <c r="I17" s="2"/>
    </row>
    <row r="18" spans="2:9" ht="24" customHeight="1">
      <c r="B18" s="432"/>
      <c r="C18" s="450" t="s">
        <v>94</v>
      </c>
      <c r="D18" s="451"/>
      <c r="E18" s="451"/>
      <c r="F18" s="451"/>
      <c r="G18" s="452"/>
      <c r="H18" s="62">
        <f>+H11+H5+H16</f>
        <v>68140936.5</v>
      </c>
      <c r="I18" s="2"/>
    </row>
    <row r="19" spans="2:9">
      <c r="B19" s="433"/>
      <c r="C19" s="453" t="s">
        <v>61</v>
      </c>
      <c r="D19" s="454"/>
      <c r="E19" s="454"/>
      <c r="F19" s="455"/>
      <c r="G19" s="63">
        <v>0.26</v>
      </c>
      <c r="H19" s="64">
        <f>ROUND($H$18*G19,2)</f>
        <v>17716643.489999998</v>
      </c>
    </row>
    <row r="20" spans="2:9">
      <c r="B20" s="433"/>
      <c r="C20" s="453" t="s">
        <v>62</v>
      </c>
      <c r="D20" s="454"/>
      <c r="E20" s="454"/>
      <c r="F20" s="455"/>
      <c r="G20" s="63">
        <v>0.02</v>
      </c>
      <c r="H20" s="64">
        <f>ROUND($H$18*G20,2)</f>
        <v>1362818.73</v>
      </c>
    </row>
    <row r="21" spans="2:9">
      <c r="B21" s="433"/>
      <c r="C21" s="453" t="s">
        <v>63</v>
      </c>
      <c r="D21" s="454"/>
      <c r="E21" s="454"/>
      <c r="F21" s="455"/>
      <c r="G21" s="63">
        <v>0.04</v>
      </c>
      <c r="H21" s="64">
        <f>ROUND($H$18*G21,2)</f>
        <v>2725637.46</v>
      </c>
    </row>
    <row r="22" spans="2:9">
      <c r="B22" s="433"/>
      <c r="C22" s="453" t="s">
        <v>64</v>
      </c>
      <c r="D22" s="454"/>
      <c r="E22" s="454"/>
      <c r="F22" s="455"/>
      <c r="G22" s="63">
        <f>SUM(G19:G21)</f>
        <v>0.32</v>
      </c>
      <c r="H22" s="64">
        <f>SUM(H19:H21)</f>
        <v>21805099.68</v>
      </c>
      <c r="I22" s="109"/>
    </row>
    <row r="23" spans="2:9">
      <c r="B23" s="447" t="s">
        <v>65</v>
      </c>
      <c r="C23" s="448"/>
      <c r="D23" s="448"/>
      <c r="E23" s="448"/>
      <c r="F23" s="448"/>
      <c r="G23" s="449"/>
      <c r="H23" s="434">
        <f>ROUND(H22+H18,2)</f>
        <v>89946036.180000007</v>
      </c>
      <c r="I23" s="218"/>
    </row>
    <row r="24" spans="2:9">
      <c r="B24" s="435"/>
      <c r="C24" s="435"/>
      <c r="D24" s="437"/>
      <c r="E24" s="436"/>
      <c r="F24" s="436"/>
      <c r="G24" s="436"/>
      <c r="H24" s="438"/>
    </row>
    <row r="25" spans="2:9">
      <c r="B25" s="68"/>
      <c r="C25" s="68"/>
      <c r="D25" s="418"/>
      <c r="E25" s="69"/>
      <c r="F25" s="69"/>
      <c r="G25" s="69"/>
      <c r="H25" s="70"/>
    </row>
    <row r="26" spans="2:9">
      <c r="B26" s="68"/>
      <c r="C26" s="68"/>
      <c r="D26" s="418"/>
      <c r="E26" s="69"/>
      <c r="F26" s="69"/>
      <c r="G26" s="69"/>
      <c r="H26" s="70"/>
    </row>
    <row r="27" spans="2:9">
      <c r="B27" s="68"/>
      <c r="C27" s="68"/>
      <c r="D27" s="418"/>
      <c r="E27" s="69"/>
      <c r="F27" s="69"/>
      <c r="G27" s="69"/>
      <c r="H27" s="70"/>
    </row>
    <row r="28" spans="2:9">
      <c r="B28" s="68"/>
      <c r="C28" s="68"/>
      <c r="D28" s="418"/>
      <c r="E28" s="69"/>
      <c r="F28" s="69"/>
      <c r="G28" s="69"/>
      <c r="H28" s="70"/>
    </row>
    <row r="29" spans="2:9">
      <c r="B29" s="65"/>
      <c r="C29" s="65"/>
      <c r="D29" s="439" t="s">
        <v>66</v>
      </c>
      <c r="E29" s="445" t="s">
        <v>67</v>
      </c>
      <c r="F29" s="445"/>
      <c r="G29" s="445"/>
      <c r="H29" s="446"/>
    </row>
    <row r="30" spans="2:9">
      <c r="B30" s="65"/>
      <c r="C30" s="65"/>
      <c r="D30" s="441" t="s">
        <v>248</v>
      </c>
      <c r="E30" s="443" t="s">
        <v>264</v>
      </c>
      <c r="F30" s="443"/>
      <c r="G30" s="443"/>
      <c r="H30" s="444"/>
    </row>
    <row r="31" spans="2:9">
      <c r="B31" s="65"/>
      <c r="C31" s="65"/>
      <c r="D31" s="440" t="s">
        <v>247</v>
      </c>
      <c r="E31" s="445" t="s">
        <v>51</v>
      </c>
      <c r="F31" s="445"/>
      <c r="G31" s="445"/>
      <c r="H31" s="446"/>
    </row>
    <row r="32" spans="2:9">
      <c r="B32" s="66"/>
      <c r="C32" s="66"/>
      <c r="D32" s="67"/>
      <c r="E32" s="85"/>
      <c r="F32" s="85"/>
      <c r="G32" s="85"/>
      <c r="H32" s="86"/>
    </row>
  </sheetData>
  <mergeCells count="14">
    <mergeCell ref="E1:H1"/>
    <mergeCell ref="B2:H2"/>
    <mergeCell ref="D3:F3"/>
    <mergeCell ref="G3:H3"/>
    <mergeCell ref="B1:D1"/>
    <mergeCell ref="E30:H30"/>
    <mergeCell ref="E31:H31"/>
    <mergeCell ref="B23:G23"/>
    <mergeCell ref="E29:H29"/>
    <mergeCell ref="C18:G18"/>
    <mergeCell ref="C19:F19"/>
    <mergeCell ref="C20:F20"/>
    <mergeCell ref="C21:F21"/>
    <mergeCell ref="C22:F22"/>
  </mergeCells>
  <phoneticPr fontId="8" type="noConversion"/>
  <hyperlinks>
    <hyperlink ref="B12" location="'CMR-004'!A1" display="CMR-004" xr:uid="{677D115E-9C71-4BD9-A74D-B0D91BE462B2}"/>
    <hyperlink ref="B13" location="'PTA-011'!A1" display="PTA-011" xr:uid="{9EA603B6-C85B-426B-BF69-605C5E260783}"/>
    <hyperlink ref="B17" location="'CMR-004'!A1" display="CMR-004" xr:uid="{B56E797E-1FA2-40EB-B079-CDF50EEDBA5A}"/>
  </hyperlinks>
  <pageMargins left="0.7" right="0.7" top="0.75" bottom="0.75" header="0.3" footer="0.3"/>
  <pageSetup scale="5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0412-A3CA-4F28-825D-674D2956C0D3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8" ht="14.4" customHeight="1">
      <c r="A10" s="556" t="s">
        <v>4</v>
      </c>
      <c r="B10" s="556"/>
      <c r="C10" s="556"/>
      <c r="D10" s="557" t="s">
        <v>649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573</v>
      </c>
      <c r="B15" s="560"/>
      <c r="C15" s="560"/>
      <c r="D15" s="561"/>
      <c r="E15" s="60" t="str">
        <f>IF($A15=0,0,VLOOKUP($A15,INS!$A$2:$E$137,2,FALSE))</f>
        <v>M</v>
      </c>
      <c r="F15" s="120">
        <v>1</v>
      </c>
      <c r="G15" s="60">
        <f>IF($A15=0,0,_xlfn.XLOOKUP($A15,INS[DESCRIPCIÓN],INS[PROMEDIO]))</f>
        <v>200000</v>
      </c>
      <c r="H15" s="25">
        <f t="shared" ref="H15:H21" si="0">+F15*G15</f>
        <v>200000</v>
      </c>
    </row>
    <row r="16" spans="1:8">
      <c r="A16" s="553" t="s">
        <v>535</v>
      </c>
      <c r="B16" s="554"/>
      <c r="C16" s="554"/>
      <c r="D16" s="555"/>
      <c r="E16" s="60" t="str">
        <f>IF($A16=0,0,VLOOKUP($A16,INS!$A$2:$E$137,2,FALSE))</f>
        <v>UND</v>
      </c>
      <c r="F16" s="120">
        <v>6</v>
      </c>
      <c r="G16" s="60">
        <f>IF($A16=0,0,VLOOKUP($A16,INS!$A$2:$G$137,6,FALSE))</f>
        <v>3500</v>
      </c>
      <c r="H16" s="25">
        <f t="shared" si="0"/>
        <v>21000</v>
      </c>
    </row>
    <row r="17" spans="1:8" ht="17.399999999999999" customHeight="1">
      <c r="A17" s="559" t="s">
        <v>587</v>
      </c>
      <c r="B17" s="560"/>
      <c r="C17" s="560"/>
      <c r="D17" s="561"/>
      <c r="E17" s="149" t="str">
        <f>IF($A17=0,0,VLOOKUP($A17,INS!$A$2:$E$137,2,FALSE))</f>
        <v>GLN</v>
      </c>
      <c r="F17" s="120">
        <v>0.1</v>
      </c>
      <c r="G17" s="60">
        <f>IF($A17=0,0,VLOOKUP($A17,INS!$A$2:$G$137,6,FALSE))</f>
        <v>136900</v>
      </c>
      <c r="H17" s="25">
        <f t="shared" si="0"/>
        <v>13690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53958.333333333336</v>
      </c>
      <c r="H22" s="25">
        <f>F22*G22</f>
        <v>2697.916666666667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237387.91666666666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523</v>
      </c>
      <c r="B27" s="565"/>
      <c r="C27" s="565"/>
      <c r="D27" s="61"/>
      <c r="E27" s="19"/>
      <c r="F27" s="60">
        <f>IF($A27=0,0,VLOOKUP($A27,EQUI!$A$2:$E$20,3,FALSE))</f>
        <v>55000</v>
      </c>
      <c r="G27" s="120">
        <f>+IF($A27=0,0,VLOOKUP($A27,EQUI!$A$2:$E$20,5,FALSE))</f>
        <v>0.01</v>
      </c>
      <c r="H27" s="25">
        <f>F27*G27</f>
        <v>550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550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29166.666666666668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53958.333333333336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291896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B86A99D-0596-49F8-A0AA-6AA210F88D08}">
          <x14:formula1>
            <xm:f>EQUI!$A$2:$A$38</xm:f>
          </x14:formula1>
          <xm:sqref>A27:C28</xm:sqref>
        </x14:dataValidation>
        <x14:dataValidation type="list" showInputMessage="1" showErrorMessage="1" xr:uid="{807E03E2-56D0-449A-AF72-F7E751BE82A9}">
          <x14:formula1>
            <xm:f>TRANS!$A$2:$A$20</xm:f>
          </x14:formula1>
          <xm:sqref>A35:C35</xm:sqref>
        </x14:dataValidation>
        <x14:dataValidation type="list" showInputMessage="1" showErrorMessage="1" xr:uid="{EF5CCF88-FC5B-46AA-95B3-BA901D86F0C4}">
          <x14:formula1>
            <xm:f>INS!$A$2:$A$137</xm:f>
          </x14:formula1>
          <xm:sqref>A15:D21</xm:sqref>
        </x14:dataValidation>
        <x14:dataValidation type="list" showInputMessage="1" showErrorMessage="1" xr:uid="{41FEC957-71F9-4DC2-9A48-740CB548D73B}">
          <x14:formula1>
            <xm:f>LIST!$B$3:$B$160</xm:f>
          </x14:formula1>
          <xm:sqref>D10:H11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BE62-1174-4A8F-A17D-EFC61112CB7E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8" ht="14.4" customHeight="1">
      <c r="A10" s="556" t="s">
        <v>4</v>
      </c>
      <c r="B10" s="556"/>
      <c r="C10" s="556"/>
      <c r="D10" s="557" t="s">
        <v>654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646</v>
      </c>
      <c r="B15" s="560"/>
      <c r="C15" s="560"/>
      <c r="D15" s="561"/>
      <c r="E15" s="60" t="str">
        <f>IF($A15=0,0,VLOOKUP($A15,INS!$A$2:$E$137,2,FALSE))</f>
        <v>UND</v>
      </c>
      <c r="F15" s="120">
        <v>1.3</v>
      </c>
      <c r="G15" s="60">
        <f>IF($A15=0,0,_xlfn.XLOOKUP($A15,INS[DESCRIPCIÓN],INS[PROMEDIO]))</f>
        <v>699900</v>
      </c>
      <c r="H15" s="25">
        <f t="shared" ref="H15:H21" si="0">+F15*G15</f>
        <v>909870</v>
      </c>
    </row>
    <row r="16" spans="1:8">
      <c r="A16" s="553" t="s">
        <v>535</v>
      </c>
      <c r="B16" s="554"/>
      <c r="C16" s="554"/>
      <c r="D16" s="555"/>
      <c r="E16" s="60" t="str">
        <f>IF($A16=0,0,VLOOKUP($A16,INS!$A$2:$E$137,2,FALSE))</f>
        <v>UND</v>
      </c>
      <c r="F16" s="120">
        <v>6</v>
      </c>
      <c r="G16" s="60">
        <f>IF($A16=0,0,VLOOKUP($A16,INS!$A$2:$G$137,6,FALSE))</f>
        <v>3500</v>
      </c>
      <c r="H16" s="25">
        <f t="shared" si="0"/>
        <v>21000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53958.333333333336</v>
      </c>
      <c r="H22" s="25">
        <f>F22*G22</f>
        <v>2697.916666666667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933567.91666666663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1.3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29166.666666666668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53958.333333333336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987526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394DD087-197F-4F4F-BEED-822B1982D202}">
          <x14:formula1>
            <xm:f>TRANS!$A$2:$A$20</xm:f>
          </x14:formula1>
          <xm:sqref>A35:C35</xm:sqref>
        </x14:dataValidation>
        <x14:dataValidation type="list" allowBlank="1" showInputMessage="1" showErrorMessage="1" xr:uid="{8D17B7DE-7813-4FC0-AA54-C3EB2C0B9062}">
          <x14:formula1>
            <xm:f>EQUI!$A$2:$A$38</xm:f>
          </x14:formula1>
          <xm:sqref>A27:C28</xm:sqref>
        </x14:dataValidation>
        <x14:dataValidation type="list" showInputMessage="1" showErrorMessage="1" xr:uid="{8FCAFFF8-C91F-4362-94B9-B3682CAD30CB}">
          <x14:formula1>
            <xm:f>INS!$A$2:$A$137</xm:f>
          </x14:formula1>
          <xm:sqref>A15:D21</xm:sqref>
        </x14:dataValidation>
        <x14:dataValidation type="list" showInputMessage="1" showErrorMessage="1" xr:uid="{E743FBB2-47A2-4302-8F92-6E8A0DBEE7DD}">
          <x14:formula1>
            <xm:f>LIST!$B$3:$B$160</xm:f>
          </x14:formula1>
          <xm:sqref>D10:H11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827BC-D8A9-424D-AB59-0CAFA5C48B30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 ht="14.4" customHeight="1">
      <c r="A10" s="556" t="s">
        <v>4</v>
      </c>
      <c r="B10" s="556"/>
      <c r="C10" s="556"/>
      <c r="D10" s="557" t="s">
        <v>641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634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2374289</v>
      </c>
      <c r="H15" s="25">
        <f t="shared" ref="H15:H21" si="0">+F15*G15</f>
        <v>2374289</v>
      </c>
    </row>
    <row r="16" spans="1:8">
      <c r="A16" s="553" t="s">
        <v>475</v>
      </c>
      <c r="B16" s="554"/>
      <c r="C16" s="554"/>
      <c r="D16" s="555"/>
      <c r="E16" s="60" t="str">
        <f>IF($A16=0,0,VLOOKUP($A16,INS!$A$2:$E$137,2,FALSE))</f>
        <v>M3</v>
      </c>
      <c r="F16" s="120">
        <f>0.6*0.6*0.8</f>
        <v>0.28799999999999998</v>
      </c>
      <c r="G16" s="60">
        <f>IF($A16=0,0,VLOOKUP($A16,INS!$A$2:$G$137,6,FALSE))</f>
        <v>1111084</v>
      </c>
      <c r="H16" s="25">
        <f t="shared" si="0"/>
        <v>319992.19199999998</v>
      </c>
    </row>
    <row r="17" spans="1:8" ht="17.399999999999999" customHeight="1">
      <c r="A17" s="559" t="s">
        <v>535</v>
      </c>
      <c r="B17" s="560"/>
      <c r="C17" s="560"/>
      <c r="D17" s="561"/>
      <c r="E17" s="149" t="str">
        <f>IF($A17=0,0,VLOOKUP($A17,INS!$A$2:$E$137,2,FALSE))</f>
        <v>UND</v>
      </c>
      <c r="F17" s="120">
        <v>6</v>
      </c>
      <c r="G17" s="60">
        <f>IF($A17=0,0,VLOOKUP($A17,INS!$A$2:$G$137,6,FALSE))</f>
        <v>3500</v>
      </c>
      <c r="H17" s="25">
        <f t="shared" si="0"/>
        <v>21000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323750</v>
      </c>
      <c r="H22" s="25">
        <f>F22*G22</f>
        <v>16187.5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2731468.6919999998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563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1700</v>
      </c>
      <c r="H35" s="25">
        <f>+E35*F35*G35*D35</f>
        <v>331500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331500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3" s="49">
        <f>F43*G43</f>
        <v>148750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4" s="49">
        <f t="shared" ref="H44:H45" si="1">F44*G44</f>
        <v>175000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323750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3386719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EBC3207-D351-4F8B-A41D-76871D1C9D30}">
          <x14:formula1>
            <xm:f>EQUI!$A$2:$A$38</xm:f>
          </x14:formula1>
          <xm:sqref>A27:C28</xm:sqref>
        </x14:dataValidation>
        <x14:dataValidation type="list" showInputMessage="1" showErrorMessage="1" xr:uid="{0FF21336-BF7A-4729-87F7-5E30E6FA4D0B}">
          <x14:formula1>
            <xm:f>TRANS!$A$2:$A$20</xm:f>
          </x14:formula1>
          <xm:sqref>A35:C35</xm:sqref>
        </x14:dataValidation>
        <x14:dataValidation type="list" showInputMessage="1" showErrorMessage="1" xr:uid="{C6EE5FF0-C52E-4730-9FE3-6EAE972B337E}">
          <x14:formula1>
            <xm:f>INS!$A$2:$A$137</xm:f>
          </x14:formula1>
          <xm:sqref>A15:D21</xm:sqref>
        </x14:dataValidation>
        <x14:dataValidation type="list" showInputMessage="1" showErrorMessage="1" xr:uid="{BA72CA0D-F809-493F-A602-C048C1712797}">
          <x14:formula1>
            <xm:f>LIST!$B$3:$B$160</xm:f>
          </x14:formula1>
          <xm:sqref>D10:H11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82C88-B0D8-4665-B0E7-457139CA4728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 ht="14.4" customHeight="1">
      <c r="A10" s="556" t="s">
        <v>4</v>
      </c>
      <c r="B10" s="556"/>
      <c r="C10" s="556"/>
      <c r="D10" s="557" t="s">
        <v>640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633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3495864</v>
      </c>
      <c r="H15" s="25">
        <f t="shared" ref="H15:H21" si="0">+F15*G15</f>
        <v>3495864</v>
      </c>
    </row>
    <row r="16" spans="1:8">
      <c r="A16" s="553" t="s">
        <v>475</v>
      </c>
      <c r="B16" s="554"/>
      <c r="C16" s="554"/>
      <c r="D16" s="555"/>
      <c r="E16" s="60" t="str">
        <f>IF($A16=0,0,VLOOKUP($A16,INS!$A$2:$E$137,2,FALSE))</f>
        <v>M3</v>
      </c>
      <c r="F16" s="120">
        <f>0.6*0.6*0.8</f>
        <v>0.28799999999999998</v>
      </c>
      <c r="G16" s="60">
        <f>IF($A16=0,0,VLOOKUP($A16,INS!$A$2:$G$137,6,FALSE))</f>
        <v>1111084</v>
      </c>
      <c r="H16" s="25">
        <f t="shared" si="0"/>
        <v>319992.19199999998</v>
      </c>
    </row>
    <row r="17" spans="1:8" ht="17.399999999999999" customHeight="1">
      <c r="A17" s="559" t="s">
        <v>535</v>
      </c>
      <c r="B17" s="560"/>
      <c r="C17" s="560"/>
      <c r="D17" s="561"/>
      <c r="E17" s="149" t="str">
        <f>IF($A17=0,0,VLOOKUP($A17,INS!$A$2:$E$137,2,FALSE))</f>
        <v>UND</v>
      </c>
      <c r="F17" s="120">
        <v>6</v>
      </c>
      <c r="G17" s="60">
        <f>IF($A17=0,0,VLOOKUP($A17,INS!$A$2:$G$137,6,FALSE))</f>
        <v>3500</v>
      </c>
      <c r="H17" s="25">
        <f t="shared" si="0"/>
        <v>21000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323750</v>
      </c>
      <c r="H22" s="25">
        <f>F22*G22</f>
        <v>16187.5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3853043.6919999998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563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1700</v>
      </c>
      <c r="H35" s="25">
        <f>+E35*F35*G35*D35</f>
        <v>331500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331500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3" s="49">
        <f>F43*G43</f>
        <v>148750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4" s="49">
        <f t="shared" ref="H44:H45" si="1">F44*G44</f>
        <v>175000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323750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4508294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2C9BE6ED-F4DC-4E1D-B5C4-F4EC2822D57A}">
          <x14:formula1>
            <xm:f>TRANS!$A$2:$A$20</xm:f>
          </x14:formula1>
          <xm:sqref>A35:C35</xm:sqref>
        </x14:dataValidation>
        <x14:dataValidation type="list" allowBlank="1" showInputMessage="1" showErrorMessage="1" xr:uid="{0455AE5C-0192-4E73-AB4A-0124CD806272}">
          <x14:formula1>
            <xm:f>EQUI!$A$2:$A$38</xm:f>
          </x14:formula1>
          <xm:sqref>A27:C28</xm:sqref>
        </x14:dataValidation>
        <x14:dataValidation type="list" showInputMessage="1" showErrorMessage="1" xr:uid="{7E8AF9A9-8FB8-467B-A1D3-7360F3546869}">
          <x14:formula1>
            <xm:f>INS!$A$2:$A$137</xm:f>
          </x14:formula1>
          <xm:sqref>A15:D21</xm:sqref>
        </x14:dataValidation>
        <x14:dataValidation type="list" showInputMessage="1" showErrorMessage="1" xr:uid="{C45FC6B8-6966-4BDD-A4ED-528D4A54D074}">
          <x14:formula1>
            <xm:f>LIST!$B$3:$B$160</xm:f>
          </x14:formula1>
          <xm:sqref>D10:H11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8231A-C2F5-4A85-BDFC-12EDC7337C41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 ht="14.4" customHeight="1">
      <c r="A10" s="556" t="s">
        <v>4</v>
      </c>
      <c r="B10" s="556"/>
      <c r="C10" s="556"/>
      <c r="D10" s="557" t="s">
        <v>639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632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3318317</v>
      </c>
      <c r="H15" s="25">
        <f t="shared" ref="H15:H21" si="0">+F15*G15</f>
        <v>3318317</v>
      </c>
    </row>
    <row r="16" spans="1:8">
      <c r="A16" s="553" t="s">
        <v>475</v>
      </c>
      <c r="B16" s="554"/>
      <c r="C16" s="554"/>
      <c r="D16" s="555"/>
      <c r="E16" s="60" t="str">
        <f>IF($A16=0,0,VLOOKUP($A16,INS!$A$2:$E$137,2,FALSE))</f>
        <v>M3</v>
      </c>
      <c r="F16" s="120">
        <f>0.6*0.6*0.8</f>
        <v>0.28799999999999998</v>
      </c>
      <c r="G16" s="60">
        <f>IF($A16=0,0,VLOOKUP($A16,INS!$A$2:$G$137,6,FALSE))</f>
        <v>1111084</v>
      </c>
      <c r="H16" s="25">
        <f t="shared" si="0"/>
        <v>319992.19199999998</v>
      </c>
    </row>
    <row r="17" spans="1:8" ht="17.399999999999999" customHeight="1">
      <c r="A17" s="559" t="s">
        <v>535</v>
      </c>
      <c r="B17" s="560"/>
      <c r="C17" s="560"/>
      <c r="D17" s="561"/>
      <c r="E17" s="149" t="str">
        <f>IF($A17=0,0,VLOOKUP($A17,INS!$A$2:$E$137,2,FALSE))</f>
        <v>UND</v>
      </c>
      <c r="F17" s="120">
        <v>6</v>
      </c>
      <c r="G17" s="60">
        <f>IF($A17=0,0,VLOOKUP($A17,INS!$A$2:$G$137,6,FALSE))</f>
        <v>3500</v>
      </c>
      <c r="H17" s="25">
        <f t="shared" si="0"/>
        <v>21000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323750</v>
      </c>
      <c r="H22" s="25">
        <f>F22*G22</f>
        <v>16187.5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3675496.6919999998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563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1700</v>
      </c>
      <c r="H35" s="25">
        <f>+E35*F35*G35*D35</f>
        <v>331500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331500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3" s="49">
        <f>F43*G43</f>
        <v>148750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4" s="49">
        <f t="shared" ref="H44:H45" si="1">F44*G44</f>
        <v>175000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323750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4330747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8BF84C3-8F06-4D82-BD4E-38D43A5D13C6}">
          <x14:formula1>
            <xm:f>EQUI!$A$2:$A$38</xm:f>
          </x14:formula1>
          <xm:sqref>A27:C28</xm:sqref>
        </x14:dataValidation>
        <x14:dataValidation type="list" showInputMessage="1" showErrorMessage="1" xr:uid="{DC3B65AC-490A-4344-91F6-E185EB06B155}">
          <x14:formula1>
            <xm:f>TRANS!$A$2:$A$20</xm:f>
          </x14:formula1>
          <xm:sqref>A35:C35</xm:sqref>
        </x14:dataValidation>
        <x14:dataValidation type="list" showInputMessage="1" showErrorMessage="1" xr:uid="{0B679D83-8774-4B30-AD48-2551E558B6A5}">
          <x14:formula1>
            <xm:f>INS!$A$2:$A$137</xm:f>
          </x14:formula1>
          <xm:sqref>A15:D21</xm:sqref>
        </x14:dataValidation>
        <x14:dataValidation type="list" showInputMessage="1" showErrorMessage="1" xr:uid="{5F5F341A-9262-4208-8D36-B9F61969CBC3}">
          <x14:formula1>
            <xm:f>LIST!$B$3:$B$160</xm:f>
          </x14:formula1>
          <xm:sqref>D10:H11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D6D30-71A7-4F90-B6BE-74FAA6413BC4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+VLOOKUP($D$10,LIST!B3:C121,2,FALSE)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638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631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4206652</v>
      </c>
      <c r="H15" s="25">
        <f t="shared" ref="H15:H21" si="0">+F15*G15</f>
        <v>4206652</v>
      </c>
    </row>
    <row r="16" spans="1:8">
      <c r="A16" s="553" t="s">
        <v>475</v>
      </c>
      <c r="B16" s="554"/>
      <c r="C16" s="554"/>
      <c r="D16" s="555"/>
      <c r="E16" s="60" t="str">
        <f>IF($A16=0,0,VLOOKUP($A16,INS!$A$2:$E$137,2,FALSE))</f>
        <v>M3</v>
      </c>
      <c r="F16" s="120">
        <f>0.6*0.6*0.8</f>
        <v>0.28799999999999998</v>
      </c>
      <c r="G16" s="60">
        <f>IF($A16=0,0,VLOOKUP($A16,INS!$A$2:$G$137,6,FALSE))</f>
        <v>1111084</v>
      </c>
      <c r="H16" s="25">
        <f t="shared" si="0"/>
        <v>319992.19199999998</v>
      </c>
    </row>
    <row r="17" spans="1:8" ht="17.399999999999999" customHeight="1">
      <c r="A17" s="559" t="s">
        <v>535</v>
      </c>
      <c r="B17" s="560"/>
      <c r="C17" s="560"/>
      <c r="D17" s="561"/>
      <c r="E17" s="149" t="str">
        <f>IF($A17=0,0,VLOOKUP($A17,INS!$A$2:$E$137,2,FALSE))</f>
        <v>UND</v>
      </c>
      <c r="F17" s="120">
        <v>6</v>
      </c>
      <c r="G17" s="60">
        <f>IF($A17=0,0,VLOOKUP($A17,INS!$A$2:$G$137,6,FALSE))</f>
        <v>3500</v>
      </c>
      <c r="H17" s="25">
        <f t="shared" si="0"/>
        <v>21000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323750</v>
      </c>
      <c r="H22" s="25">
        <f>F22*G22</f>
        <v>16187.5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4563831.6919999998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563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1700</v>
      </c>
      <c r="H35" s="25">
        <f>+E35*F35*G35*D35</f>
        <v>331500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331500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3" s="49">
        <f>F43*G43</f>
        <v>148750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4" s="49">
        <f t="shared" ref="H44:H45" si="1">F44*G44</f>
        <v>175000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323750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5219082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47475A69-8A29-4F6D-BCF2-59E6C07BCCE9}">
          <x14:formula1>
            <xm:f>TRANS!$A$2:$A$20</xm:f>
          </x14:formula1>
          <xm:sqref>A35:C35</xm:sqref>
        </x14:dataValidation>
        <x14:dataValidation type="list" allowBlank="1" showInputMessage="1" showErrorMessage="1" xr:uid="{BBE44E0F-9528-425F-81A2-6087BFDEE377}">
          <x14:formula1>
            <xm:f>EQUI!$A$2:$A$38</xm:f>
          </x14:formula1>
          <xm:sqref>A27:C28</xm:sqref>
        </x14:dataValidation>
        <x14:dataValidation type="list" showInputMessage="1" showErrorMessage="1" xr:uid="{820FA1E9-AC44-4E48-947A-8D88E10861B1}">
          <x14:formula1>
            <xm:f>INS!$A$2:$A$137</xm:f>
          </x14:formula1>
          <xm:sqref>A15:D21</xm:sqref>
        </x14:dataValidation>
        <x14:dataValidation type="list" showInputMessage="1" showErrorMessage="1" xr:uid="{74F3F67F-F2B6-40DA-98D5-B0D5209D3594}">
          <x14:formula1>
            <xm:f>LIST!$B$3:$B$160</xm:f>
          </x14:formula1>
          <xm:sqref>D10:H11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6A721-84CC-4F22-A9F4-5F494ACDD257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+VLOOKUP($D$10,LIST!B3:C121,2,FALSE)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637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630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3303679</v>
      </c>
      <c r="H15" s="25">
        <f t="shared" ref="H15:H21" si="0">+F15*G15</f>
        <v>3303679</v>
      </c>
    </row>
    <row r="16" spans="1:8">
      <c r="A16" s="553" t="s">
        <v>475</v>
      </c>
      <c r="B16" s="554"/>
      <c r="C16" s="554"/>
      <c r="D16" s="555"/>
      <c r="E16" s="60" t="str">
        <f>IF($A16=0,0,VLOOKUP($A16,INS!$A$2:$E$137,2,FALSE))</f>
        <v>M3</v>
      </c>
      <c r="F16" s="120">
        <f>0.6*0.6*0.8</f>
        <v>0.28799999999999998</v>
      </c>
      <c r="G16" s="60">
        <f>IF($A16=0,0,VLOOKUP($A16,INS!$A$2:$G$137,6,FALSE))</f>
        <v>1111084</v>
      </c>
      <c r="H16" s="25">
        <f t="shared" si="0"/>
        <v>319992.19199999998</v>
      </c>
    </row>
    <row r="17" spans="1:8" ht="17.399999999999999" customHeight="1">
      <c r="A17" s="559" t="s">
        <v>535</v>
      </c>
      <c r="B17" s="560"/>
      <c r="C17" s="560"/>
      <c r="D17" s="561"/>
      <c r="E17" s="149" t="str">
        <f>IF($A17=0,0,VLOOKUP($A17,INS!$A$2:$E$137,2,FALSE))</f>
        <v>UND</v>
      </c>
      <c r="F17" s="120">
        <v>6</v>
      </c>
      <c r="G17" s="60">
        <f>IF($A17=0,0,VLOOKUP($A17,INS!$A$2:$G$137,6,FALSE))</f>
        <v>3500</v>
      </c>
      <c r="H17" s="25">
        <f t="shared" si="0"/>
        <v>21000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323750</v>
      </c>
      <c r="H22" s="25">
        <f>F22*G22</f>
        <v>16187.5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3660858.6919999998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563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1700</v>
      </c>
      <c r="H35" s="25">
        <f>+E35*F35*G35*D35</f>
        <v>331500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331500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3" s="49">
        <f>F43*G43</f>
        <v>148750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4" s="49">
        <f t="shared" ref="H44:H45" si="1">F44*G44</f>
        <v>175000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323750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4316109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2C5E517-53C5-4D9E-BDFF-2B85E8523FC6}">
          <x14:formula1>
            <xm:f>EQUI!$A$2:$A$38</xm:f>
          </x14:formula1>
          <xm:sqref>A27:C28</xm:sqref>
        </x14:dataValidation>
        <x14:dataValidation type="list" showInputMessage="1" showErrorMessage="1" xr:uid="{4F7B83D6-E1CF-4E0D-BDA8-F142A6A44DBE}">
          <x14:formula1>
            <xm:f>TRANS!$A$2:$A$20</xm:f>
          </x14:formula1>
          <xm:sqref>A35:C35</xm:sqref>
        </x14:dataValidation>
        <x14:dataValidation type="list" showInputMessage="1" showErrorMessage="1" xr:uid="{9761C7C4-5A1C-4E6E-82A5-78845BEBFB1B}">
          <x14:formula1>
            <xm:f>INS!$A$2:$A$137</xm:f>
          </x14:formula1>
          <xm:sqref>A15:D21</xm:sqref>
        </x14:dataValidation>
        <x14:dataValidation type="list" showInputMessage="1" showErrorMessage="1" xr:uid="{BAF2B2CB-8756-47A1-968A-0F0A2E74EB39}">
          <x14:formula1>
            <xm:f>LIST!$B$3:$B$120</xm:f>
          </x14:formula1>
          <xm:sqref>D10:H11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C918E-B422-4B12-AE77-33FEAFA07B37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+VLOOKUP($D$10,LIST!B3:C121,2,FALSE)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636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629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3439697</v>
      </c>
      <c r="H15" s="25">
        <f t="shared" ref="H15:H21" si="0">+F15*G15</f>
        <v>3439697</v>
      </c>
    </row>
    <row r="16" spans="1:8">
      <c r="A16" s="553" t="s">
        <v>475</v>
      </c>
      <c r="B16" s="554"/>
      <c r="C16" s="554"/>
      <c r="D16" s="555"/>
      <c r="E16" s="60" t="str">
        <f>IF($A16=0,0,VLOOKUP($A16,INS!$A$2:$E$137,2,FALSE))</f>
        <v>M3</v>
      </c>
      <c r="F16" s="120">
        <f>0.6*0.6*0.8</f>
        <v>0.28799999999999998</v>
      </c>
      <c r="G16" s="60">
        <f>IF($A16=0,0,VLOOKUP($A16,INS!$A$2:$G$137,6,FALSE))</f>
        <v>1111084</v>
      </c>
      <c r="H16" s="25">
        <f t="shared" si="0"/>
        <v>319992.19199999998</v>
      </c>
    </row>
    <row r="17" spans="1:8" ht="17.399999999999999" customHeight="1">
      <c r="A17" s="559" t="s">
        <v>535</v>
      </c>
      <c r="B17" s="560"/>
      <c r="C17" s="560"/>
      <c r="D17" s="561"/>
      <c r="E17" s="149" t="str">
        <f>IF($A17=0,0,VLOOKUP($A17,INS!$A$2:$E$137,2,FALSE))</f>
        <v>UND</v>
      </c>
      <c r="F17" s="120">
        <v>6</v>
      </c>
      <c r="G17" s="60">
        <f>IF($A17=0,0,VLOOKUP($A17,INS!$A$2:$G$137,6,FALSE))</f>
        <v>3500</v>
      </c>
      <c r="H17" s="25">
        <f t="shared" si="0"/>
        <v>21000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323750</v>
      </c>
      <c r="H22" s="25">
        <f>F22*G22</f>
        <v>16187.5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3796876.6919999998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563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1700</v>
      </c>
      <c r="H35" s="25">
        <f>+E35*F35*G35*D35</f>
        <v>331500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331500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3" s="49">
        <f>F43*G43</f>
        <v>148750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4" s="49">
        <f t="shared" ref="H44:H45" si="1">F44*G44</f>
        <v>175000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323750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4452127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11601C01-7CEE-4BD1-8159-917BCF352A76}">
          <x14:formula1>
            <xm:f>TRANS!$A$2:$A$20</xm:f>
          </x14:formula1>
          <xm:sqref>A35:C35</xm:sqref>
        </x14:dataValidation>
        <x14:dataValidation type="list" allowBlank="1" showInputMessage="1" showErrorMessage="1" xr:uid="{8724E2E3-F777-45A7-8FAF-3822F9A0D5DC}">
          <x14:formula1>
            <xm:f>EQUI!$A$2:$A$38</xm:f>
          </x14:formula1>
          <xm:sqref>A27:C28</xm:sqref>
        </x14:dataValidation>
        <x14:dataValidation type="list" showInputMessage="1" showErrorMessage="1" xr:uid="{B9A1B127-9515-406E-AD72-E3F4625DF41F}">
          <x14:formula1>
            <xm:f>INS!$A$2:$A$137</xm:f>
          </x14:formula1>
          <xm:sqref>A15:D21</xm:sqref>
        </x14:dataValidation>
        <x14:dataValidation type="list" showInputMessage="1" showErrorMessage="1" xr:uid="{D53D1643-00C2-4BBB-AF4F-A96BA231D4E4}">
          <x14:formula1>
            <xm:f>LIST!$B$3:$B$120</xm:f>
          </x14:formula1>
          <xm:sqref>D10:H11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827EE-1D21-4EAA-AAC0-A6061B238293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+VLOOKUP($D$10,LIST!B3:C121,2,FALSE)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635</v>
      </c>
      <c r="E10" s="557"/>
      <c r="F10" s="557"/>
      <c r="G10" s="557"/>
      <c r="H10" s="557"/>
    </row>
    <row r="11" spans="1:8" ht="23.4" customHeight="1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571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3891302</v>
      </c>
      <c r="H15" s="25">
        <f t="shared" ref="H15:H21" si="0">+F15*G15</f>
        <v>3891302</v>
      </c>
    </row>
    <row r="16" spans="1:8">
      <c r="A16" s="553" t="s">
        <v>475</v>
      </c>
      <c r="B16" s="554"/>
      <c r="C16" s="554"/>
      <c r="D16" s="555"/>
      <c r="E16" s="60" t="str">
        <f>IF($A16=0,0,VLOOKUP($A16,INS!$A$2:$E$137,2,FALSE))</f>
        <v>M3</v>
      </c>
      <c r="F16" s="120">
        <f>0.6*0.6*0.8</f>
        <v>0.28799999999999998</v>
      </c>
      <c r="G16" s="60">
        <f>IF($A16=0,0,VLOOKUP($A16,INS!$A$2:$G$137,6,FALSE))</f>
        <v>1111084</v>
      </c>
      <c r="H16" s="25">
        <f t="shared" si="0"/>
        <v>319992.19199999998</v>
      </c>
    </row>
    <row r="17" spans="1:8" ht="17.399999999999999" customHeight="1">
      <c r="A17" s="559" t="s">
        <v>535</v>
      </c>
      <c r="B17" s="560"/>
      <c r="C17" s="560"/>
      <c r="D17" s="561"/>
      <c r="E17" s="149" t="str">
        <f>IF($A17=0,0,VLOOKUP($A17,INS!$A$2:$E$137,2,FALSE))</f>
        <v>UND</v>
      </c>
      <c r="F17" s="120">
        <v>6</v>
      </c>
      <c r="G17" s="60">
        <f>IF($A17=0,0,VLOOKUP($A17,INS!$A$2:$G$137,6,FALSE))</f>
        <v>3500</v>
      </c>
      <c r="H17" s="25">
        <f t="shared" si="0"/>
        <v>21000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323750</v>
      </c>
      <c r="H22" s="25">
        <f>F22*G22</f>
        <v>16187.5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4248481.6919999998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563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1700</v>
      </c>
      <c r="H35" s="25">
        <f>+E35*F35*G35*D35</f>
        <v>331500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331500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3" s="49">
        <f>F43*G43</f>
        <v>148750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6</v>
      </c>
      <c r="H44" s="49">
        <f t="shared" ref="H44:H45" si="1">F44*G44</f>
        <v>175000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323750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4903732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656D341-4107-401D-945D-F654FA464C5B}">
          <x14:formula1>
            <xm:f>EQUI!$A$2:$A$38</xm:f>
          </x14:formula1>
          <xm:sqref>A27:C28</xm:sqref>
        </x14:dataValidation>
        <x14:dataValidation type="list" showInputMessage="1" showErrorMessage="1" xr:uid="{9AFBC0BD-0217-4370-88CB-6EECC960312E}">
          <x14:formula1>
            <xm:f>TRANS!$A$2:$A$20</xm:f>
          </x14:formula1>
          <xm:sqref>A35:C35</xm:sqref>
        </x14:dataValidation>
        <x14:dataValidation type="list" showInputMessage="1" showErrorMessage="1" xr:uid="{CA19645C-D6FE-4A0D-B27E-AE0389F3B4B9}">
          <x14:formula1>
            <xm:f>INS!$A$2:$A$137</xm:f>
          </x14:formula1>
          <xm:sqref>A15:D21</xm:sqref>
        </x14:dataValidation>
        <x14:dataValidation type="list" showInputMessage="1" showErrorMessage="1" xr:uid="{19C6ED57-3278-4B0D-A2B1-AF76954A2493}">
          <x14:formula1>
            <xm:f>LIST!$B$3:$B$120</xm:f>
          </x14:formula1>
          <xm:sqref>D10:H11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A9A80-CA8A-489D-868C-E7B3BB1CC4B3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e">
        <f>+VLOOKUP($D$10,LIST!B3:C80,2,FALSE)</f>
        <v>#N/A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544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544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20825000</v>
      </c>
      <c r="H15" s="25">
        <f t="shared" ref="H15:H21" si="0">+F15*G15</f>
        <v>20825000</v>
      </c>
    </row>
    <row r="16" spans="1:8">
      <c r="A16" s="553"/>
      <c r="B16" s="554"/>
      <c r="C16" s="554"/>
      <c r="D16" s="555"/>
      <c r="E16" s="60">
        <f>IF($A16=0,0,VLOOKUP($A16,INS!$A$2:$E$137,2,FALSE))</f>
        <v>0</v>
      </c>
      <c r="F16" s="120">
        <v>4</v>
      </c>
      <c r="G16" s="60">
        <f>IF($A16=0,0,VLOOKUP($A16,INS!$A$2:$G$137,6,FALSE))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548333.33333333337</v>
      </c>
      <c r="H22" s="25">
        <f>F22*G22</f>
        <v>27416.666666666672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20852416.666666668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561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3600</v>
      </c>
      <c r="H35" s="25">
        <f>+E35*F35*G35*D35</f>
        <v>702000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702000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8</v>
      </c>
      <c r="H43" s="49">
        <f>F43*G43</f>
        <v>198333.33333333334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3</v>
      </c>
      <c r="F44" s="24">
        <f>D44*E44</f>
        <v>43750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8</v>
      </c>
      <c r="H44" s="49">
        <f t="shared" ref="H44:H45" si="1">F44*G44</f>
        <v>350000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548333.33333333337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22102750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00F385A7-8841-4ACE-9B1F-476600415937}">
          <x14:formula1>
            <xm:f>TRANS!$A$2:$A$20</xm:f>
          </x14:formula1>
          <xm:sqref>A35:C35</xm:sqref>
        </x14:dataValidation>
        <x14:dataValidation type="list" allowBlank="1" showInputMessage="1" showErrorMessage="1" xr:uid="{9F3DA4F3-B8A4-4402-8125-DB801323D96E}">
          <x14:formula1>
            <xm:f>EQUI!$A$2:$A$38</xm:f>
          </x14:formula1>
          <xm:sqref>A27:C28</xm:sqref>
        </x14:dataValidation>
        <x14:dataValidation type="list" showInputMessage="1" showErrorMessage="1" xr:uid="{A2CC2F7E-AE79-435E-8943-D183CC5F9F41}">
          <x14:formula1>
            <xm:f>INS!$A$2:$A$137</xm:f>
          </x14:formula1>
          <xm:sqref>A15:D21</xm:sqref>
        </x14:dataValidation>
        <x14:dataValidation type="list" showInputMessage="1" showErrorMessage="1" xr:uid="{94BF0C09-BF08-4B00-9221-F29EA0AA827D}">
          <x14:formula1>
            <xm:f>LIST!$B$3:$B$120</xm:f>
          </x14:formula1>
          <xm:sqref>D10:H11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5F81D-BA26-4B98-A1CA-A71F65F31CDC}">
  <sheetPr>
    <tabColor theme="5" tint="0.39997558519241921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e">
        <f>+VLOOKUP($D$10,LIST!B3:C80,2,FALSE)</f>
        <v>#N/A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533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534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750000</v>
      </c>
      <c r="H15" s="25">
        <f t="shared" ref="H15:H21" si="0">+F15*G15</f>
        <v>750000</v>
      </c>
    </row>
    <row r="16" spans="1:8">
      <c r="A16" s="553" t="s">
        <v>535</v>
      </c>
      <c r="B16" s="554"/>
      <c r="C16" s="554"/>
      <c r="D16" s="555"/>
      <c r="E16" s="60" t="str">
        <f>IF($A16=0,0,VLOOKUP($A16,INS!$A$2:$E$137,2,FALSE))</f>
        <v>UND</v>
      </c>
      <c r="F16" s="120">
        <v>4</v>
      </c>
      <c r="G16" s="60">
        <f>IF($A16=0,0,VLOOKUP($A16,INS!$A$2:$G$137,6,FALSE))</f>
        <v>3500</v>
      </c>
      <c r="H16" s="25">
        <f t="shared" si="0"/>
        <v>14000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118125</v>
      </c>
      <c r="H22" s="25">
        <f>F22*G22</f>
        <v>5906.25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769906.25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3" s="49">
        <f>F43*G43</f>
        <v>74375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4" s="49">
        <f t="shared" ref="H44:H45" si="1">F44*G44</f>
        <v>43750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888031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4E4C5-3A21-446C-BF15-4B9F6375756D}">
          <x14:formula1>
            <xm:f>EQUI!$A$2:$A$38</xm:f>
          </x14:formula1>
          <xm:sqref>A27:C28</xm:sqref>
        </x14:dataValidation>
        <x14:dataValidation type="list" showInputMessage="1" showErrorMessage="1" xr:uid="{51486C6C-222A-4EC7-8259-887CC8F5AB06}">
          <x14:formula1>
            <xm:f>TRANS!$A$2:$A$20</xm:f>
          </x14:formula1>
          <xm:sqref>A35:C35</xm:sqref>
        </x14:dataValidation>
        <x14:dataValidation type="list" showInputMessage="1" showErrorMessage="1" xr:uid="{4A0CB88C-D218-4EED-B5B2-FC5705F2EF98}">
          <x14:formula1>
            <xm:f>INS!$A$2:$A$137</xm:f>
          </x14:formula1>
          <xm:sqref>A15:D21</xm:sqref>
        </x14:dataValidation>
        <x14:dataValidation type="list" showInputMessage="1" showErrorMessage="1" xr:uid="{7DD3E5F7-E0B5-4FEF-B91E-A7F9D9DAFF01}">
          <x14:formula1>
            <xm:f>LIST!$B$3:$B$120</xm:f>
          </x14:formula1>
          <xm:sqref>D10:H11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FFB00-F84B-463F-A442-110E5EBE9C63}">
  <sheetPr>
    <tabColor rgb="FF00B050"/>
  </sheetPr>
  <dimension ref="A1:L61"/>
  <sheetViews>
    <sheetView topLeftCell="C37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+_xlfn.XLOOKUP(D10,PTO!$D$4:$D$58,PTO!$C$4:$C$15)</f>
        <v>#VALUE!</v>
      </c>
      <c r="E9" s="20" t="s">
        <v>26</v>
      </c>
      <c r="F9" s="19" t="str">
        <f>+VLOOKUP($D$10,LIST!B3:C101,2,FALSE)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707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706</v>
      </c>
      <c r="B15" s="560"/>
      <c r="C15" s="560"/>
      <c r="D15" s="561"/>
      <c r="E15" s="60" t="str">
        <f>IF($A15=0,0,_xlfn.XLOOKUP($A15,INS[DESCRIPCIÓN],INS[UNIDAD]))</f>
        <v>M</v>
      </c>
      <c r="F15" s="120">
        <v>1</v>
      </c>
      <c r="G15" s="60">
        <f>IF($A15=0,0,_xlfn.XLOOKUP($A15,INS[DESCRIPCIÓN],INS[PROMEDIO]))</f>
        <v>2899</v>
      </c>
      <c r="H15" s="25">
        <f t="shared" ref="H15:H20" si="0">+F15*G15</f>
        <v>2899</v>
      </c>
    </row>
    <row r="16" spans="1:8">
      <c r="A16" s="553" t="s">
        <v>708</v>
      </c>
      <c r="B16" s="554"/>
      <c r="C16" s="554"/>
      <c r="D16" s="555"/>
      <c r="E16" s="60" t="str">
        <f>IF($A16=0,0,_xlfn.XLOOKUP($A16,INS[DESCRIPCIÓN],INS[UNIDAD]))</f>
        <v>UND</v>
      </c>
      <c r="F16" s="120">
        <v>0.4</v>
      </c>
      <c r="G16" s="60">
        <f>IF($A16=0,0,_xlfn.XLOOKUP($A16,INS[DESCRIPCIÓN],INS[PROMEDIO]))</f>
        <v>8000</v>
      </c>
      <c r="H16" s="25">
        <f t="shared" si="0"/>
        <v>3200</v>
      </c>
    </row>
    <row r="17" spans="1:12" ht="17.399999999999999" customHeight="1">
      <c r="A17" s="559"/>
      <c r="B17" s="560"/>
      <c r="C17" s="560"/>
      <c r="D17" s="561"/>
      <c r="E17" s="60">
        <f>IF($A17=0,0,_xlfn.XLOOKUP($A17,INS[DESCRIPCIÓN],INS[UNIDAD]))</f>
        <v>0</v>
      </c>
      <c r="F17" s="120">
        <v>0.3</v>
      </c>
      <c r="G17" s="60">
        <f>IF($A17=0,0,_xlfn.XLOOKUP($A17,INS[DESCRIPCIÓN],INS[PROMEDIO]))</f>
        <v>0</v>
      </c>
      <c r="H17" s="25">
        <f t="shared" si="0"/>
        <v>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7875.0000000000009</v>
      </c>
      <c r="H22" s="25">
        <f>F22*G22</f>
        <v>787.50000000000011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6886.5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</v>
      </c>
      <c r="H43" s="49">
        <f>F43*G43</f>
        <v>4958.3333333333339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</v>
      </c>
      <c r="H44" s="49">
        <f t="shared" ref="H44:H45" si="2">F44*G44</f>
        <v>2916.666666666667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7875.0000000000009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14762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3838.12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295.24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590.48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4723.84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19485.84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4">
    <mergeCell ref="A60:D60"/>
    <mergeCell ref="F60:H60"/>
    <mergeCell ref="A42:C42"/>
    <mergeCell ref="A43:C43"/>
    <mergeCell ref="A44:C44"/>
    <mergeCell ref="A45:C45"/>
    <mergeCell ref="A48:G48"/>
    <mergeCell ref="A59:D59"/>
    <mergeCell ref="F59:H59"/>
    <mergeCell ref="C49:F49"/>
    <mergeCell ref="C50:F50"/>
    <mergeCell ref="C51:F51"/>
    <mergeCell ref="C52:F52"/>
    <mergeCell ref="B53:G53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C28CD979-0CB6-4F4D-B906-490ED9261106}">
          <x14:formula1>
            <xm:f>INS!$A$2:$A$137</xm:f>
          </x14:formula1>
          <xm:sqref>A15:D20</xm:sqref>
        </x14:dataValidation>
        <x14:dataValidation type="list" showInputMessage="1" showErrorMessage="1" xr:uid="{D6E5628E-2E88-418E-9C9E-0E464D70FF18}">
          <x14:formula1>
            <xm:f>TRANS!$A$2:$A$20</xm:f>
          </x14:formula1>
          <xm:sqref>A35:C35</xm:sqref>
        </x14:dataValidation>
        <x14:dataValidation type="list" allowBlank="1" showInputMessage="1" showErrorMessage="1" xr:uid="{569223FB-6CE2-484B-8649-A89E282229B6}">
          <x14:formula1>
            <xm:f>EQUI!$A$2:$A$38</xm:f>
          </x14:formula1>
          <xm:sqref>A27:C28</xm:sqref>
        </x14:dataValidation>
        <x14:dataValidation type="list" showInputMessage="1" showErrorMessage="1" xr:uid="{EBD8F637-A43E-45F9-880F-428DDD7A2DF2}">
          <x14:formula1>
            <xm:f>LIST!$B$3:$B$120</xm:f>
          </x14:formula1>
          <xm:sqref>D10:H11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B69B3-B7A1-4A50-A848-531FDA25C732}">
  <sheetPr>
    <tabColor theme="6" tint="0.39997558519241921"/>
  </sheetPr>
  <dimension ref="A1:J61"/>
  <sheetViews>
    <sheetView topLeftCell="C35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10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0" ht="15" thickTop="1">
      <c r="A2" s="16"/>
      <c r="B2" s="17"/>
      <c r="C2" s="17"/>
      <c r="D2" s="17"/>
      <c r="E2" s="17"/>
      <c r="F2" s="17"/>
      <c r="G2" s="17"/>
      <c r="H2" s="18"/>
    </row>
    <row r="3" spans="1:10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0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0" ht="25.5" customHeight="1">
      <c r="A5" s="16"/>
      <c r="B5" s="17"/>
      <c r="C5" s="17"/>
      <c r="D5" s="17"/>
      <c r="E5" s="17"/>
      <c r="F5" s="17"/>
      <c r="G5" s="17"/>
      <c r="H5" s="18"/>
    </row>
    <row r="6" spans="1:10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0" ht="24.75" customHeight="1">
      <c r="A7" s="551"/>
      <c r="B7" s="552"/>
      <c r="C7" s="552"/>
      <c r="D7" s="552"/>
      <c r="E7" s="552"/>
      <c r="F7" s="552"/>
      <c r="G7" s="552"/>
      <c r="H7" s="552"/>
    </row>
    <row r="8" spans="1:10">
      <c r="A8" s="16"/>
      <c r="B8" s="17"/>
      <c r="C8" s="17"/>
      <c r="D8" s="17"/>
      <c r="E8" s="17"/>
      <c r="F8" s="17"/>
      <c r="G8" s="17"/>
      <c r="H8" s="18"/>
    </row>
    <row r="9" spans="1:10">
      <c r="A9" s="545" t="s">
        <v>3</v>
      </c>
      <c r="B9" s="545"/>
      <c r="C9" s="545"/>
      <c r="D9" s="19">
        <f>+_xlfn.XLOOKUP(D10,PTO!$D$4:$D$39,PTO!$C$4:$C$39)</f>
        <v>2.0399999999999991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10">
      <c r="A10" s="556" t="s">
        <v>4</v>
      </c>
      <c r="B10" s="556"/>
      <c r="C10" s="556"/>
      <c r="D10" s="557" t="s">
        <v>671</v>
      </c>
      <c r="E10" s="557"/>
      <c r="F10" s="557"/>
      <c r="G10" s="557"/>
      <c r="H10" s="557"/>
    </row>
    <row r="11" spans="1:10">
      <c r="A11" s="556"/>
      <c r="B11" s="556"/>
      <c r="C11" s="556"/>
      <c r="D11" s="557"/>
      <c r="E11" s="557"/>
      <c r="F11" s="557"/>
      <c r="G11" s="557"/>
      <c r="H11" s="557"/>
    </row>
    <row r="12" spans="1:10">
      <c r="A12" s="16"/>
      <c r="B12" s="17"/>
      <c r="C12" s="17"/>
      <c r="D12" s="17"/>
      <c r="E12" s="17"/>
      <c r="F12" s="17"/>
      <c r="G12" s="17"/>
      <c r="H12" s="18"/>
    </row>
    <row r="13" spans="1:10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0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0">
      <c r="A15" s="553" t="s">
        <v>57</v>
      </c>
      <c r="B15" s="554"/>
      <c r="C15" s="554"/>
      <c r="D15" s="555"/>
      <c r="E15" s="149" t="str">
        <f>IF($A15=0,0,_xlfn.XLOOKUP($A15,INS[DESCRIPCIÓN],INS[UNIDAD]))</f>
        <v>BLT</v>
      </c>
      <c r="F15" s="120">
        <v>0.42</v>
      </c>
      <c r="G15" s="60">
        <f>IF($A15=0,0,_xlfn.XLOOKUP($A15,INS[DESCRIPCIÓN],INS[PROMEDIO]))</f>
        <v>37000</v>
      </c>
      <c r="H15" s="25">
        <f>+F15*G15</f>
        <v>15540</v>
      </c>
      <c r="J15" s="431"/>
    </row>
    <row r="16" spans="1:10">
      <c r="A16" s="553" t="s">
        <v>75</v>
      </c>
      <c r="B16" s="554"/>
      <c r="C16" s="554"/>
      <c r="D16" s="555"/>
      <c r="E16" s="149" t="str">
        <f>IF($A16=0,0,_xlfn.XLOOKUP($A16,INS[DESCRIPCIÓN],INS[UNIDAD]))</f>
        <v>M3</v>
      </c>
      <c r="F16" s="120">
        <v>0.05</v>
      </c>
      <c r="G16" s="60">
        <f>IF($A16=0,0,_xlfn.XLOOKUP($A16,INS[DESCRIPCIÓN],INS[PROMEDIO]))</f>
        <v>65545</v>
      </c>
      <c r="H16" s="25">
        <f>+F16*G16</f>
        <v>3277.25</v>
      </c>
      <c r="J16" s="431"/>
    </row>
    <row r="17" spans="1:10">
      <c r="A17" s="553" t="s">
        <v>625</v>
      </c>
      <c r="B17" s="554"/>
      <c r="C17" s="554"/>
      <c r="D17" s="555"/>
      <c r="E17" s="149" t="str">
        <f>IF($A17=0,0,_xlfn.XLOOKUP($A17,INS[DESCRIPCIÓN],INS[UNIDAD]))</f>
        <v>M3</v>
      </c>
      <c r="F17" s="430">
        <v>0.03</v>
      </c>
      <c r="G17" s="60">
        <f>IF($A17=0,0,_xlfn.XLOOKUP($A17,INS[DESCRIPCIÓN],INS[PROMEDIO]))</f>
        <v>47338</v>
      </c>
      <c r="H17" s="25">
        <f>+F17*G17</f>
        <v>1420.1399999999999</v>
      </c>
      <c r="J17" s="431"/>
    </row>
    <row r="18" spans="1:10">
      <c r="A18" s="553" t="s">
        <v>54</v>
      </c>
      <c r="B18" s="554"/>
      <c r="C18" s="554"/>
      <c r="D18" s="555"/>
      <c r="E18" s="149" t="str">
        <f>IF($A18=0,0,_xlfn.XLOOKUP($A18,INS[DESCRIPCIÓN],INS[UNIDAD]))</f>
        <v>LT</v>
      </c>
      <c r="F18" s="430">
        <v>10</v>
      </c>
      <c r="G18" s="60">
        <f>IF($A18=0,0,_xlfn.XLOOKUP($A18,INS[DESCRIPCIÓN],INS[PROMEDIO]))</f>
        <v>35</v>
      </c>
      <c r="H18" s="25">
        <f t="shared" ref="H18:H21" si="0">+F18*G18</f>
        <v>350</v>
      </c>
    </row>
    <row r="19" spans="1:10">
      <c r="A19" s="553" t="s">
        <v>77</v>
      </c>
      <c r="B19" s="554"/>
      <c r="C19" s="554"/>
      <c r="D19" s="555"/>
      <c r="E19" s="149" t="str">
        <f>IF($A19=0,0,_xlfn.XLOOKUP($A19,INS[DESCRIPCIÓN],INS[UNIDAD]))</f>
        <v>KG</v>
      </c>
      <c r="F19" s="430">
        <v>3.0249999999999999</v>
      </c>
      <c r="G19" s="60">
        <f>IF($A19=0,0,_xlfn.XLOOKUP($A19,INS[DESCRIPCIÓN],INS[PROMEDIO]))</f>
        <v>5500</v>
      </c>
      <c r="H19" s="25">
        <f t="shared" si="0"/>
        <v>16637.5</v>
      </c>
    </row>
    <row r="20" spans="1:10">
      <c r="A20" s="553" t="s">
        <v>78</v>
      </c>
      <c r="B20" s="554"/>
      <c r="C20" s="554"/>
      <c r="D20" s="555"/>
      <c r="E20" s="149" t="str">
        <f>IF($A20=0,0,_xlfn.XLOOKUP($A20,INS[DESCRIPCIÓN],INS[UNIDAD]))</f>
        <v>DOCENA</v>
      </c>
      <c r="F20" s="430">
        <v>7.0000000000000007E-2</v>
      </c>
      <c r="G20" s="60">
        <f>IF($A20=0,0,_xlfn.XLOOKUP($A20,INS[DESCRIPCIÓN],INS[PROMEDIO]))</f>
        <v>295000</v>
      </c>
      <c r="H20" s="25">
        <f t="shared" si="0"/>
        <v>20650.000000000004</v>
      </c>
      <c r="J20">
        <f>12*3</f>
        <v>36</v>
      </c>
    </row>
    <row r="21" spans="1:10">
      <c r="A21" s="553"/>
      <c r="B21" s="554"/>
      <c r="C21" s="554"/>
      <c r="D21" s="555"/>
      <c r="E21" s="149"/>
      <c r="F21" s="120"/>
      <c r="G21" s="60"/>
      <c r="H21" s="25">
        <f t="shared" si="0"/>
        <v>0</v>
      </c>
      <c r="J21">
        <v>3</v>
      </c>
    </row>
    <row r="22" spans="1:10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34270.833333333336</v>
      </c>
      <c r="H22" s="25">
        <f>F22*G22</f>
        <v>1713.541666666667</v>
      </c>
    </row>
    <row r="23" spans="1:10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59588.431666666664</v>
      </c>
    </row>
    <row r="24" spans="1:10">
      <c r="A24" s="16"/>
      <c r="B24" s="17"/>
      <c r="C24" s="17"/>
      <c r="D24" s="17"/>
      <c r="E24" s="17"/>
      <c r="F24" s="17"/>
      <c r="G24" s="17"/>
      <c r="H24" s="18"/>
    </row>
    <row r="25" spans="1:10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0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0">
      <c r="A27" s="565" t="s">
        <v>290</v>
      </c>
      <c r="B27" s="565"/>
      <c r="C27" s="565"/>
      <c r="D27" s="61"/>
      <c r="E27" s="120" t="str">
        <f>+IF($A27=0,0,_xlfn.XLOOKUP($A27,EQUI[DESCRIPCIÓN],EQUI[UNIDAD]))</f>
        <v>HORA</v>
      </c>
      <c r="F27" s="120">
        <f>+IF($A27=0,0,_xlfn.XLOOKUP($A27,EQUI[DESCRIPCIÓN],EQUI[VALOR]))</f>
        <v>10000</v>
      </c>
      <c r="G27" s="120">
        <v>1</v>
      </c>
      <c r="H27" s="25">
        <f>F27*G27</f>
        <v>10000</v>
      </c>
    </row>
    <row r="28" spans="1:10">
      <c r="A28" s="565" t="s">
        <v>56</v>
      </c>
      <c r="B28" s="565"/>
      <c r="C28" s="565"/>
      <c r="D28" s="61"/>
      <c r="E28" s="120" t="str">
        <f>+IF($A28=0,0,_xlfn.XLOOKUP($A28,EQUI[DESCRIPCIÓN],EQUI[UNIDAD]))</f>
        <v>HORA</v>
      </c>
      <c r="F28" s="120">
        <f>+IF($A28=0,0,_xlfn.XLOOKUP($A28,EQUI[DESCRIPCIÓN],EQUI[VALOR]))</f>
        <v>7000</v>
      </c>
      <c r="G28" s="120">
        <v>0.8</v>
      </c>
      <c r="H28" s="25">
        <f>F28*G28</f>
        <v>5600</v>
      </c>
    </row>
    <row r="29" spans="1:10">
      <c r="A29" s="565"/>
      <c r="B29" s="565"/>
      <c r="C29" s="565"/>
      <c r="D29" s="61"/>
      <c r="E29" s="120">
        <f>+IF($A29=0,0,_xlfn.XLOOKUP($A29,EQUI[DESCRIPCIÓN],EQUI[UNIDAD]))</f>
        <v>0</v>
      </c>
      <c r="F29" s="120">
        <f>+IF($A29=0,0,_xlfn.XLOOKUP($A29,EQUI[DESCRIPCIÓN],EQUI[VALOR]))</f>
        <v>0</v>
      </c>
      <c r="G29" s="120">
        <f>+IF($A29=0,0,_xlfn.XLOOKUP($A29,EQUI[DESCRIPCIÓN],EQUI[RENDIMIENTO]))</f>
        <v>0</v>
      </c>
      <c r="H29" s="25">
        <f>F29*G29</f>
        <v>0</v>
      </c>
    </row>
    <row r="30" spans="1:10">
      <c r="A30" s="566"/>
      <c r="B30" s="567"/>
      <c r="C30" s="567"/>
      <c r="D30" s="36"/>
      <c r="E30" s="36"/>
      <c r="F30" s="36"/>
      <c r="G30" s="36"/>
      <c r="H30" s="37"/>
    </row>
    <row r="31" spans="1:10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15600</v>
      </c>
    </row>
    <row r="32" spans="1:10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277</v>
      </c>
      <c r="B35" s="571"/>
      <c r="C35" s="571"/>
      <c r="D35" s="124">
        <f>IF($A$35=0,0,VLOOKUP($A$35,TRANS!$A$2:$F$38,5,FALSE))</f>
        <v>1.1000000000000001</v>
      </c>
      <c r="E35" s="42">
        <f>IF($A$35=0,0,VLOOKUP($A$35,TRANS!$A$2:$D$38,3,FALSE))</f>
        <v>125</v>
      </c>
      <c r="F35" s="147">
        <f>+F16+F17</f>
        <v>0.08</v>
      </c>
      <c r="G35" s="123">
        <f>IF($A$35=0,0,VLOOKUP($A$35,TRANS!$A$2:$D$38,4,FALSE))</f>
        <v>1800</v>
      </c>
      <c r="H35" s="25">
        <f>+E35*F35*G35*D35</f>
        <v>19800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19800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3</v>
      </c>
      <c r="F44" s="24">
        <f>D44*E44</f>
        <v>43750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1">F44*G44</f>
        <v>21875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34270.833333333336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129259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33607.339999999997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2585.1799999999998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5170.3599999999997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41362.879999999997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170621.88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5">
    <mergeCell ref="A59:D59"/>
    <mergeCell ref="F59:H59"/>
    <mergeCell ref="A60:D60"/>
    <mergeCell ref="F60:H60"/>
    <mergeCell ref="A41:H41"/>
    <mergeCell ref="A42:C42"/>
    <mergeCell ref="A43:C43"/>
    <mergeCell ref="A44:C44"/>
    <mergeCell ref="A45:C45"/>
    <mergeCell ref="A48:G48"/>
    <mergeCell ref="C49:F49"/>
    <mergeCell ref="C50:F50"/>
    <mergeCell ref="C51:F51"/>
    <mergeCell ref="C52:F52"/>
    <mergeCell ref="B53:G53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9498598-E756-43F4-8C9B-AC12110303D9}">
          <x14:formula1>
            <xm:f>EQUI!$A$2:$A$40</xm:f>
          </x14:formula1>
          <xm:sqref>A27:C27</xm:sqref>
        </x14:dataValidation>
        <x14:dataValidation type="list" showInputMessage="1" showErrorMessage="1" xr:uid="{FB3D63C7-958B-4A6A-8B34-2A19B008F687}">
          <x14:formula1>
            <xm:f>INS!$A$2:$A$137</xm:f>
          </x14:formula1>
          <xm:sqref>A15:D21</xm:sqref>
        </x14:dataValidation>
        <x14:dataValidation type="list" showInputMessage="1" showErrorMessage="1" xr:uid="{647889F1-E954-47AD-A0D4-21C8643A7497}">
          <x14:formula1>
            <xm:f>TRANS!$A$2:$A$20</xm:f>
          </x14:formula1>
          <xm:sqref>A35:C35</xm:sqref>
        </x14:dataValidation>
        <x14:dataValidation type="list" allowBlank="1" showInputMessage="1" showErrorMessage="1" xr:uid="{38E0A85D-C008-4AE4-B431-624A63D07E43}">
          <x14:formula1>
            <xm:f>EQUI!$A$2:$A$38</xm:f>
          </x14:formula1>
          <xm:sqref>A28:C29</xm:sqref>
        </x14:dataValidation>
        <x14:dataValidation type="list" showInputMessage="1" showErrorMessage="1" xr:uid="{AE925531-7DD7-4518-A41C-EF08A1A5B09B}">
          <x14:formula1>
            <xm:f>LIST!$B$3:$B$142</xm:f>
          </x14:formula1>
          <xm:sqref>D10:H11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1E1DD-120C-43CE-9901-1E23A39784E3}">
  <sheetPr>
    <tabColor theme="6" tint="0.39997558519241921"/>
  </sheetPr>
  <dimension ref="A1:J61"/>
  <sheetViews>
    <sheetView topLeftCell="C36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10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0" ht="15" thickTop="1">
      <c r="A2" s="16"/>
      <c r="B2" s="17"/>
      <c r="C2" s="17"/>
      <c r="D2" s="17"/>
      <c r="E2" s="17"/>
      <c r="F2" s="17"/>
      <c r="G2" s="17"/>
      <c r="H2" s="18"/>
    </row>
    <row r="3" spans="1:10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0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0" ht="25.5" customHeight="1">
      <c r="A5" s="16"/>
      <c r="B5" s="17"/>
      <c r="C5" s="17"/>
      <c r="D5" s="17"/>
      <c r="E5" s="17"/>
      <c r="F5" s="17"/>
      <c r="G5" s="17"/>
      <c r="H5" s="18"/>
    </row>
    <row r="6" spans="1:10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0" ht="24.75" customHeight="1">
      <c r="A7" s="551"/>
      <c r="B7" s="552"/>
      <c r="C7" s="552"/>
      <c r="D7" s="552"/>
      <c r="E7" s="552"/>
      <c r="F7" s="552"/>
      <c r="G7" s="552"/>
      <c r="H7" s="552"/>
    </row>
    <row r="8" spans="1:10">
      <c r="A8" s="16"/>
      <c r="B8" s="17"/>
      <c r="C8" s="17"/>
      <c r="D8" s="17"/>
      <c r="E8" s="17"/>
      <c r="F8" s="17"/>
      <c r="G8" s="17"/>
      <c r="H8" s="18"/>
    </row>
    <row r="9" spans="1:10">
      <c r="A9" s="545" t="s">
        <v>3</v>
      </c>
      <c r="B9" s="545"/>
      <c r="C9" s="545"/>
      <c r="D9" s="19">
        <f>+_xlfn.XLOOKUP(D10,PTO!$D$4:$D$39,PTO!$C$4:$C$39)</f>
        <v>2.0299999999999994</v>
      </c>
      <c r="E9" s="20" t="s">
        <v>26</v>
      </c>
      <c r="F9" s="19" t="str">
        <f>+_xlfn.XLOOKUP($D$10,LIST[DESCRIPCIÓN],LIST[UNIDAD])</f>
        <v>KG</v>
      </c>
      <c r="G9" s="20" t="s">
        <v>20</v>
      </c>
      <c r="H9" s="21">
        <v>1</v>
      </c>
    </row>
    <row r="10" spans="1:10">
      <c r="A10" s="556" t="s">
        <v>4</v>
      </c>
      <c r="B10" s="556"/>
      <c r="C10" s="556"/>
      <c r="D10" s="557" t="s">
        <v>669</v>
      </c>
      <c r="E10" s="557"/>
      <c r="F10" s="557"/>
      <c r="G10" s="557"/>
      <c r="H10" s="557"/>
    </row>
    <row r="11" spans="1:10">
      <c r="A11" s="556"/>
      <c r="B11" s="556"/>
      <c r="C11" s="556"/>
      <c r="D11" s="557"/>
      <c r="E11" s="557"/>
      <c r="F11" s="557"/>
      <c r="G11" s="557"/>
      <c r="H11" s="557"/>
    </row>
    <row r="12" spans="1:10">
      <c r="A12" s="16"/>
      <c r="B12" s="17"/>
      <c r="C12" s="17"/>
      <c r="D12" s="17"/>
      <c r="E12" s="17"/>
      <c r="F12" s="17"/>
      <c r="G12" s="17"/>
      <c r="H12" s="18"/>
    </row>
    <row r="13" spans="1:10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0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0">
      <c r="A15" s="553" t="s">
        <v>77</v>
      </c>
      <c r="B15" s="554"/>
      <c r="C15" s="554"/>
      <c r="D15" s="555"/>
      <c r="E15" s="149" t="str">
        <f>IF($A15=0,0,_xlfn.XLOOKUP($A15,INS[DESCRIPCIÓN],INS[UNIDAD]))</f>
        <v>KG</v>
      </c>
      <c r="F15" s="120">
        <v>1.05</v>
      </c>
      <c r="G15" s="60">
        <f>IF($A15=0,0,_xlfn.XLOOKUP($A15,INS[DESCRIPCIÓN],INS[PROMEDIO]))</f>
        <v>5500</v>
      </c>
      <c r="H15" s="25">
        <f>+F15*G15</f>
        <v>5775</v>
      </c>
      <c r="J15" s="431"/>
    </row>
    <row r="16" spans="1:10">
      <c r="A16" s="553" t="s">
        <v>60</v>
      </c>
      <c r="B16" s="554"/>
      <c r="C16" s="554"/>
      <c r="D16" s="555"/>
      <c r="E16" s="149" t="str">
        <f>IF($A16=0,0,_xlfn.XLOOKUP($A16,INS[DESCRIPCIÓN],INS[UNIDAD]))</f>
        <v>KG</v>
      </c>
      <c r="F16" s="120">
        <v>0.01</v>
      </c>
      <c r="G16" s="60">
        <f>IF($A16=0,0,_xlfn.XLOOKUP($A16,INS[DESCRIPCIÓN],INS[PROMEDIO]))</f>
        <v>8700</v>
      </c>
      <c r="H16" s="25">
        <f>+F16*G16</f>
        <v>87</v>
      </c>
      <c r="J16" s="431"/>
    </row>
    <row r="17" spans="1:10">
      <c r="A17" s="553" t="s">
        <v>560</v>
      </c>
      <c r="B17" s="554"/>
      <c r="C17" s="554"/>
      <c r="D17" s="555"/>
      <c r="E17" s="149" t="str">
        <f>IF($A17=0,0,_xlfn.XLOOKUP($A17,INS[DESCRIPCIÓN],INS[UNIDAD]))</f>
        <v>UND</v>
      </c>
      <c r="F17" s="430">
        <v>5.0000000000000001E-3</v>
      </c>
      <c r="G17" s="60">
        <f>IF($A17=0,0,_xlfn.XLOOKUP($A17,INS[DESCRIPCIÓN],INS[PROMEDIO]))</f>
        <v>280000</v>
      </c>
      <c r="H17" s="25">
        <f>+F17*G17</f>
        <v>1400</v>
      </c>
      <c r="J17" s="431"/>
    </row>
    <row r="18" spans="1:10">
      <c r="A18" s="553"/>
      <c r="B18" s="554"/>
      <c r="C18" s="554"/>
      <c r="D18" s="555"/>
      <c r="E18" s="149"/>
      <c r="F18" s="120"/>
      <c r="G18" s="60"/>
      <c r="H18" s="25">
        <f t="shared" ref="H18:H21" si="0">+F18*G18</f>
        <v>0</v>
      </c>
    </row>
    <row r="19" spans="1:10">
      <c r="A19" s="553"/>
      <c r="B19" s="554"/>
      <c r="C19" s="554"/>
      <c r="D19" s="555"/>
      <c r="E19" s="149"/>
      <c r="F19" s="120"/>
      <c r="G19" s="60"/>
      <c r="H19" s="25">
        <f t="shared" si="0"/>
        <v>0</v>
      </c>
    </row>
    <row r="20" spans="1:10">
      <c r="A20" s="553"/>
      <c r="B20" s="554"/>
      <c r="C20" s="554"/>
      <c r="D20" s="555"/>
      <c r="E20" s="149"/>
      <c r="F20" s="120"/>
      <c r="G20" s="60"/>
      <c r="H20" s="25">
        <f t="shared" si="0"/>
        <v>0</v>
      </c>
    </row>
    <row r="21" spans="1:10">
      <c r="A21" s="553"/>
      <c r="B21" s="554"/>
      <c r="C21" s="554"/>
      <c r="D21" s="555"/>
      <c r="E21" s="149"/>
      <c r="F21" s="120"/>
      <c r="G21" s="60"/>
      <c r="H21" s="25">
        <f t="shared" si="0"/>
        <v>0</v>
      </c>
    </row>
    <row r="22" spans="1:10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3150</v>
      </c>
      <c r="H22" s="25">
        <f>F22*G22</f>
        <v>157.5</v>
      </c>
    </row>
    <row r="23" spans="1:10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7419.5</v>
      </c>
    </row>
    <row r="24" spans="1:10">
      <c r="A24" s="16"/>
      <c r="B24" s="17"/>
      <c r="C24" s="17"/>
      <c r="D24" s="17"/>
      <c r="E24" s="17"/>
      <c r="F24" s="17"/>
      <c r="G24" s="17"/>
      <c r="H24" s="18"/>
    </row>
    <row r="25" spans="1:10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0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0">
      <c r="A27" s="565"/>
      <c r="B27" s="565"/>
      <c r="C27" s="565"/>
      <c r="D27" s="61"/>
      <c r="E27" s="120">
        <f>+IF($A27=0,0,_xlfn.XLOOKUP($A27,EQUI[DESCRIPCIÓN],EQUI[UNIDAD]))</f>
        <v>0</v>
      </c>
      <c r="F27" s="120">
        <f>+IF($A27=0,0,_xlfn.XLOOKUP($A27,EQUI[DESCRIPCIÓN],EQUI[VALOR]))</f>
        <v>0</v>
      </c>
      <c r="G27" s="120">
        <f>+IF($A27=0,0,_xlfn.XLOOKUP($A27,EQUI[DESCRIPCIÓN],EQUI[RENDIMIENTO]))</f>
        <v>0</v>
      </c>
      <c r="H27" s="25">
        <f>F27*G27</f>
        <v>0</v>
      </c>
    </row>
    <row r="28" spans="1:10">
      <c r="A28" s="565"/>
      <c r="B28" s="565"/>
      <c r="C28" s="565"/>
      <c r="D28" s="61"/>
      <c r="E28" s="120">
        <f>+IF($A28=0,0,_xlfn.XLOOKUP($A28,EQUI[DESCRIPCIÓN],EQUI[UNIDAD]))</f>
        <v>0</v>
      </c>
      <c r="F28" s="120">
        <f>+IF($A28=0,0,_xlfn.XLOOKUP($A28,EQUI[DESCRIPCIÓN],EQUI[VALOR]))</f>
        <v>0</v>
      </c>
      <c r="G28" s="120">
        <f>+IF($A28=0,0,_xlfn.XLOOKUP($A28,EQUI[DESCRIPCIÓN],EQUI[RENDIMIENTO]))</f>
        <v>0</v>
      </c>
      <c r="H28" s="25">
        <f>F28*G28</f>
        <v>0</v>
      </c>
    </row>
    <row r="29" spans="1:10">
      <c r="A29" s="565"/>
      <c r="B29" s="565"/>
      <c r="C29" s="565"/>
      <c r="D29" s="61"/>
      <c r="E29" s="120">
        <f>+IF($A29=0,0,_xlfn.XLOOKUP($A29,EQUI[DESCRIPCIÓN],EQUI[UNIDAD]))</f>
        <v>0</v>
      </c>
      <c r="F29" s="120">
        <f>+IF($A29=0,0,_xlfn.XLOOKUP($A29,EQUI[DESCRIPCIÓN],EQUI[VALOR]))</f>
        <v>0</v>
      </c>
      <c r="G29" s="120">
        <f>+IF($A29=0,0,_xlfn.XLOOKUP($A29,EQUI[DESCRIPCIÓN],EQUI[RENDIMIENTO]))</f>
        <v>0</v>
      </c>
      <c r="H29" s="25">
        <f>F29*G29</f>
        <v>0</v>
      </c>
    </row>
    <row r="30" spans="1:10">
      <c r="A30" s="566"/>
      <c r="B30" s="567"/>
      <c r="C30" s="567"/>
      <c r="D30" s="36"/>
      <c r="E30" s="36"/>
      <c r="F30" s="36"/>
      <c r="G30" s="36"/>
      <c r="H30" s="37"/>
    </row>
    <row r="31" spans="1:10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0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291</v>
      </c>
      <c r="B35" s="571"/>
      <c r="C35" s="571"/>
      <c r="D35" s="124">
        <f>IF($A$35=0,0,VLOOKUP($A$35,TRANS!$A$2:$F$38,5,FALSE))</f>
        <v>1</v>
      </c>
      <c r="E35" s="42">
        <f>IF($A$35=0,0,VLOOKUP($A$35,TRANS!$A$2:$D$38,3,FALSE))</f>
        <v>195</v>
      </c>
      <c r="F35" s="147">
        <f>+F15</f>
        <v>1.05</v>
      </c>
      <c r="G35" s="123">
        <f>IF($A$35=0,0,VLOOKUP($A$35,TRANS!$A$2:$D$38,4,FALSE))</f>
        <v>2</v>
      </c>
      <c r="H35" s="25">
        <f>+E35*F35*G35*D35</f>
        <v>409.5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409.5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3" s="49">
        <f>F43*G43</f>
        <v>1983.3333333333335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4" s="49">
        <f t="shared" ref="H44:H45" si="1">F44*G44</f>
        <v>1166.6666666666667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3150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10979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2854.54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219.58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439.16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3513.2799999999997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14492.28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5">
    <mergeCell ref="A48:G48"/>
    <mergeCell ref="A59:D59"/>
    <mergeCell ref="F59:H59"/>
    <mergeCell ref="A60:D60"/>
    <mergeCell ref="F60:H60"/>
    <mergeCell ref="C49:F49"/>
    <mergeCell ref="C50:F50"/>
    <mergeCell ref="C51:F51"/>
    <mergeCell ref="C52:F52"/>
    <mergeCell ref="B53:G53"/>
    <mergeCell ref="A45:C45"/>
    <mergeCell ref="A30:C30"/>
    <mergeCell ref="A33:H33"/>
    <mergeCell ref="A34:C34"/>
    <mergeCell ref="A35:C35"/>
    <mergeCell ref="A36:C36"/>
    <mergeCell ref="A37:C37"/>
    <mergeCell ref="A38:C38"/>
    <mergeCell ref="A41:H41"/>
    <mergeCell ref="A42:C42"/>
    <mergeCell ref="A43:C43"/>
    <mergeCell ref="A44:C44"/>
    <mergeCell ref="A29:C29"/>
    <mergeCell ref="A17:D17"/>
    <mergeCell ref="A18:D18"/>
    <mergeCell ref="A19:D19"/>
    <mergeCell ref="A20:D20"/>
    <mergeCell ref="A21:D21"/>
    <mergeCell ref="A22:D22"/>
    <mergeCell ref="A25:H25"/>
    <mergeCell ref="A26:C26"/>
    <mergeCell ref="A27:C27"/>
    <mergeCell ref="A28:C28"/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33944B-5F05-476E-919B-DB537CDA3225}">
          <x14:formula1>
            <xm:f>EQUI!$A$2:$A$38</xm:f>
          </x14:formula1>
          <xm:sqref>A28:C29</xm:sqref>
        </x14:dataValidation>
        <x14:dataValidation type="list" showInputMessage="1" showErrorMessage="1" xr:uid="{16EFDCE7-9EED-4900-AD65-A37C66CCABBC}">
          <x14:formula1>
            <xm:f>TRANS!$A$2:$A$20</xm:f>
          </x14:formula1>
          <xm:sqref>A35:C35</xm:sqref>
        </x14:dataValidation>
        <x14:dataValidation type="list" showInputMessage="1" showErrorMessage="1" xr:uid="{A905C17C-6FEE-48D7-B758-54848C233455}">
          <x14:formula1>
            <xm:f>INS!$A$2:$A$137</xm:f>
          </x14:formula1>
          <xm:sqref>A15:D21</xm:sqref>
        </x14:dataValidation>
        <x14:dataValidation type="list" allowBlank="1" showInputMessage="1" showErrorMessage="1" xr:uid="{19801CB4-0745-4C6D-82C2-05F412EAED43}">
          <x14:formula1>
            <xm:f>EQUI!$A$2:$A$40</xm:f>
          </x14:formula1>
          <xm:sqref>A27:C27</xm:sqref>
        </x14:dataValidation>
        <x14:dataValidation type="list" showInputMessage="1" showErrorMessage="1" xr:uid="{B1359456-E211-4B93-B4D8-27CE1BD548D8}">
          <x14:formula1>
            <xm:f>LIST!$B$3:$B$142</xm:f>
          </x14:formula1>
          <xm:sqref>D10:H11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2B011-6301-41F3-9BA8-02A3AB7451CC}">
  <sheetPr>
    <tabColor theme="6" tint="0.39997558519241921"/>
  </sheetPr>
  <dimension ref="A1:J57"/>
  <sheetViews>
    <sheetView topLeftCell="A7" workbookViewId="0">
      <selection activeCell="F16" sqref="F16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10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0" ht="15" thickTop="1">
      <c r="A2" s="16"/>
      <c r="B2" s="17"/>
      <c r="C2" s="17"/>
      <c r="D2" s="17"/>
      <c r="E2" s="17"/>
      <c r="F2" s="17"/>
      <c r="G2" s="17"/>
      <c r="H2" s="18"/>
    </row>
    <row r="3" spans="1:10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0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0" ht="25.5" customHeight="1">
      <c r="A5" s="16"/>
      <c r="B5" s="17"/>
      <c r="C5" s="17"/>
      <c r="D5" s="17"/>
      <c r="E5" s="17"/>
      <c r="F5" s="17"/>
      <c r="G5" s="17"/>
      <c r="H5" s="18"/>
    </row>
    <row r="6" spans="1:10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0" ht="24.75" customHeight="1">
      <c r="A7" s="551"/>
      <c r="B7" s="552"/>
      <c r="C7" s="552"/>
      <c r="D7" s="552"/>
      <c r="E7" s="552"/>
      <c r="F7" s="552"/>
      <c r="G7" s="552"/>
      <c r="H7" s="552"/>
    </row>
    <row r="8" spans="1:10">
      <c r="A8" s="16"/>
      <c r="B8" s="17"/>
      <c r="C8" s="17"/>
      <c r="D8" s="17"/>
      <c r="E8" s="17"/>
      <c r="F8" s="17"/>
      <c r="G8" s="17"/>
      <c r="H8" s="18"/>
    </row>
    <row r="9" spans="1:10">
      <c r="A9" s="545" t="s">
        <v>3</v>
      </c>
      <c r="B9" s="545"/>
      <c r="C9" s="545"/>
      <c r="D9" s="19" t="e">
        <f>+_xlfn.XLOOKUP(D10,PTO!$D$4:$D$39,PTO!$C$4:$C$39)</f>
        <v>#N/A</v>
      </c>
      <c r="E9" s="20" t="s">
        <v>26</v>
      </c>
      <c r="F9" s="19" t="str">
        <f>+_xlfn.XLOOKUP($D$10,LIST[DESCRIPCIÓN],LIST[UNIDAD])</f>
        <v>M3</v>
      </c>
      <c r="G9" s="20" t="s">
        <v>20</v>
      </c>
      <c r="H9" s="21">
        <v>1</v>
      </c>
    </row>
    <row r="10" spans="1:10">
      <c r="A10" s="556" t="s">
        <v>4</v>
      </c>
      <c r="B10" s="556"/>
      <c r="C10" s="556"/>
      <c r="D10" s="557" t="s">
        <v>693</v>
      </c>
      <c r="E10" s="557"/>
      <c r="F10" s="557"/>
      <c r="G10" s="557"/>
      <c r="H10" s="557"/>
    </row>
    <row r="11" spans="1:10">
      <c r="A11" s="556"/>
      <c r="B11" s="556"/>
      <c r="C11" s="556"/>
      <c r="D11" s="557"/>
      <c r="E11" s="557"/>
      <c r="F11" s="557"/>
      <c r="G11" s="557"/>
      <c r="H11" s="557"/>
    </row>
    <row r="12" spans="1:10">
      <c r="A12" s="16"/>
      <c r="B12" s="17"/>
      <c r="C12" s="17"/>
      <c r="D12" s="17"/>
      <c r="E12" s="17"/>
      <c r="F12" s="17"/>
      <c r="G12" s="17"/>
      <c r="H12" s="18"/>
    </row>
    <row r="13" spans="1:10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0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0">
      <c r="A15" s="553" t="s">
        <v>57</v>
      </c>
      <c r="B15" s="554"/>
      <c r="C15" s="554"/>
      <c r="D15" s="555"/>
      <c r="E15" s="149" t="str">
        <f>IF($A15=0,0,_xlfn.XLOOKUP($A15,INS[DESCRIPCIÓN],INS[UNIDAD]))</f>
        <v>BLT</v>
      </c>
      <c r="F15" s="120">
        <v>7.5</v>
      </c>
      <c r="G15" s="60">
        <f>IF($A15=0,0,_xlfn.XLOOKUP($A15,INS[DESCRIPCIÓN],INS[PROMEDIO]))</f>
        <v>37000</v>
      </c>
      <c r="H15" s="25">
        <f>+F15*G15</f>
        <v>277500</v>
      </c>
      <c r="J15" s="431"/>
    </row>
    <row r="16" spans="1:10">
      <c r="A16" s="553" t="s">
        <v>75</v>
      </c>
      <c r="B16" s="554"/>
      <c r="C16" s="554"/>
      <c r="D16" s="555"/>
      <c r="E16" s="149" t="str">
        <f>IF($A16=0,0,_xlfn.XLOOKUP($A16,INS[DESCRIPCIÓN],INS[UNIDAD]))</f>
        <v>M3</v>
      </c>
      <c r="F16" s="120">
        <v>0.9</v>
      </c>
      <c r="G16" s="60">
        <f>IF($A16=0,0,_xlfn.XLOOKUP($A16,INS[DESCRIPCIÓN],INS[PROMEDIO]))</f>
        <v>65545</v>
      </c>
      <c r="H16" s="25">
        <f>+F16*G16</f>
        <v>58990.5</v>
      </c>
      <c r="J16" s="431"/>
    </row>
    <row r="17" spans="1:10">
      <c r="A17" s="553" t="s">
        <v>625</v>
      </c>
      <c r="B17" s="554"/>
      <c r="C17" s="554"/>
      <c r="D17" s="555"/>
      <c r="E17" s="149" t="str">
        <f>IF($A17=0,0,_xlfn.XLOOKUP($A17,INS[DESCRIPCIÓN],INS[UNIDAD]))</f>
        <v>M3</v>
      </c>
      <c r="F17" s="120">
        <v>0.52</v>
      </c>
      <c r="G17" s="60">
        <f>IF($A17=0,0,_xlfn.XLOOKUP($A17,INS[DESCRIPCIÓN],INS[PROMEDIO]))</f>
        <v>47338</v>
      </c>
      <c r="H17" s="25">
        <f>+F17*G17</f>
        <v>24615.760000000002</v>
      </c>
      <c r="J17" s="431"/>
    </row>
    <row r="18" spans="1:10">
      <c r="A18" s="553" t="s">
        <v>54</v>
      </c>
      <c r="B18" s="554"/>
      <c r="C18" s="554"/>
      <c r="D18" s="555"/>
      <c r="E18" s="149" t="str">
        <f>IF($A18=0,0,_xlfn.XLOOKUP($A18,INS[DESCRIPCIÓN],INS[UNIDAD]))</f>
        <v>LT</v>
      </c>
      <c r="F18" s="120">
        <v>170</v>
      </c>
      <c r="G18" s="60">
        <f>IF($A18=0,0,_xlfn.XLOOKUP($A18,INS[DESCRIPCIÓN],INS[PROMEDIO]))</f>
        <v>35</v>
      </c>
      <c r="H18" s="25">
        <f t="shared" ref="H18:H20" si="0">+F18*G18</f>
        <v>5950</v>
      </c>
    </row>
    <row r="19" spans="1:10">
      <c r="A19" s="553" t="s">
        <v>685</v>
      </c>
      <c r="B19" s="554"/>
      <c r="C19" s="554"/>
      <c r="D19" s="555"/>
      <c r="E19" s="149" t="str">
        <f>IF($A19=0,0,_xlfn.XLOOKUP($A19,INS[DESCRIPCIÓN],INS[UNIDAD]))</f>
        <v>KG</v>
      </c>
      <c r="F19" s="120">
        <f>5*0.2</f>
        <v>1</v>
      </c>
      <c r="G19" s="60">
        <f>IF($A19=0,0,_xlfn.XLOOKUP($A19,INS[DESCRIPCIÓN],INS[PROMEDIO]))</f>
        <v>13145</v>
      </c>
      <c r="H19" s="25">
        <f t="shared" si="0"/>
        <v>13145</v>
      </c>
    </row>
    <row r="20" spans="1:10">
      <c r="A20" s="553" t="s">
        <v>687</v>
      </c>
      <c r="B20" s="554"/>
      <c r="C20" s="554"/>
      <c r="D20" s="555"/>
      <c r="E20" s="149" t="str">
        <f>IF($A20=0,0,_xlfn.XLOOKUP($A20,INS[DESCRIPCIÓN],INS[UNIDAD]))</f>
        <v>GLN</v>
      </c>
      <c r="F20" s="120">
        <f>4/100</f>
        <v>0.04</v>
      </c>
      <c r="G20" s="60">
        <f>IF($A20=0,0,_xlfn.XLOOKUP($A20,INS[DESCRIPCIÓN],INS[PROMEDIO]))</f>
        <v>584900</v>
      </c>
      <c r="H20" s="25">
        <f t="shared" si="0"/>
        <v>23396</v>
      </c>
    </row>
    <row r="21" spans="1:10">
      <c r="A21" s="553" t="s">
        <v>78</v>
      </c>
      <c r="B21" s="554"/>
      <c r="C21" s="554"/>
      <c r="D21" s="555"/>
      <c r="E21" s="149" t="str">
        <f>IF($A21=0,0,_xlfn.XLOOKUP($A21,INS[DESCRIPCIÓN],INS[UNIDAD]))</f>
        <v>DOCENA</v>
      </c>
      <c r="F21" s="120">
        <v>0.08</v>
      </c>
      <c r="G21" s="60">
        <f>IF($A21=0,0,_xlfn.XLOOKUP($A21,INS[DESCRIPCIÓN],INS[PROMEDIO]))</f>
        <v>295000</v>
      </c>
      <c r="H21" s="25">
        <f t="shared" ref="H21" si="1">+F21*G21</f>
        <v>23600</v>
      </c>
    </row>
    <row r="22" spans="1:10">
      <c r="A22" s="553" t="s">
        <v>691</v>
      </c>
      <c r="B22" s="554"/>
      <c r="C22" s="554"/>
      <c r="D22" s="555"/>
      <c r="E22" s="149" t="str">
        <f>IF($A22=0,0,_xlfn.XLOOKUP($A22,INS[DESCRIPCIÓN],INS[UNIDAD]))</f>
        <v>UND</v>
      </c>
      <c r="F22" s="430">
        <v>3.5999999999999999E-3</v>
      </c>
      <c r="G22" s="60">
        <f>IF($A22=0,0,_xlfn.XLOOKUP($A22,INS[DESCRIPCIÓN],INS[PROMEDIO]))</f>
        <v>790000</v>
      </c>
      <c r="H22" s="25">
        <f t="shared" ref="H22" si="2">+F22*G22</f>
        <v>2844</v>
      </c>
    </row>
    <row r="23" spans="1:10">
      <c r="A23" s="553" t="s">
        <v>31</v>
      </c>
      <c r="B23" s="554"/>
      <c r="C23" s="554"/>
      <c r="D23" s="555"/>
      <c r="E23" s="30" t="s">
        <v>32</v>
      </c>
      <c r="F23" s="31">
        <v>0.05</v>
      </c>
      <c r="G23" s="32">
        <f>H47</f>
        <v>329000</v>
      </c>
      <c r="H23" s="25">
        <f>F23*G23</f>
        <v>16450</v>
      </c>
    </row>
    <row r="24" spans="1:10">
      <c r="A24" s="16"/>
      <c r="B24" s="17"/>
      <c r="C24" s="17"/>
      <c r="D24" s="17"/>
      <c r="E24" s="17"/>
      <c r="F24" s="17"/>
      <c r="G24" s="33" t="s">
        <v>33</v>
      </c>
      <c r="H24" s="34">
        <f>SUM(H15:H23)</f>
        <v>446491.26</v>
      </c>
    </row>
    <row r="25" spans="1:10">
      <c r="A25" s="16"/>
      <c r="B25" s="17"/>
      <c r="C25" s="17"/>
      <c r="D25" s="17"/>
      <c r="E25" s="17"/>
      <c r="F25" s="17"/>
      <c r="G25" s="17"/>
      <c r="H25" s="18"/>
    </row>
    <row r="26" spans="1:10">
      <c r="A26" s="558" t="s">
        <v>34</v>
      </c>
      <c r="B26" s="558"/>
      <c r="C26" s="558"/>
      <c r="D26" s="558"/>
      <c r="E26" s="558"/>
      <c r="F26" s="558"/>
      <c r="G26" s="558"/>
      <c r="H26" s="558"/>
    </row>
    <row r="27" spans="1:10">
      <c r="A27" s="563" t="s">
        <v>4</v>
      </c>
      <c r="B27" s="564"/>
      <c r="C27" s="564"/>
      <c r="D27" s="20" t="s">
        <v>35</v>
      </c>
      <c r="E27" s="20" t="s">
        <v>5</v>
      </c>
      <c r="F27" s="20" t="s">
        <v>36</v>
      </c>
      <c r="G27" s="20" t="s">
        <v>37</v>
      </c>
      <c r="H27" s="22" t="s">
        <v>30</v>
      </c>
    </row>
    <row r="28" spans="1:10">
      <c r="A28" s="565" t="s">
        <v>290</v>
      </c>
      <c r="B28" s="565"/>
      <c r="C28" s="565"/>
      <c r="D28" s="61"/>
      <c r="E28" s="120" t="str">
        <f>+IF($A28=0,0,_xlfn.XLOOKUP($A28,EQUI[DESCRIPCIÓN],EQUI[UNIDAD]))</f>
        <v>HORA</v>
      </c>
      <c r="F28" s="120">
        <f>+IF($A28=0,0,_xlfn.XLOOKUP($A28,EQUI[DESCRIPCIÓN],EQUI[VALOR]))</f>
        <v>10000</v>
      </c>
      <c r="G28" s="120">
        <f>+IF($A28=0,0,_xlfn.XLOOKUP($A28,EQUI[DESCRIPCIÓN],EQUI[RENDIMIENTO]))</f>
        <v>2.5</v>
      </c>
      <c r="H28" s="25">
        <f>F28*G28</f>
        <v>25000</v>
      </c>
    </row>
    <row r="29" spans="1:10">
      <c r="A29" s="565" t="s">
        <v>690</v>
      </c>
      <c r="B29" s="565"/>
      <c r="C29" s="565"/>
      <c r="D29" s="61"/>
      <c r="E29" s="120" t="str">
        <f>+IF($A29=0,0,_xlfn.XLOOKUP($A29,EQUI[DESCRIPCIÓN],EQUI[UNIDAD]))</f>
        <v>DIA</v>
      </c>
      <c r="F29" s="120">
        <f>+IF($A29=0,0,_xlfn.XLOOKUP($A29,EQUI[DESCRIPCIÓN],EQUI[VALOR]))</f>
        <v>80000</v>
      </c>
      <c r="G29" s="120">
        <f>+IF($A29=0,0,_xlfn.XLOOKUP($A29,EQUI[DESCRIPCIÓN],EQUI[RENDIMIENTO]))</f>
        <v>0.1</v>
      </c>
      <c r="H29" s="25">
        <f>F29*G29</f>
        <v>8000</v>
      </c>
    </row>
    <row r="30" spans="1:10">
      <c r="A30" s="565" t="s">
        <v>689</v>
      </c>
      <c r="B30" s="565"/>
      <c r="C30" s="565"/>
      <c r="D30" s="61"/>
      <c r="E30" s="120" t="str">
        <f>+IF($A30=0,0,_xlfn.XLOOKUP($A30,EQUI[DESCRIPCIÓN],EQUI[UNIDAD]))</f>
        <v>DIA</v>
      </c>
      <c r="F30" s="120">
        <f>+IF($A30=0,0,_xlfn.XLOOKUP($A30,EQUI[DESCRIPCIÓN],EQUI[VALOR]))</f>
        <v>180000</v>
      </c>
      <c r="G30" s="120">
        <f>+IF($A30=0,0,_xlfn.XLOOKUP($A30,EQUI[DESCRIPCIÓN],EQUI[RENDIMIENTO]))</f>
        <v>0.2</v>
      </c>
      <c r="H30" s="25">
        <f>F30*G30</f>
        <v>36000</v>
      </c>
    </row>
    <row r="31" spans="1:10">
      <c r="A31" s="566"/>
      <c r="B31" s="567"/>
      <c r="C31" s="567"/>
      <c r="D31" s="36"/>
      <c r="E31" s="36"/>
      <c r="F31" s="36"/>
      <c r="G31" s="36"/>
      <c r="H31" s="37"/>
    </row>
    <row r="32" spans="1:10">
      <c r="A32" s="16"/>
      <c r="B32" s="17"/>
      <c r="C32" s="17"/>
      <c r="D32" s="17"/>
      <c r="E32" s="17"/>
      <c r="F32" s="17"/>
      <c r="G32" s="38" t="s">
        <v>33</v>
      </c>
      <c r="H32" s="34">
        <f>SUM(H28:H31)</f>
        <v>69000</v>
      </c>
    </row>
    <row r="33" spans="1:8">
      <c r="A33" s="16"/>
      <c r="B33" s="17"/>
      <c r="C33" s="17"/>
      <c r="D33" s="17"/>
      <c r="E33" s="17"/>
      <c r="F33" s="17"/>
      <c r="G33" s="39"/>
      <c r="H33" s="40"/>
    </row>
    <row r="34" spans="1:8">
      <c r="A34" s="568" t="s">
        <v>38</v>
      </c>
      <c r="B34" s="569"/>
      <c r="C34" s="569"/>
      <c r="D34" s="569"/>
      <c r="E34" s="569"/>
      <c r="F34" s="569"/>
      <c r="G34" s="569"/>
      <c r="H34" s="570"/>
    </row>
    <row r="35" spans="1:8">
      <c r="A35" s="563" t="s">
        <v>39</v>
      </c>
      <c r="B35" s="564"/>
      <c r="C35" s="564"/>
      <c r="D35" s="20" t="s">
        <v>262</v>
      </c>
      <c r="E35" s="20" t="s">
        <v>41</v>
      </c>
      <c r="F35" s="20" t="s">
        <v>42</v>
      </c>
      <c r="G35" s="20" t="s">
        <v>43</v>
      </c>
      <c r="H35" s="22" t="s">
        <v>30</v>
      </c>
    </row>
    <row r="36" spans="1:8" ht="27.6" customHeight="1">
      <c r="A36" s="571" t="s">
        <v>277</v>
      </c>
      <c r="B36" s="571"/>
      <c r="C36" s="571"/>
      <c r="D36" s="124">
        <f>IF($A$36=0,0,VLOOKUP($A$36,TRANS!$A$2:$F$38,5,FALSE))</f>
        <v>1.1000000000000001</v>
      </c>
      <c r="E36" s="42">
        <f>IF($A$36=0,0,VLOOKUP($A$36,TRANS!$A$2:$D$38,3,FALSE))</f>
        <v>125</v>
      </c>
      <c r="F36" s="147">
        <f>+F16+F17</f>
        <v>1.42</v>
      </c>
      <c r="G36" s="123">
        <f>IF($A$36=0,0,VLOOKUP($A$36,TRANS!$A$2:$D$38,4,FALSE))</f>
        <v>1800</v>
      </c>
      <c r="H36" s="25">
        <f>+E36*F36*G36*D36</f>
        <v>351450</v>
      </c>
    </row>
    <row r="37" spans="1:8">
      <c r="A37" s="572"/>
      <c r="B37" s="572"/>
      <c r="C37" s="572"/>
      <c r="D37" s="41"/>
      <c r="E37" s="19"/>
      <c r="F37" s="19"/>
      <c r="G37" s="43"/>
      <c r="H37" s="25"/>
    </row>
    <row r="38" spans="1:8">
      <c r="A38" s="566"/>
      <c r="B38" s="567"/>
      <c r="C38" s="567"/>
      <c r="D38" s="44"/>
      <c r="E38" s="19"/>
      <c r="F38" s="19"/>
      <c r="G38" s="45"/>
      <c r="H38" s="25"/>
    </row>
    <row r="39" spans="1:8">
      <c r="A39" s="566"/>
      <c r="B39" s="567"/>
      <c r="C39" s="567"/>
      <c r="D39" s="36"/>
      <c r="E39" s="36"/>
      <c r="F39" s="36"/>
      <c r="G39" s="36"/>
      <c r="H39" s="37"/>
    </row>
    <row r="40" spans="1:8">
      <c r="A40" s="16"/>
      <c r="B40" s="17"/>
      <c r="C40" s="17"/>
      <c r="D40" s="17"/>
      <c r="E40" s="17"/>
      <c r="F40" s="17"/>
      <c r="G40" s="46" t="s">
        <v>33</v>
      </c>
      <c r="H40" s="34">
        <f>SUM(H36:H39)</f>
        <v>351450</v>
      </c>
    </row>
    <row r="41" spans="1:8">
      <c r="A41" s="16"/>
      <c r="B41" s="17"/>
      <c r="C41" s="17"/>
      <c r="D41" s="17"/>
      <c r="E41" s="17"/>
      <c r="F41" s="17"/>
      <c r="G41" s="39"/>
      <c r="H41" s="40"/>
    </row>
    <row r="42" spans="1:8">
      <c r="A42" s="558" t="s">
        <v>44</v>
      </c>
      <c r="B42" s="558"/>
      <c r="C42" s="558"/>
      <c r="D42" s="558"/>
      <c r="E42" s="558"/>
      <c r="F42" s="558"/>
      <c r="G42" s="562"/>
      <c r="H42" s="562"/>
    </row>
    <row r="43" spans="1:8" ht="27.6">
      <c r="A43" s="577" t="s">
        <v>4</v>
      </c>
      <c r="B43" s="578"/>
      <c r="C43" s="578"/>
      <c r="D43" s="47" t="s">
        <v>45</v>
      </c>
      <c r="E43" s="22" t="s">
        <v>20</v>
      </c>
      <c r="F43" s="22" t="s">
        <v>46</v>
      </c>
      <c r="G43" s="22" t="s">
        <v>47</v>
      </c>
      <c r="H43" s="22" t="s">
        <v>30</v>
      </c>
    </row>
    <row r="44" spans="1:8">
      <c r="A44" s="566" t="s">
        <v>48</v>
      </c>
      <c r="B44" s="567"/>
      <c r="C44" s="567"/>
      <c r="D44" s="48">
        <f>MO!F31/8</f>
        <v>24791.666666666668</v>
      </c>
      <c r="E44" s="19">
        <v>1</v>
      </c>
      <c r="F44" s="24">
        <f>D44*E44</f>
        <v>24791.666666666668</v>
      </c>
      <c r="G44" s="23">
        <f>+IF(AND($E$44=1,$E$45=1),_xlfn.XLOOKUP($D$10,REND[DESCRIPCIÓN],REND[RENDIMIENTO (1)]),IF(AND($E$44=1,$E$45=2),_xlfn.XLOOKUP($D$10,REND[DESCRIPCIÓN],REND[RENDIMIENTO (2)]),IF(AND($E$44=1,$E$45=3),_xlfn.XLOOKUP($D$10,REND[DESCRIPCIÓN],REND[RENDIMIENTO (3)]),IF(AND($E$44=1,$E$45=4),_xlfn.XLOOKUP($D$10,REND[DESCRIPCIÓN],REND[RENDIMIENTO (4)]),0))))</f>
        <v>4.8</v>
      </c>
      <c r="H44" s="49">
        <f>F44*G44</f>
        <v>119000</v>
      </c>
    </row>
    <row r="45" spans="1:8">
      <c r="A45" s="566" t="s">
        <v>49</v>
      </c>
      <c r="B45" s="567"/>
      <c r="C45" s="567"/>
      <c r="D45" s="48">
        <f>MO!F14/8</f>
        <v>14583.333333333334</v>
      </c>
      <c r="E45" s="19">
        <v>3</v>
      </c>
      <c r="F45" s="24">
        <f>D45*E45</f>
        <v>43750</v>
      </c>
      <c r="G45" s="23">
        <f>+IF(AND($E$44=1,$E$45=1),_xlfn.XLOOKUP($D$10,REND[DESCRIPCIÓN],REND[RENDIMIENTO (1)]),IF(AND($E$44=1,$E$45=2),_xlfn.XLOOKUP($D$10,REND[DESCRIPCIÓN],REND[RENDIMIENTO (2)]),IF(AND($E$44=1,$E$45=3),_xlfn.XLOOKUP($D$10,REND[DESCRIPCIÓN],REND[RENDIMIENTO (3)]),IF(AND($E$44=1,$E$45=4),_xlfn.XLOOKUP($D$10,REND[DESCRIPCIÓN],REND[RENDIMIENTO (4)]),0))))</f>
        <v>4.8</v>
      </c>
      <c r="H45" s="49">
        <f t="shared" ref="H45:H46" si="3">F45*G45</f>
        <v>210000</v>
      </c>
    </row>
    <row r="46" spans="1:8">
      <c r="A46" s="566"/>
      <c r="B46" s="567"/>
      <c r="C46" s="567"/>
      <c r="D46" s="36"/>
      <c r="E46" s="36"/>
      <c r="F46" s="50"/>
      <c r="G46" s="36"/>
      <c r="H46" s="49">
        <f t="shared" si="3"/>
        <v>0</v>
      </c>
    </row>
    <row r="47" spans="1:8">
      <c r="A47" s="16"/>
      <c r="B47" s="17"/>
      <c r="C47" s="17"/>
      <c r="D47" s="17"/>
      <c r="E47" s="17"/>
      <c r="F47" s="17"/>
      <c r="G47" s="38" t="s">
        <v>33</v>
      </c>
      <c r="H47" s="49">
        <f>SUM(H44:H46)</f>
        <v>329000</v>
      </c>
    </row>
    <row r="48" spans="1:8">
      <c r="A48" s="16"/>
      <c r="B48" s="17"/>
      <c r="C48" s="17"/>
      <c r="D48" s="17"/>
      <c r="E48" s="17"/>
      <c r="F48" s="17"/>
      <c r="G48" s="17"/>
      <c r="H48" s="18"/>
    </row>
    <row r="49" spans="1:8">
      <c r="A49" s="545" t="s">
        <v>50</v>
      </c>
      <c r="B49" s="545"/>
      <c r="C49" s="545"/>
      <c r="D49" s="545"/>
      <c r="E49" s="545"/>
      <c r="F49" s="545"/>
      <c r="G49" s="545"/>
      <c r="H49" s="25">
        <f>ROUND(H24+H32+H40+H47,0)</f>
        <v>1195941</v>
      </c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1"/>
      <c r="B53" s="52"/>
      <c r="C53" s="52"/>
      <c r="D53" s="52"/>
      <c r="E53" s="52"/>
      <c r="F53" s="52"/>
      <c r="G53" s="52"/>
      <c r="H53" s="53"/>
    </row>
    <row r="54" spans="1:8">
      <c r="A54" s="54"/>
      <c r="B54" s="55"/>
      <c r="C54" s="55"/>
      <c r="D54" s="55"/>
      <c r="E54" s="55"/>
      <c r="F54" s="55"/>
      <c r="G54" s="55"/>
      <c r="H54" s="56"/>
    </row>
    <row r="55" spans="1:8">
      <c r="A55" s="579" t="s">
        <v>248</v>
      </c>
      <c r="B55" s="580"/>
      <c r="C55" s="580"/>
      <c r="D55" s="580"/>
      <c r="E55" s="55"/>
      <c r="F55" s="580" t="s">
        <v>264</v>
      </c>
      <c r="G55" s="580"/>
      <c r="H55" s="581"/>
    </row>
    <row r="56" spans="1:8">
      <c r="A56" s="573" t="s">
        <v>247</v>
      </c>
      <c r="B56" s="574"/>
      <c r="C56" s="574"/>
      <c r="D56" s="574"/>
      <c r="E56" s="55"/>
      <c r="F56" s="575" t="s">
        <v>51</v>
      </c>
      <c r="G56" s="575"/>
      <c r="H56" s="576"/>
    </row>
    <row r="57" spans="1:8">
      <c r="A57" s="57"/>
      <c r="B57" s="58"/>
      <c r="C57" s="58"/>
      <c r="D57" s="58"/>
      <c r="E57" s="58"/>
      <c r="F57" s="58"/>
      <c r="G57" s="58"/>
      <c r="H57" s="59"/>
    </row>
  </sheetData>
  <mergeCells count="41">
    <mergeCell ref="A55:D55"/>
    <mergeCell ref="F55:H55"/>
    <mergeCell ref="A56:D56"/>
    <mergeCell ref="F56:H56"/>
    <mergeCell ref="A22:D22"/>
    <mergeCell ref="A42:H42"/>
    <mergeCell ref="A43:C43"/>
    <mergeCell ref="A44:C44"/>
    <mergeCell ref="A45:C45"/>
    <mergeCell ref="A46:C46"/>
    <mergeCell ref="A49:G49"/>
    <mergeCell ref="A34:H34"/>
    <mergeCell ref="A35:C35"/>
    <mergeCell ref="A36:C36"/>
    <mergeCell ref="A37:C37"/>
    <mergeCell ref="A38:C38"/>
    <mergeCell ref="A39:C39"/>
    <mergeCell ref="A26:H26"/>
    <mergeCell ref="A27:C27"/>
    <mergeCell ref="A28:C28"/>
    <mergeCell ref="A29:C29"/>
    <mergeCell ref="A30:C30"/>
    <mergeCell ref="A31:C31"/>
    <mergeCell ref="A23:D23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61EB6FD-39FE-41DF-8292-798A488BA699}">
          <x14:formula1>
            <xm:f>EQUI!$A$2:$A$40</xm:f>
          </x14:formula1>
          <xm:sqref>A28:C28</xm:sqref>
        </x14:dataValidation>
        <x14:dataValidation type="list" showInputMessage="1" showErrorMessage="1" xr:uid="{9042C1C0-296B-428D-960D-422A76A1216E}">
          <x14:formula1>
            <xm:f>INS!$A$2:$A$137</xm:f>
          </x14:formula1>
          <xm:sqref>A15:D22</xm:sqref>
        </x14:dataValidation>
        <x14:dataValidation type="list" showInputMessage="1" showErrorMessage="1" xr:uid="{CA6217FB-F75B-4D95-BFD7-11CD10B50BAE}">
          <x14:formula1>
            <xm:f>TRANS!$A$2:$A$20</xm:f>
          </x14:formula1>
          <xm:sqref>A36:C36</xm:sqref>
        </x14:dataValidation>
        <x14:dataValidation type="list" allowBlank="1" showInputMessage="1" showErrorMessage="1" xr:uid="{3CD4B4B8-7361-4BA7-8347-1928525F4004}">
          <x14:formula1>
            <xm:f>EQUI!$A$2:$A$38</xm:f>
          </x14:formula1>
          <xm:sqref>A29:C30</xm:sqref>
        </x14:dataValidation>
        <x14:dataValidation type="list" showInputMessage="1" showErrorMessage="1" xr:uid="{D71A3E15-63A1-4A5D-9ECF-B09C5D0B50E3}">
          <x14:formula1>
            <xm:f>LIST!$B$3:$B$142</xm:f>
          </x14:formula1>
          <xm:sqref>D10:H11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BE193-7AED-479E-8470-12D84A346814}">
  <sheetPr>
    <tabColor theme="6" tint="0.39997558519241921"/>
  </sheetPr>
  <dimension ref="A1:I62"/>
  <sheetViews>
    <sheetView topLeftCell="C39" workbookViewId="0">
      <selection activeCell="H53" sqref="H53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>
        <f>+_xlfn.XLOOKUP(D10,PTO!$D$4:$D$39,PTO!$C$4:$C$39)</f>
        <v>2.0199999999999996</v>
      </c>
      <c r="E9" s="20" t="s">
        <v>26</v>
      </c>
      <c r="F9" s="19" t="str">
        <f>+_xlfn.XLOOKUP($D$10,LIST[DESCRIPCIÓN],LIST[UNIDAD])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694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57</v>
      </c>
      <c r="B15" s="554"/>
      <c r="C15" s="554"/>
      <c r="D15" s="555"/>
      <c r="E15" s="149" t="str">
        <f>IF($A15=0,0,_xlfn.XLOOKUP($A15,INS[DESCRIPCIÓN],INS[UNIDAD]))</f>
        <v>BLT</v>
      </c>
      <c r="F15" s="120">
        <v>8.56</v>
      </c>
      <c r="G15" s="60">
        <f>IF($A15=0,0,_xlfn.XLOOKUP($A15,INS[DESCRIPCIÓN],INS[PROMEDIO]))</f>
        <v>37000</v>
      </c>
      <c r="H15" s="25">
        <f>+F15*G15</f>
        <v>316720</v>
      </c>
    </row>
    <row r="16" spans="1:8">
      <c r="A16" s="553" t="s">
        <v>75</v>
      </c>
      <c r="B16" s="554"/>
      <c r="C16" s="554"/>
      <c r="D16" s="555"/>
      <c r="E16" s="149" t="str">
        <f>IF($A16=0,0,_xlfn.XLOOKUP($A16,INS[DESCRIPCIÓN],INS[UNIDAD]))</f>
        <v>M3</v>
      </c>
      <c r="F16" s="120">
        <v>0.8</v>
      </c>
      <c r="G16" s="60">
        <f>IF($A16=0,0,_xlfn.XLOOKUP($A16,INS[DESCRIPCIÓN],INS[PROMEDIO]))</f>
        <v>65545</v>
      </c>
      <c r="H16" s="25">
        <f>+F16*G16</f>
        <v>52436</v>
      </c>
    </row>
    <row r="17" spans="1:8">
      <c r="A17" s="553" t="s">
        <v>625</v>
      </c>
      <c r="B17" s="554"/>
      <c r="C17" s="554"/>
      <c r="D17" s="555"/>
      <c r="E17" s="149" t="str">
        <f>IF($A17=0,0,_xlfn.XLOOKUP($A17,INS[DESCRIPCIÓN],INS[UNIDAD]))</f>
        <v>M3</v>
      </c>
      <c r="F17" s="120">
        <v>0.62</v>
      </c>
      <c r="G17" s="60">
        <f>IF($A17=0,0,_xlfn.XLOOKUP($A17,INS[DESCRIPCIÓN],INS[PROMEDIO]))</f>
        <v>47338</v>
      </c>
      <c r="H17" s="25">
        <f>+F17*G17</f>
        <v>29349.56</v>
      </c>
    </row>
    <row r="18" spans="1:8">
      <c r="A18" s="553" t="s">
        <v>54</v>
      </c>
      <c r="B18" s="554"/>
      <c r="C18" s="554"/>
      <c r="D18" s="555"/>
      <c r="E18" s="149" t="str">
        <f>IF($A18=0,0,_xlfn.XLOOKUP($A18,INS[DESCRIPCIÓN],INS[UNIDAD]))</f>
        <v>LT</v>
      </c>
      <c r="F18" s="120">
        <v>170</v>
      </c>
      <c r="G18" s="60">
        <f>IF($A18=0,0,_xlfn.XLOOKUP($A18,INS[DESCRIPCIÓN],INS[PROMEDIO]))</f>
        <v>35</v>
      </c>
      <c r="H18" s="25">
        <f t="shared" ref="H18:H22" si="0">+F18*G18</f>
        <v>5950</v>
      </c>
    </row>
    <row r="19" spans="1:8">
      <c r="A19" s="553" t="s">
        <v>685</v>
      </c>
      <c r="B19" s="554"/>
      <c r="C19" s="554"/>
      <c r="D19" s="555"/>
      <c r="E19" s="149" t="str">
        <f>IF($A19=0,0,_xlfn.XLOOKUP($A19,INS[DESCRIPCIÓN],INS[UNIDAD]))</f>
        <v>KG</v>
      </c>
      <c r="F19" s="120">
        <f>5*0.2</f>
        <v>1</v>
      </c>
      <c r="G19" s="60">
        <f>IF($A19=0,0,_xlfn.XLOOKUP($A19,INS[DESCRIPCIÓN],INS[PROMEDIO]))</f>
        <v>13145</v>
      </c>
      <c r="H19" s="25">
        <f t="shared" si="0"/>
        <v>13145</v>
      </c>
    </row>
    <row r="20" spans="1:8">
      <c r="A20" s="553" t="s">
        <v>687</v>
      </c>
      <c r="B20" s="554"/>
      <c r="C20" s="554"/>
      <c r="D20" s="555"/>
      <c r="E20" s="149" t="str">
        <f>IF($A20=0,0,_xlfn.XLOOKUP($A20,INS[DESCRIPCIÓN],INS[UNIDAD]))</f>
        <v>GLN</v>
      </c>
      <c r="F20" s="120">
        <f>4/100</f>
        <v>0.04</v>
      </c>
      <c r="G20" s="60">
        <f>IF($A20=0,0,_xlfn.XLOOKUP($A20,INS[DESCRIPCIÓN],INS[PROMEDIO]))</f>
        <v>584900</v>
      </c>
      <c r="H20" s="25">
        <f t="shared" si="0"/>
        <v>23396</v>
      </c>
    </row>
    <row r="21" spans="1:8">
      <c r="A21" s="553" t="s">
        <v>78</v>
      </c>
      <c r="B21" s="554"/>
      <c r="C21" s="554"/>
      <c r="D21" s="555"/>
      <c r="E21" s="149" t="str">
        <f>IF($A21=0,0,_xlfn.XLOOKUP($A21,INS[DESCRIPCIÓN],INS[UNIDAD]))</f>
        <v>DOCENA</v>
      </c>
      <c r="F21" s="120">
        <v>0.08</v>
      </c>
      <c r="G21" s="60">
        <f>IF($A21=0,0,_xlfn.XLOOKUP($A21,INS[DESCRIPCIÓN],INS[PROMEDIO]))</f>
        <v>295000</v>
      </c>
      <c r="H21" s="25">
        <f t="shared" si="0"/>
        <v>23600</v>
      </c>
    </row>
    <row r="22" spans="1:8">
      <c r="A22" s="553" t="s">
        <v>691</v>
      </c>
      <c r="B22" s="554"/>
      <c r="C22" s="554"/>
      <c r="D22" s="555"/>
      <c r="E22" s="149" t="str">
        <f>IF($A22=0,0,_xlfn.XLOOKUP($A22,INS[DESCRIPCIÓN],INS[UNIDAD]))</f>
        <v>UND</v>
      </c>
      <c r="F22" s="430">
        <v>3.5999999999999999E-3</v>
      </c>
      <c r="G22" s="60">
        <f>IF($A22=0,0,_xlfn.XLOOKUP($A22,INS[DESCRIPCIÓN],INS[PROMEDIO]))</f>
        <v>790000</v>
      </c>
      <c r="H22" s="25">
        <f t="shared" si="0"/>
        <v>2844</v>
      </c>
    </row>
    <row r="23" spans="1:8">
      <c r="A23" s="553" t="s">
        <v>31</v>
      </c>
      <c r="B23" s="554"/>
      <c r="C23" s="554"/>
      <c r="D23" s="555"/>
      <c r="E23" s="30" t="s">
        <v>32</v>
      </c>
      <c r="F23" s="31">
        <v>0.05</v>
      </c>
      <c r="G23" s="32">
        <f>H47</f>
        <v>342708.33333333337</v>
      </c>
      <c r="H23" s="25">
        <f>F23*G23</f>
        <v>17135.416666666668</v>
      </c>
    </row>
    <row r="24" spans="1:8">
      <c r="A24" s="16"/>
      <c r="B24" s="17"/>
      <c r="C24" s="17"/>
      <c r="D24" s="17"/>
      <c r="E24" s="17"/>
      <c r="F24" s="17"/>
      <c r="G24" s="33" t="s">
        <v>33</v>
      </c>
      <c r="H24" s="34">
        <f>SUM(H15:H23)</f>
        <v>484575.97666666668</v>
      </c>
    </row>
    <row r="25" spans="1:8">
      <c r="A25" s="16"/>
      <c r="B25" s="17"/>
      <c r="C25" s="17"/>
      <c r="D25" s="17"/>
      <c r="E25" s="17"/>
      <c r="F25" s="17"/>
      <c r="G25" s="17"/>
      <c r="H25" s="18"/>
    </row>
    <row r="26" spans="1:8">
      <c r="A26" s="558" t="s">
        <v>34</v>
      </c>
      <c r="B26" s="558"/>
      <c r="C26" s="558"/>
      <c r="D26" s="558"/>
      <c r="E26" s="558"/>
      <c r="F26" s="558"/>
      <c r="G26" s="558"/>
      <c r="H26" s="558"/>
    </row>
    <row r="27" spans="1:8">
      <c r="A27" s="563" t="s">
        <v>4</v>
      </c>
      <c r="B27" s="564"/>
      <c r="C27" s="564"/>
      <c r="D27" s="20" t="s">
        <v>35</v>
      </c>
      <c r="E27" s="20" t="s">
        <v>5</v>
      </c>
      <c r="F27" s="20" t="s">
        <v>36</v>
      </c>
      <c r="G27" s="20" t="s">
        <v>37</v>
      </c>
      <c r="H27" s="22" t="s">
        <v>30</v>
      </c>
    </row>
    <row r="28" spans="1:8">
      <c r="A28" s="565" t="s">
        <v>290</v>
      </c>
      <c r="B28" s="565"/>
      <c r="C28" s="565"/>
      <c r="D28" s="61"/>
      <c r="E28" s="120" t="str">
        <f>+IF($A28=0,0,_xlfn.XLOOKUP($A28,EQUI[DESCRIPCIÓN],EQUI[UNIDAD]))</f>
        <v>HORA</v>
      </c>
      <c r="F28" s="120">
        <f>+IF($A28=0,0,_xlfn.XLOOKUP($A28,EQUI[DESCRIPCIÓN],EQUI[VALOR]))</f>
        <v>10000</v>
      </c>
      <c r="G28" s="120">
        <f>+IF($A28=0,0,_xlfn.XLOOKUP($A28,EQUI[DESCRIPCIÓN],EQUI[RENDIMIENTO]))</f>
        <v>2.5</v>
      </c>
      <c r="H28" s="25">
        <f>F28*G28</f>
        <v>25000</v>
      </c>
    </row>
    <row r="29" spans="1:8">
      <c r="A29" s="565" t="s">
        <v>690</v>
      </c>
      <c r="B29" s="565"/>
      <c r="C29" s="565"/>
      <c r="D29" s="61"/>
      <c r="E29" s="120" t="str">
        <f>+IF($A29=0,0,_xlfn.XLOOKUP($A29,EQUI[DESCRIPCIÓN],EQUI[UNIDAD]))</f>
        <v>DIA</v>
      </c>
      <c r="F29" s="120">
        <f>+IF($A29=0,0,_xlfn.XLOOKUP($A29,EQUI[DESCRIPCIÓN],EQUI[VALOR]))</f>
        <v>80000</v>
      </c>
      <c r="G29" s="120">
        <f>+IF($A29=0,0,_xlfn.XLOOKUP($A29,EQUI[DESCRIPCIÓN],EQUI[RENDIMIENTO]))</f>
        <v>0.1</v>
      </c>
      <c r="H29" s="25">
        <f>F29*G29</f>
        <v>8000</v>
      </c>
    </row>
    <row r="30" spans="1:8">
      <c r="A30" s="565" t="s">
        <v>689</v>
      </c>
      <c r="B30" s="565"/>
      <c r="C30" s="565"/>
      <c r="D30" s="61"/>
      <c r="E30" s="120" t="str">
        <f>+IF($A30=0,0,_xlfn.XLOOKUP($A30,EQUI[DESCRIPCIÓN],EQUI[UNIDAD]))</f>
        <v>DIA</v>
      </c>
      <c r="F30" s="120">
        <f>+IF($A30=0,0,_xlfn.XLOOKUP($A30,EQUI[DESCRIPCIÓN],EQUI[VALOR]))</f>
        <v>180000</v>
      </c>
      <c r="G30" s="120">
        <f>+IF($A30=0,0,_xlfn.XLOOKUP($A30,EQUI[DESCRIPCIÓN],EQUI[RENDIMIENTO]))</f>
        <v>0.2</v>
      </c>
      <c r="H30" s="25">
        <f>F30*G30</f>
        <v>36000</v>
      </c>
    </row>
    <row r="31" spans="1:8">
      <c r="A31" s="566"/>
      <c r="B31" s="567"/>
      <c r="C31" s="567"/>
      <c r="D31" s="36"/>
      <c r="E31" s="36"/>
      <c r="F31" s="36"/>
      <c r="G31" s="36"/>
      <c r="H31" s="37"/>
    </row>
    <row r="32" spans="1:8">
      <c r="A32" s="16"/>
      <c r="B32" s="17"/>
      <c r="C32" s="17"/>
      <c r="D32" s="17"/>
      <c r="E32" s="17"/>
      <c r="F32" s="17"/>
      <c r="G32" s="38" t="s">
        <v>33</v>
      </c>
      <c r="H32" s="34">
        <f>SUM(H28:H31)</f>
        <v>69000</v>
      </c>
    </row>
    <row r="33" spans="1:8">
      <c r="A33" s="16"/>
      <c r="B33" s="17"/>
      <c r="C33" s="17"/>
      <c r="D33" s="17"/>
      <c r="E33" s="17"/>
      <c r="F33" s="17"/>
      <c r="G33" s="39"/>
      <c r="H33" s="40"/>
    </row>
    <row r="34" spans="1:8">
      <c r="A34" s="568" t="s">
        <v>38</v>
      </c>
      <c r="B34" s="569"/>
      <c r="C34" s="569"/>
      <c r="D34" s="569"/>
      <c r="E34" s="569"/>
      <c r="F34" s="569"/>
      <c r="G34" s="569"/>
      <c r="H34" s="570"/>
    </row>
    <row r="35" spans="1:8">
      <c r="A35" s="563" t="s">
        <v>39</v>
      </c>
      <c r="B35" s="564"/>
      <c r="C35" s="564"/>
      <c r="D35" s="20" t="s">
        <v>262</v>
      </c>
      <c r="E35" s="20" t="s">
        <v>41</v>
      </c>
      <c r="F35" s="20" t="s">
        <v>42</v>
      </c>
      <c r="G35" s="20" t="s">
        <v>43</v>
      </c>
      <c r="H35" s="22" t="s">
        <v>30</v>
      </c>
    </row>
    <row r="36" spans="1:8" ht="27.6" customHeight="1">
      <c r="A36" s="571" t="s">
        <v>277</v>
      </c>
      <c r="B36" s="571"/>
      <c r="C36" s="571"/>
      <c r="D36" s="124">
        <f>IF($A$36=0,0,VLOOKUP($A$36,TRANS!$A$2:$F$38,5,FALSE))</f>
        <v>1.1000000000000001</v>
      </c>
      <c r="E36" s="42">
        <f>IF($A$36=0,0,VLOOKUP($A$36,TRANS!$A$2:$D$38,3,FALSE))</f>
        <v>125</v>
      </c>
      <c r="F36" s="147">
        <f>+F16+F17</f>
        <v>1.42</v>
      </c>
      <c r="G36" s="123">
        <f>IF($A$36=0,0,VLOOKUP($A$36,TRANS!$A$2:$D$38,4,FALSE))</f>
        <v>1800</v>
      </c>
      <c r="H36" s="25">
        <f>+E36*F36*G36*D36</f>
        <v>351450</v>
      </c>
    </row>
    <row r="37" spans="1:8">
      <c r="A37" s="572"/>
      <c r="B37" s="572"/>
      <c r="C37" s="572"/>
      <c r="D37" s="41"/>
      <c r="E37" s="19"/>
      <c r="F37" s="19"/>
      <c r="G37" s="43"/>
      <c r="H37" s="25"/>
    </row>
    <row r="38" spans="1:8">
      <c r="A38" s="566"/>
      <c r="B38" s="567"/>
      <c r="C38" s="567"/>
      <c r="D38" s="44"/>
      <c r="E38" s="19"/>
      <c r="F38" s="19"/>
      <c r="G38" s="45"/>
      <c r="H38" s="25"/>
    </row>
    <row r="39" spans="1:8">
      <c r="A39" s="566"/>
      <c r="B39" s="567"/>
      <c r="C39" s="567"/>
      <c r="D39" s="36"/>
      <c r="E39" s="36"/>
      <c r="F39" s="36"/>
      <c r="G39" s="36"/>
      <c r="H39" s="37"/>
    </row>
    <row r="40" spans="1:8">
      <c r="A40" s="16"/>
      <c r="B40" s="17"/>
      <c r="C40" s="17"/>
      <c r="D40" s="17"/>
      <c r="E40" s="17"/>
      <c r="F40" s="17"/>
      <c r="G40" s="46" t="s">
        <v>33</v>
      </c>
      <c r="H40" s="34">
        <f>SUM(H36:H39)</f>
        <v>351450</v>
      </c>
    </row>
    <row r="41" spans="1:8">
      <c r="A41" s="16"/>
      <c r="B41" s="17"/>
      <c r="C41" s="17"/>
      <c r="D41" s="17"/>
      <c r="E41" s="17"/>
      <c r="F41" s="17"/>
      <c r="G41" s="39"/>
      <c r="H41" s="40"/>
    </row>
    <row r="42" spans="1:8">
      <c r="A42" s="558" t="s">
        <v>44</v>
      </c>
      <c r="B42" s="558"/>
      <c r="C42" s="558"/>
      <c r="D42" s="558"/>
      <c r="E42" s="558"/>
      <c r="F42" s="558"/>
      <c r="G42" s="562"/>
      <c r="H42" s="562"/>
    </row>
    <row r="43" spans="1:8" ht="27.6">
      <c r="A43" s="577" t="s">
        <v>4</v>
      </c>
      <c r="B43" s="578"/>
      <c r="C43" s="578"/>
      <c r="D43" s="47" t="s">
        <v>45</v>
      </c>
      <c r="E43" s="22" t="s">
        <v>20</v>
      </c>
      <c r="F43" s="22" t="s">
        <v>46</v>
      </c>
      <c r="G43" s="22" t="s">
        <v>47</v>
      </c>
      <c r="H43" s="22" t="s">
        <v>30</v>
      </c>
    </row>
    <row r="44" spans="1:8">
      <c r="A44" s="566" t="s">
        <v>48</v>
      </c>
      <c r="B44" s="567"/>
      <c r="C44" s="567"/>
      <c r="D44" s="48">
        <f>MO!F31/8</f>
        <v>24791.666666666668</v>
      </c>
      <c r="E44" s="19">
        <v>1</v>
      </c>
      <c r="F44" s="24">
        <f>D44*E44</f>
        <v>24791.666666666668</v>
      </c>
      <c r="G44" s="23">
        <f>+IF(AND($E$44=1,$E$45=1),_xlfn.XLOOKUP($D$10,REND[DESCRIPCIÓN],REND[RENDIMIENTO (1)]),IF(AND($E$44=1,$E$45=2),_xlfn.XLOOKUP($D$10,REND[DESCRIPCIÓN],REND[RENDIMIENTO (2)]),IF(AND($E$44=1,$E$45=3),_xlfn.XLOOKUP($D$10,REND[DESCRIPCIÓN],REND[RENDIMIENTO (3)]),IF(AND($E$44=1,$E$45=4),_xlfn.XLOOKUP($D$10,REND[DESCRIPCIÓN],REND[RENDIMIENTO (4)]),0))))</f>
        <v>5</v>
      </c>
      <c r="H44" s="49">
        <f>F44*G44</f>
        <v>123958.33333333334</v>
      </c>
    </row>
    <row r="45" spans="1:8">
      <c r="A45" s="566" t="s">
        <v>49</v>
      </c>
      <c r="B45" s="567"/>
      <c r="C45" s="567"/>
      <c r="D45" s="48">
        <f>MO!F14/8</f>
        <v>14583.333333333334</v>
      </c>
      <c r="E45" s="19">
        <v>3</v>
      </c>
      <c r="F45" s="24">
        <f>D45*E45</f>
        <v>43750</v>
      </c>
      <c r="G45" s="23">
        <f>+IF(AND($E$44=1,$E$45=1),_xlfn.XLOOKUP($D$10,REND[DESCRIPCIÓN],REND[RENDIMIENTO (1)]),IF(AND($E$44=1,$E$45=2),_xlfn.XLOOKUP($D$10,REND[DESCRIPCIÓN],REND[RENDIMIENTO (2)]),IF(AND($E$44=1,$E$45=3),_xlfn.XLOOKUP($D$10,REND[DESCRIPCIÓN],REND[RENDIMIENTO (3)]),IF(AND($E$44=1,$E$45=4),_xlfn.XLOOKUP($D$10,REND[DESCRIPCIÓN],REND[RENDIMIENTO (4)]),0))))</f>
        <v>5</v>
      </c>
      <c r="H45" s="49">
        <f t="shared" ref="H45:H46" si="1">F45*G45</f>
        <v>218750</v>
      </c>
    </row>
    <row r="46" spans="1:8">
      <c r="A46" s="566"/>
      <c r="B46" s="567"/>
      <c r="C46" s="567"/>
      <c r="D46" s="36"/>
      <c r="E46" s="36"/>
      <c r="F46" s="50"/>
      <c r="G46" s="36"/>
      <c r="H46" s="49">
        <f t="shared" si="1"/>
        <v>0</v>
      </c>
    </row>
    <row r="47" spans="1:8">
      <c r="A47" s="16"/>
      <c r="B47" s="17"/>
      <c r="C47" s="17"/>
      <c r="D47" s="17"/>
      <c r="E47" s="17"/>
      <c r="F47" s="17"/>
      <c r="G47" s="38" t="s">
        <v>33</v>
      </c>
      <c r="H47" s="49">
        <f>SUM(H44:H46)</f>
        <v>342708.33333333337</v>
      </c>
    </row>
    <row r="48" spans="1:8">
      <c r="A48" s="16"/>
      <c r="B48" s="17"/>
      <c r="C48" s="17"/>
      <c r="D48" s="17"/>
      <c r="E48" s="17"/>
      <c r="F48" s="17"/>
      <c r="G48" s="17"/>
      <c r="H48" s="18"/>
    </row>
    <row r="49" spans="1:9">
      <c r="A49" s="545" t="s">
        <v>710</v>
      </c>
      <c r="B49" s="545"/>
      <c r="C49" s="545"/>
      <c r="D49" s="545"/>
      <c r="E49" s="545"/>
      <c r="F49" s="545"/>
      <c r="G49" s="545"/>
      <c r="H49" s="25">
        <f>ROUND(H24+H32+H40+H47,0)</f>
        <v>1247734</v>
      </c>
    </row>
    <row r="50" spans="1:9">
      <c r="B50" s="433"/>
      <c r="C50" s="453" t="s">
        <v>61</v>
      </c>
      <c r="D50" s="454"/>
      <c r="E50" s="454"/>
      <c r="F50" s="455"/>
      <c r="G50" s="63">
        <v>0.26</v>
      </c>
      <c r="H50" s="442">
        <f>ROUND($H$49*G50,2)</f>
        <v>324410.84000000003</v>
      </c>
    </row>
    <row r="51" spans="1:9">
      <c r="B51" s="433"/>
      <c r="C51" s="453" t="s">
        <v>62</v>
      </c>
      <c r="D51" s="454"/>
      <c r="E51" s="454"/>
      <c r="F51" s="455"/>
      <c r="G51" s="63">
        <v>0.02</v>
      </c>
      <c r="H51" s="442">
        <f>ROUND($H$49*G51,2)</f>
        <v>24954.68</v>
      </c>
    </row>
    <row r="52" spans="1:9">
      <c r="B52" s="433"/>
      <c r="C52" s="453" t="s">
        <v>63</v>
      </c>
      <c r="D52" s="454"/>
      <c r="E52" s="454"/>
      <c r="F52" s="455"/>
      <c r="G52" s="63">
        <v>0.04</v>
      </c>
      <c r="H52" s="442">
        <f>ROUND($H$49*G52,2)</f>
        <v>49909.36</v>
      </c>
    </row>
    <row r="53" spans="1:9">
      <c r="B53" s="433"/>
      <c r="C53" s="453" t="s">
        <v>64</v>
      </c>
      <c r="D53" s="454"/>
      <c r="E53" s="454"/>
      <c r="F53" s="455"/>
      <c r="G53" s="63">
        <f>SUM(G50:G52)</f>
        <v>0.32</v>
      </c>
      <c r="H53" s="64">
        <f>SUM(H50:H52)</f>
        <v>399274.88</v>
      </c>
      <c r="I53" s="109"/>
    </row>
    <row r="54" spans="1:9">
      <c r="B54" s="447" t="s">
        <v>50</v>
      </c>
      <c r="C54" s="448"/>
      <c r="D54" s="448"/>
      <c r="E54" s="448"/>
      <c r="F54" s="448"/>
      <c r="G54" s="449"/>
      <c r="H54" s="434">
        <f>ROUND(H53+H49,2)</f>
        <v>1647008.88</v>
      </c>
      <c r="I54" s="218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1"/>
      <c r="B58" s="52"/>
      <c r="C58" s="52"/>
      <c r="D58" s="52"/>
      <c r="E58" s="52"/>
      <c r="F58" s="52"/>
      <c r="G58" s="52"/>
      <c r="H58" s="53"/>
    </row>
    <row r="59" spans="1:9">
      <c r="A59" s="54"/>
      <c r="B59" s="55"/>
      <c r="C59" s="55"/>
      <c r="D59" s="55"/>
      <c r="E59" s="55"/>
      <c r="F59" s="55"/>
      <c r="G59" s="55"/>
      <c r="H59" s="56"/>
    </row>
    <row r="60" spans="1:9">
      <c r="A60" s="579" t="s">
        <v>248</v>
      </c>
      <c r="B60" s="580"/>
      <c r="C60" s="580"/>
      <c r="D60" s="580"/>
      <c r="E60" s="55"/>
      <c r="F60" s="580" t="s">
        <v>264</v>
      </c>
      <c r="G60" s="580"/>
      <c r="H60" s="581"/>
    </row>
    <row r="61" spans="1:9">
      <c r="A61" s="573" t="s">
        <v>247</v>
      </c>
      <c r="B61" s="574"/>
      <c r="C61" s="574"/>
      <c r="D61" s="574"/>
      <c r="E61" s="55"/>
      <c r="F61" s="575" t="s">
        <v>51</v>
      </c>
      <c r="G61" s="575"/>
      <c r="H61" s="576"/>
    </row>
    <row r="62" spans="1:9">
      <c r="A62" s="57"/>
      <c r="B62" s="58"/>
      <c r="C62" s="58"/>
      <c r="D62" s="58"/>
      <c r="E62" s="58"/>
      <c r="F62" s="58"/>
      <c r="G62" s="58"/>
      <c r="H62" s="59"/>
    </row>
  </sheetData>
  <mergeCells count="46">
    <mergeCell ref="A49:G49"/>
    <mergeCell ref="A60:D60"/>
    <mergeCell ref="F60:H60"/>
    <mergeCell ref="A61:D61"/>
    <mergeCell ref="F61:H61"/>
    <mergeCell ref="C50:F50"/>
    <mergeCell ref="C51:F51"/>
    <mergeCell ref="C52:F52"/>
    <mergeCell ref="C53:F53"/>
    <mergeCell ref="B54:G54"/>
    <mergeCell ref="A46:C46"/>
    <mergeCell ref="A31:C31"/>
    <mergeCell ref="A34:H34"/>
    <mergeCell ref="A35:C35"/>
    <mergeCell ref="A36:C36"/>
    <mergeCell ref="A37:C37"/>
    <mergeCell ref="A38:C38"/>
    <mergeCell ref="A39:C39"/>
    <mergeCell ref="A42:H42"/>
    <mergeCell ref="A43:C43"/>
    <mergeCell ref="A44:C44"/>
    <mergeCell ref="A45:C45"/>
    <mergeCell ref="A30:C30"/>
    <mergeCell ref="A17:D17"/>
    <mergeCell ref="A18:D18"/>
    <mergeCell ref="A19:D19"/>
    <mergeCell ref="A20:D20"/>
    <mergeCell ref="A21:D21"/>
    <mergeCell ref="A22:D22"/>
    <mergeCell ref="A23:D23"/>
    <mergeCell ref="A26:H26"/>
    <mergeCell ref="A27:C27"/>
    <mergeCell ref="A28:C28"/>
    <mergeCell ref="A29:C29"/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00FA271-B508-4292-9BC0-04B3587D6495}">
          <x14:formula1>
            <xm:f>EQUI!$A$2:$A$38</xm:f>
          </x14:formula1>
          <xm:sqref>A29:C30</xm:sqref>
        </x14:dataValidation>
        <x14:dataValidation type="list" showInputMessage="1" showErrorMessage="1" xr:uid="{753F8A19-888B-48A5-A1F4-95C7FAF8E83E}">
          <x14:formula1>
            <xm:f>TRANS!$A$2:$A$20</xm:f>
          </x14:formula1>
          <xm:sqref>A36:C36</xm:sqref>
        </x14:dataValidation>
        <x14:dataValidation type="list" showInputMessage="1" showErrorMessage="1" xr:uid="{59573F5B-1F36-45C9-9F0F-BA8F438B9D20}">
          <x14:formula1>
            <xm:f>INS!$A$2:$A$137</xm:f>
          </x14:formula1>
          <xm:sqref>A15:D22</xm:sqref>
        </x14:dataValidation>
        <x14:dataValidation type="list" allowBlank="1" showInputMessage="1" showErrorMessage="1" xr:uid="{7D7CAE25-927F-4EE6-8E1E-831A4311E21B}">
          <x14:formula1>
            <xm:f>EQUI!$A$2:$A$40</xm:f>
          </x14:formula1>
          <xm:sqref>A28:C28</xm:sqref>
        </x14:dataValidation>
        <x14:dataValidation type="list" showInputMessage="1" showErrorMessage="1" xr:uid="{2FCAC325-7C7E-4F2F-8684-2DD593F3316A}">
          <x14:formula1>
            <xm:f>LIST!$B$3:$B$142</xm:f>
          </x14:formula1>
          <xm:sqref>D10:H11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72BE1-6580-481C-887B-3D286628C4A4}">
  <sheetPr>
    <tabColor theme="6" tint="0.39997558519241921"/>
  </sheetPr>
  <dimension ref="A1:I61"/>
  <sheetViews>
    <sheetView topLeftCell="C35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>
        <f>+_xlfn.XLOOKUP(D10,PTO!$D$4:$D$39,PTO!$C$4:$C$39)</f>
        <v>2.0099999999999998</v>
      </c>
      <c r="E9" s="20" t="s">
        <v>26</v>
      </c>
      <c r="F9" s="19" t="str">
        <f>+_xlfn.XLOOKUP($D$10,LIST[DESCRIPCIÓN],LIST[UNIDAD])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666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682</v>
      </c>
      <c r="B15" s="554"/>
      <c r="C15" s="554"/>
      <c r="D15" s="555"/>
      <c r="E15" s="149" t="str">
        <f>IF($A15=0,0,_xlfn.XLOOKUP($A15,INS[DESCRIPCIÓN],INS[UNIDAD]))</f>
        <v>M3</v>
      </c>
      <c r="F15" s="120">
        <v>1.3</v>
      </c>
      <c r="G15" s="60">
        <f>IF($A15=0,0,_xlfn.XLOOKUP($A15,INS[DESCRIPCIÓN],INS[PROMEDIO]))</f>
        <v>82396</v>
      </c>
      <c r="H15" s="25">
        <f>+F15*G15</f>
        <v>107114.8</v>
      </c>
    </row>
    <row r="16" spans="1:8">
      <c r="A16" s="553"/>
      <c r="B16" s="554"/>
      <c r="C16" s="554"/>
      <c r="D16" s="555"/>
      <c r="E16" s="149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49">
        <f>IF($A17=0,0,_xlfn.XLOOKUP($A17,INS[DESCRIPCIÓN],INS[UNIDAD]))</f>
        <v>0</v>
      </c>
      <c r="F17" s="120"/>
      <c r="G17" s="60">
        <f>IF($A17=0,0,_xlfn.XLOOKUP($A17,INS[DESCRIPCIÓN],INS[PROMEDIO]))</f>
        <v>0</v>
      </c>
      <c r="H17" s="25">
        <f>+F17*G17</f>
        <v>0</v>
      </c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16187.5</v>
      </c>
      <c r="H22" s="25">
        <f>F22*G22</f>
        <v>809.375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107924.175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684</v>
      </c>
      <c r="B27" s="565"/>
      <c r="C27" s="565"/>
      <c r="D27" s="61"/>
      <c r="E27" s="120" t="str">
        <f>+IF($A27=0,0,_xlfn.XLOOKUP($A27,EQUI[DESCRIPCIÓN],EQUI[UNIDAD]))</f>
        <v>HORA</v>
      </c>
      <c r="F27" s="120">
        <f>+IF($A27=0,0,_xlfn.XLOOKUP($A27,EQUI[DESCRIPCIÓN],EQUI[VALOR]))</f>
        <v>100000</v>
      </c>
      <c r="G27" s="120">
        <f>+IF($A27=0,0,_xlfn.XLOOKUP($A27,EQUI[DESCRIPCIÓN],EQUI[RENDIMIENTO]))</f>
        <v>0.15</v>
      </c>
      <c r="H27" s="25">
        <f>F27*G27</f>
        <v>15000</v>
      </c>
    </row>
    <row r="28" spans="1:8">
      <c r="A28" s="565" t="s">
        <v>683</v>
      </c>
      <c r="B28" s="565"/>
      <c r="C28" s="565"/>
      <c r="D28" s="61"/>
      <c r="E28" s="120" t="str">
        <f>+IF($A28=0,0,_xlfn.XLOOKUP($A28,EQUI[DESCRIPCIÓN],EQUI[UNIDAD]))</f>
        <v>HORA</v>
      </c>
      <c r="F28" s="120">
        <f>+IF($A28=0,0,_xlfn.XLOOKUP($A28,EQUI[DESCRIPCIÓN],EQUI[VALOR]))</f>
        <v>220000</v>
      </c>
      <c r="G28" s="120">
        <v>0.15</v>
      </c>
      <c r="H28" s="25">
        <f>F28*G28</f>
        <v>33000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48000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277</v>
      </c>
      <c r="B35" s="571"/>
      <c r="C35" s="571"/>
      <c r="D35" s="124">
        <f>IF($A$35=0,0,VLOOKUP($A$35,TRANS!$A$2:$F$38,5,FALSE))</f>
        <v>1.1000000000000001</v>
      </c>
      <c r="E35" s="42">
        <f>IF($A$35=0,0,VLOOKUP($A$35,TRANS!$A$2:$D$38,3,FALSE))</f>
        <v>125</v>
      </c>
      <c r="F35" s="147">
        <f>+F15</f>
        <v>1.3</v>
      </c>
      <c r="G35" s="123">
        <f>IF($A$35=0,0,VLOOKUP($A$35,TRANS!$A$2:$D$38,4,FALSE))</f>
        <v>1800</v>
      </c>
      <c r="H35" s="25">
        <f>+E35*F35*G35*D35</f>
        <v>321750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321750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0">F44*G44</f>
        <v>8750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16187.5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493862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128404.12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9877.24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19754.48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158035.84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651897.84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5">
    <mergeCell ref="A59:D59"/>
    <mergeCell ref="F59:H59"/>
    <mergeCell ref="A60:D60"/>
    <mergeCell ref="F60:H60"/>
    <mergeCell ref="A41:H41"/>
    <mergeCell ref="A42:C42"/>
    <mergeCell ref="A43:C43"/>
    <mergeCell ref="A44:C44"/>
    <mergeCell ref="A45:C45"/>
    <mergeCell ref="A48:G48"/>
    <mergeCell ref="C49:F49"/>
    <mergeCell ref="C50:F50"/>
    <mergeCell ref="C51:F51"/>
    <mergeCell ref="C52:F52"/>
    <mergeCell ref="B53:G53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39752A8-F1AF-45AF-A8D6-97564C3576D4}">
          <x14:formula1>
            <xm:f>EQUI!$A$2:$A$38</xm:f>
          </x14:formula1>
          <xm:sqref>A28:C28</xm:sqref>
        </x14:dataValidation>
        <x14:dataValidation type="list" showInputMessage="1" showErrorMessage="1" xr:uid="{C4B77CDB-C714-4296-88BE-8D312B4C95E0}">
          <x14:formula1>
            <xm:f>TRANS!$A$2:$A$20</xm:f>
          </x14:formula1>
          <xm:sqref>A35:C35</xm:sqref>
        </x14:dataValidation>
        <x14:dataValidation type="list" showInputMessage="1" showErrorMessage="1" xr:uid="{E11AD2EF-AB7F-4AA2-8F3C-9F075C9C85B3}">
          <x14:formula1>
            <xm:f>INS!$A$2:$A$137</xm:f>
          </x14:formula1>
          <xm:sqref>A15:D17</xm:sqref>
        </x14:dataValidation>
        <x14:dataValidation type="list" allowBlank="1" showInputMessage="1" showErrorMessage="1" xr:uid="{928CFEA0-9CCD-4EF4-8F22-DAC1A29DCE34}">
          <x14:formula1>
            <xm:f>EQUI!$A$2:$A$40</xm:f>
          </x14:formula1>
          <xm:sqref>A27:C27</xm:sqref>
        </x14:dataValidation>
        <x14:dataValidation type="list" showInputMessage="1" showErrorMessage="1" xr:uid="{CE73D0CE-5751-4ACC-9A33-C3C8A5975830}">
          <x14:formula1>
            <xm:f>LIST!$B$3:$B$142</xm:f>
          </x14:formula1>
          <xm:sqref>D10:H11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4799A-BC56-40E5-BD48-081694212435}">
  <sheetPr>
    <tabColor rgb="FF92D050"/>
  </sheetPr>
  <dimension ref="A1:L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2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2" ht="15" thickTop="1">
      <c r="A2" s="16"/>
      <c r="B2" s="17"/>
      <c r="C2" s="17"/>
      <c r="D2" s="17"/>
      <c r="E2" s="17"/>
      <c r="F2" s="17"/>
      <c r="G2" s="17"/>
      <c r="H2" s="18"/>
    </row>
    <row r="3" spans="1:12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2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2" ht="25.5" customHeight="1">
      <c r="A5" s="16"/>
      <c r="B5" s="17"/>
      <c r="C5" s="17"/>
      <c r="D5" s="17"/>
      <c r="E5" s="17"/>
      <c r="F5" s="17"/>
      <c r="G5" s="17"/>
      <c r="H5" s="18"/>
    </row>
    <row r="6" spans="1:12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2" ht="24.75" customHeight="1">
      <c r="A7" s="551"/>
      <c r="B7" s="552"/>
      <c r="C7" s="552"/>
      <c r="D7" s="552"/>
      <c r="E7" s="552"/>
      <c r="F7" s="552"/>
      <c r="G7" s="552"/>
      <c r="H7" s="552"/>
    </row>
    <row r="8" spans="1:12">
      <c r="A8" s="16"/>
      <c r="B8" s="17"/>
      <c r="C8" s="17"/>
      <c r="D8" s="17"/>
      <c r="E8" s="17"/>
      <c r="F8" s="17"/>
      <c r="G8" s="17"/>
      <c r="H8" s="18"/>
    </row>
    <row r="9" spans="1:12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12">
      <c r="A10" s="556" t="s">
        <v>4</v>
      </c>
      <c r="B10" s="556"/>
      <c r="C10" s="556"/>
      <c r="D10" s="557" t="s">
        <v>539</v>
      </c>
      <c r="E10" s="557"/>
      <c r="F10" s="557"/>
      <c r="G10" s="557"/>
      <c r="H10" s="557"/>
    </row>
    <row r="11" spans="1:12">
      <c r="A11" s="556"/>
      <c r="B11" s="556"/>
      <c r="C11" s="556"/>
      <c r="D11" s="557"/>
      <c r="E11" s="557"/>
      <c r="F11" s="557"/>
      <c r="G11" s="557"/>
      <c r="H11" s="557"/>
    </row>
    <row r="12" spans="1:12">
      <c r="A12" s="16"/>
      <c r="B12" s="17"/>
      <c r="C12" s="17"/>
      <c r="D12" s="17"/>
      <c r="E12" s="17"/>
      <c r="F12" s="17"/>
      <c r="G12" s="17"/>
      <c r="H12" s="18"/>
    </row>
    <row r="13" spans="1:12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2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2" ht="14.4" customHeight="1">
      <c r="A15" s="559" t="s">
        <v>581</v>
      </c>
      <c r="B15" s="560"/>
      <c r="C15" s="560"/>
      <c r="D15" s="561"/>
      <c r="E15" s="60" t="str">
        <f>IF($A15=0,0,VLOOKUP($A15,INS!$A$2:$E$137,2,FALSE))</f>
        <v>KG</v>
      </c>
      <c r="F15" s="370">
        <v>0.15</v>
      </c>
      <c r="G15" s="60">
        <f>IF($A15=0,0,VLOOKUP($A15,INS!$A$2:$G$137,6,FALSE))</f>
        <v>79900</v>
      </c>
      <c r="H15" s="25">
        <f t="shared" ref="H15:H20" si="0">+F15*G15</f>
        <v>11985</v>
      </c>
      <c r="J15" s="363"/>
      <c r="K15">
        <v>0.3</v>
      </c>
      <c r="L15">
        <v>1</v>
      </c>
    </row>
    <row r="16" spans="1:12">
      <c r="A16" s="553" t="s">
        <v>455</v>
      </c>
      <c r="B16" s="554"/>
      <c r="C16" s="554"/>
      <c r="D16" s="555"/>
      <c r="E16" s="149" t="str">
        <f>IF($A16=0,0,VLOOKUP($A16,INS!$A$2:$E$137,2,FALSE))</f>
        <v>UND</v>
      </c>
      <c r="F16" s="343">
        <v>0.2</v>
      </c>
      <c r="G16" s="60">
        <f>IF($A16=0,0,VLOOKUP($A16,INS!$A$2:$G$137,6,FALSE))</f>
        <v>13900</v>
      </c>
      <c r="H16" s="25">
        <f t="shared" si="0"/>
        <v>2780</v>
      </c>
      <c r="K16">
        <v>2</v>
      </c>
      <c r="L16">
        <f>2/0.3</f>
        <v>6.666666666666667</v>
      </c>
    </row>
    <row r="17" spans="1:11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343"/>
      <c r="G17" s="60">
        <f>IF($A17=0,0,VLOOKUP($A17,INS!$A$2:$G$137,6,FALSE))</f>
        <v>0</v>
      </c>
      <c r="H17" s="25">
        <f t="shared" si="0"/>
        <v>0</v>
      </c>
    </row>
    <row r="18" spans="1:11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  <c r="K18">
        <f>1/L16</f>
        <v>0.15</v>
      </c>
    </row>
    <row r="19" spans="1:11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11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1">
      <c r="A21" s="553"/>
      <c r="B21" s="554"/>
      <c r="C21" s="554"/>
      <c r="D21" s="555"/>
      <c r="E21" s="27"/>
      <c r="F21" s="28"/>
      <c r="G21" s="29"/>
      <c r="H21" s="25"/>
    </row>
    <row r="22" spans="1:11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11812.5</v>
      </c>
      <c r="H22" s="25">
        <f>F22*G22</f>
        <v>590.625</v>
      </c>
    </row>
    <row r="23" spans="1:11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15355.625</v>
      </c>
    </row>
    <row r="24" spans="1:11">
      <c r="A24" s="16"/>
      <c r="B24" s="17"/>
      <c r="C24" s="17"/>
      <c r="D24" s="17"/>
      <c r="E24" s="17"/>
      <c r="F24" s="17"/>
      <c r="G24" s="17"/>
      <c r="H24" s="18"/>
    </row>
    <row r="25" spans="1:11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1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1">
      <c r="A27" s="565"/>
      <c r="B27" s="565"/>
      <c r="C27" s="565"/>
      <c r="D27" s="61"/>
      <c r="E27" s="19"/>
      <c r="F27" s="60">
        <f>IF($A27=0,0,VLOOKUP($A27,EQUI!$A$2:$E$38,3,FALSE))</f>
        <v>0</v>
      </c>
      <c r="G27" s="120">
        <f>+IF($A27=0,0,VLOOKUP($A27,EQUI!$A$2:$E$38,5,FALSE))</f>
        <v>0</v>
      </c>
      <c r="H27" s="25">
        <f>F27*G27</f>
        <v>0</v>
      </c>
    </row>
    <row r="28" spans="1:11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1">
      <c r="A29" s="566"/>
      <c r="B29" s="567"/>
      <c r="C29" s="567"/>
      <c r="D29" s="23"/>
      <c r="E29" s="19"/>
      <c r="F29" s="19"/>
      <c r="G29" s="35"/>
      <c r="H29" s="25"/>
    </row>
    <row r="30" spans="1:11">
      <c r="D30" s="36"/>
      <c r="E30" s="36"/>
      <c r="F30" s="36"/>
      <c r="G30" s="36"/>
      <c r="H30" s="37"/>
    </row>
    <row r="31" spans="1:11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1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1">F44*G44</f>
        <v>4375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27168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E5EE889-4147-4F3C-A0EE-8E6AEE7E2AC5}">
          <x14:formula1>
            <xm:f>EQUI!$A$2:$A$38</xm:f>
          </x14:formula1>
          <xm:sqref>A27:C28</xm:sqref>
        </x14:dataValidation>
        <x14:dataValidation type="list" showInputMessage="1" showErrorMessage="1" xr:uid="{AC7F95B0-E8D9-46F2-AB14-58723C13B19B}">
          <x14:formula1>
            <xm:f>TRANS!$A$2:$A$20</xm:f>
          </x14:formula1>
          <xm:sqref>A35:C35</xm:sqref>
        </x14:dataValidation>
        <x14:dataValidation type="list" showInputMessage="1" showErrorMessage="1" xr:uid="{BFDC4773-6347-4E48-A741-D2E25EC90D24}">
          <x14:formula1>
            <xm:f>INS!$A$2:$A$137</xm:f>
          </x14:formula1>
          <xm:sqref>A15:D20</xm:sqref>
        </x14:dataValidation>
        <x14:dataValidation type="list" showInputMessage="1" showErrorMessage="1" xr:uid="{D924C307-3BA0-491B-B6E3-AC2D9C575672}">
          <x14:formula1>
            <xm:f>LIST!$B$3:$B$120</xm:f>
          </x14:formula1>
          <xm:sqref>D10:H11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0B696-79B1-4CC0-BE47-358CAEFA348A}">
  <sheetPr>
    <tabColor rgb="FF92D050"/>
  </sheetPr>
  <dimension ref="A1:J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0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0" ht="15" thickTop="1">
      <c r="A2" s="16"/>
      <c r="B2" s="17"/>
      <c r="C2" s="17"/>
      <c r="D2" s="17"/>
      <c r="E2" s="17"/>
      <c r="F2" s="17"/>
      <c r="G2" s="17"/>
      <c r="H2" s="18"/>
    </row>
    <row r="3" spans="1:10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0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0" ht="25.5" customHeight="1">
      <c r="A5" s="16"/>
      <c r="B5" s="17"/>
      <c r="C5" s="17"/>
      <c r="D5" s="17"/>
      <c r="E5" s="17"/>
      <c r="F5" s="17"/>
      <c r="G5" s="17"/>
      <c r="H5" s="18"/>
    </row>
    <row r="6" spans="1:10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0" ht="24.75" customHeight="1">
      <c r="A7" s="551"/>
      <c r="B7" s="552"/>
      <c r="C7" s="552"/>
      <c r="D7" s="552"/>
      <c r="E7" s="552"/>
      <c r="F7" s="552"/>
      <c r="G7" s="552"/>
      <c r="H7" s="552"/>
    </row>
    <row r="8" spans="1:10">
      <c r="A8" s="16"/>
      <c r="B8" s="17"/>
      <c r="C8" s="17"/>
      <c r="D8" s="17"/>
      <c r="E8" s="17"/>
      <c r="F8" s="17"/>
      <c r="G8" s="17"/>
      <c r="H8" s="18"/>
    </row>
    <row r="9" spans="1:10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10">
      <c r="A10" s="556" t="s">
        <v>4</v>
      </c>
      <c r="B10" s="556"/>
      <c r="C10" s="556"/>
      <c r="D10" s="557" t="s">
        <v>465</v>
      </c>
      <c r="E10" s="557"/>
      <c r="F10" s="557"/>
      <c r="G10" s="557"/>
      <c r="H10" s="557"/>
    </row>
    <row r="11" spans="1:10">
      <c r="A11" s="556"/>
      <c r="B11" s="556"/>
      <c r="C11" s="556"/>
      <c r="D11" s="557"/>
      <c r="E11" s="557"/>
      <c r="F11" s="557"/>
      <c r="G11" s="557"/>
      <c r="H11" s="557"/>
    </row>
    <row r="12" spans="1:10">
      <c r="A12" s="16"/>
      <c r="B12" s="17"/>
      <c r="C12" s="17"/>
      <c r="D12" s="17"/>
      <c r="E12" s="17"/>
      <c r="F12" s="17"/>
      <c r="G12" s="17"/>
      <c r="H12" s="18"/>
    </row>
    <row r="13" spans="1:10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0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0" ht="14.4" customHeight="1">
      <c r="A15" s="559" t="s">
        <v>417</v>
      </c>
      <c r="B15" s="560"/>
      <c r="C15" s="560"/>
      <c r="D15" s="561"/>
      <c r="E15" s="60" t="str">
        <f>IF($A15=0,0,VLOOKUP($A15,INS!$A$2:$E$137,2,FALSE))</f>
        <v>UND</v>
      </c>
      <c r="F15" s="370">
        <v>0.34</v>
      </c>
      <c r="G15" s="60">
        <f>IF($A15=0,0,VLOOKUP($A15,INS!$A$2:$G$137,6,FALSE))</f>
        <v>48000</v>
      </c>
      <c r="H15" s="25">
        <f t="shared" ref="H15:H20" si="0">+F15*G15</f>
        <v>16320.000000000002</v>
      </c>
      <c r="J15" s="363"/>
    </row>
    <row r="16" spans="1:10">
      <c r="A16" s="553" t="s">
        <v>466</v>
      </c>
      <c r="B16" s="554"/>
      <c r="C16" s="554"/>
      <c r="D16" s="555"/>
      <c r="E16" s="149" t="str">
        <f>IF($A16=0,0,VLOOKUP($A16,INS!$A$2:$E$137,2,FALSE))</f>
        <v>UND</v>
      </c>
      <c r="F16" s="343">
        <v>0.2</v>
      </c>
      <c r="G16" s="60">
        <f>IF($A16=0,0,VLOOKUP($A16,INS!$A$2:$G$137,6,FALSE))</f>
        <v>6780</v>
      </c>
      <c r="H16" s="25">
        <f t="shared" si="0"/>
        <v>1356</v>
      </c>
    </row>
    <row r="17" spans="1:8" ht="17.399999999999999" customHeight="1">
      <c r="A17" s="559" t="s">
        <v>596</v>
      </c>
      <c r="B17" s="560"/>
      <c r="C17" s="560"/>
      <c r="D17" s="561"/>
      <c r="E17" s="149" t="str">
        <f>IF($A17=0,0,VLOOKUP($A17,INS!$A$2:$E$137,2,FALSE))</f>
        <v>UND</v>
      </c>
      <c r="F17" s="343">
        <v>0.3</v>
      </c>
      <c r="G17" s="60">
        <f>IF($A17=0,0,VLOOKUP($A17,INS!$A$2:$G$137,6,FALSE))</f>
        <v>4100</v>
      </c>
      <c r="H17" s="25">
        <f t="shared" si="0"/>
        <v>1230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19687.5</v>
      </c>
      <c r="H22" s="25">
        <f>F22*G22</f>
        <v>984.375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19890.375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IF($A27=0,0,VLOOKUP($A27,EQUI!$A$2:$E$38,3,FALSE))</f>
        <v>10000</v>
      </c>
      <c r="G27" s="120">
        <f>+IF($A27=0,0,VLOOKUP($A27,EQUI!$A$2:$E$38,5,FALSE))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1">F44*G44</f>
        <v>7291.666666666667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19687.5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40578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ABD40EB-3FD5-487D-A2D3-BC77A05A658F}">
          <x14:formula1>
            <xm:f>TRANS!$A$2:$A$20</xm:f>
          </x14:formula1>
          <xm:sqref>A35:C35</xm:sqref>
        </x14:dataValidation>
        <x14:dataValidation type="list" allowBlank="1" showInputMessage="1" showErrorMessage="1" xr:uid="{AE188626-196F-4E18-AF43-5E81DB3B7AE2}">
          <x14:formula1>
            <xm:f>EQUI!$A$2:$A$38</xm:f>
          </x14:formula1>
          <xm:sqref>A27:C28</xm:sqref>
        </x14:dataValidation>
        <x14:dataValidation type="list" showInputMessage="1" showErrorMessage="1" xr:uid="{99825C4B-6147-45F3-BB08-A273A6EAC9B2}">
          <x14:formula1>
            <xm:f>INS!$A$2:$A$137</xm:f>
          </x14:formula1>
          <xm:sqref>A15:D20</xm:sqref>
        </x14:dataValidation>
        <x14:dataValidation type="list" showInputMessage="1" showErrorMessage="1" xr:uid="{7CE83F0C-A939-4C33-9B6F-52FCD4D3A41F}">
          <x14:formula1>
            <xm:f>LIST!$B$3:$B$120</xm:f>
          </x14:formula1>
          <xm:sqref>D10:H11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17562-10ED-46B9-A2AD-0AB6E85F76ED}">
  <sheetPr>
    <tabColor rgb="FF92D050"/>
  </sheetPr>
  <dimension ref="A1:K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1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1" ht="15" thickTop="1">
      <c r="A2" s="16"/>
      <c r="B2" s="17"/>
      <c r="C2" s="17"/>
      <c r="D2" s="17"/>
      <c r="E2" s="17"/>
      <c r="F2" s="17"/>
      <c r="G2" s="17"/>
      <c r="H2" s="18"/>
    </row>
    <row r="3" spans="1:11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1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1" ht="25.5" customHeight="1">
      <c r="A5" s="16"/>
      <c r="B5" s="17"/>
      <c r="C5" s="17"/>
      <c r="D5" s="17"/>
      <c r="E5" s="17"/>
      <c r="F5" s="17"/>
      <c r="G5" s="17"/>
      <c r="H5" s="18"/>
    </row>
    <row r="6" spans="1:11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1" ht="24.75" customHeight="1">
      <c r="A7" s="551"/>
      <c r="B7" s="552"/>
      <c r="C7" s="552"/>
      <c r="D7" s="552"/>
      <c r="E7" s="552"/>
      <c r="F7" s="552"/>
      <c r="G7" s="552"/>
      <c r="H7" s="552"/>
    </row>
    <row r="8" spans="1:11">
      <c r="A8" s="16"/>
      <c r="B8" s="17"/>
      <c r="C8" s="17"/>
      <c r="D8" s="17"/>
      <c r="E8" s="17"/>
      <c r="F8" s="17"/>
      <c r="G8" s="17"/>
      <c r="H8" s="18"/>
    </row>
    <row r="9" spans="1:11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11">
      <c r="A10" s="556" t="s">
        <v>4</v>
      </c>
      <c r="B10" s="556"/>
      <c r="C10" s="556"/>
      <c r="D10" s="557" t="s">
        <v>463</v>
      </c>
      <c r="E10" s="557"/>
      <c r="F10" s="557"/>
      <c r="G10" s="557"/>
      <c r="H10" s="557"/>
    </row>
    <row r="11" spans="1:11">
      <c r="A11" s="556"/>
      <c r="B11" s="556"/>
      <c r="C11" s="556"/>
      <c r="D11" s="557"/>
      <c r="E11" s="557"/>
      <c r="F11" s="557"/>
      <c r="G11" s="557"/>
      <c r="H11" s="557"/>
    </row>
    <row r="12" spans="1:11">
      <c r="A12" s="16"/>
      <c r="B12" s="17"/>
      <c r="C12" s="17"/>
      <c r="D12" s="17"/>
      <c r="E12" s="17"/>
      <c r="F12" s="17"/>
      <c r="G12" s="17"/>
      <c r="H12" s="18"/>
    </row>
    <row r="13" spans="1:11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1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1" ht="14.4" customHeight="1">
      <c r="A15" s="559" t="s">
        <v>453</v>
      </c>
      <c r="B15" s="560"/>
      <c r="C15" s="560"/>
      <c r="D15" s="561"/>
      <c r="E15" s="60" t="str">
        <f>IF($A15=0,0,VLOOKUP($A15,INS!$A$2:$E$137,2,FALSE))</f>
        <v>CANECA</v>
      </c>
      <c r="F15" s="370">
        <f>1/20</f>
        <v>0.05</v>
      </c>
      <c r="G15" s="60">
        <f>IF($A15=0,0,VLOOKUP($A15,INS!$A$2:$G$137,6,FALSE))</f>
        <v>446900</v>
      </c>
      <c r="H15" s="25">
        <f t="shared" ref="H15:H20" si="0">+F15*G15</f>
        <v>22345</v>
      </c>
      <c r="J15" s="363">
        <v>4</v>
      </c>
      <c r="K15">
        <v>1</v>
      </c>
    </row>
    <row r="16" spans="1:11">
      <c r="A16" s="553" t="s">
        <v>455</v>
      </c>
      <c r="B16" s="554"/>
      <c r="C16" s="554"/>
      <c r="D16" s="555"/>
      <c r="E16" s="149" t="str">
        <f>IF($A16=0,0,VLOOKUP($A16,INS!$A$2:$E$137,2,FALSE))</f>
        <v>UND</v>
      </c>
      <c r="F16" s="120">
        <v>0.2</v>
      </c>
      <c r="G16" s="60">
        <f>IF($A16=0,0,VLOOKUP($A16,INS!$A$2:$G$137,6,FALSE))</f>
        <v>13900</v>
      </c>
      <c r="H16" s="25">
        <f t="shared" si="0"/>
        <v>2780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13781.25</v>
      </c>
      <c r="H22" s="25">
        <f>F22*G22</f>
        <v>689.0625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25814.0625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IF($A27=0,0,VLOOKUP($A27,EQUI!$A$2:$E$38,3,FALSE))</f>
        <v>10000</v>
      </c>
      <c r="G27" s="120">
        <f>+IF($A27=0,0,VLOOKUP($A27,EQUI!$A$2:$E$38,5,FALSE))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3" s="49">
        <f>F43*G43</f>
        <v>8677.0833333333339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4" s="49">
        <f t="shared" ref="H44:H45" si="1">F44*G44</f>
        <v>5104.166666666667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13781.25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40595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FF124DF-3EDF-4478-B8D2-CB4E12965872}">
          <x14:formula1>
            <xm:f>EQUI!$A$2:$A$38</xm:f>
          </x14:formula1>
          <xm:sqref>A27:C28</xm:sqref>
        </x14:dataValidation>
        <x14:dataValidation type="list" showInputMessage="1" showErrorMessage="1" xr:uid="{D295415A-3C0E-4624-BCCF-B8A03B978421}">
          <x14:formula1>
            <xm:f>TRANS!$A$2:$A$20</xm:f>
          </x14:formula1>
          <xm:sqref>A35:C35</xm:sqref>
        </x14:dataValidation>
        <x14:dataValidation type="list" showInputMessage="1" showErrorMessage="1" xr:uid="{C216C34B-7620-42C9-A6F0-61541D5AAB8F}">
          <x14:formula1>
            <xm:f>INS!$A$2:$A$137</xm:f>
          </x14:formula1>
          <xm:sqref>A15:D20</xm:sqref>
        </x14:dataValidation>
        <x14:dataValidation type="list" showInputMessage="1" showErrorMessage="1" xr:uid="{A9E25AD1-923F-469D-82F3-C12029C3E54B}">
          <x14:formula1>
            <xm:f>LIST!$B$3:$B$120</xm:f>
          </x14:formula1>
          <xm:sqref>D10:H11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4692-754D-4E17-964D-EEC758D145FF}">
  <sheetPr>
    <tabColor rgb="FF92D050"/>
  </sheetPr>
  <dimension ref="A1:K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1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1" ht="15" thickTop="1">
      <c r="A2" s="16"/>
      <c r="B2" s="17"/>
      <c r="C2" s="17"/>
      <c r="D2" s="17"/>
      <c r="E2" s="17"/>
      <c r="F2" s="17"/>
      <c r="G2" s="17"/>
      <c r="H2" s="18"/>
    </row>
    <row r="3" spans="1:11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1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1" ht="25.5" customHeight="1">
      <c r="A5" s="16"/>
      <c r="B5" s="17"/>
      <c r="C5" s="17"/>
      <c r="D5" s="17"/>
      <c r="E5" s="17"/>
      <c r="F5" s="17"/>
      <c r="G5" s="17"/>
      <c r="H5" s="18"/>
    </row>
    <row r="6" spans="1:11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1" ht="24.75" customHeight="1">
      <c r="A7" s="551"/>
      <c r="B7" s="552"/>
      <c r="C7" s="552"/>
      <c r="D7" s="552"/>
      <c r="E7" s="552"/>
      <c r="F7" s="552"/>
      <c r="G7" s="552"/>
      <c r="H7" s="552"/>
    </row>
    <row r="8" spans="1:11">
      <c r="A8" s="16"/>
      <c r="B8" s="17"/>
      <c r="C8" s="17"/>
      <c r="D8" s="17"/>
      <c r="E8" s="17"/>
      <c r="F8" s="17"/>
      <c r="G8" s="17"/>
      <c r="H8" s="18"/>
    </row>
    <row r="9" spans="1:11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11">
      <c r="A10" s="556" t="s">
        <v>4</v>
      </c>
      <c r="B10" s="556"/>
      <c r="C10" s="556"/>
      <c r="D10" s="557" t="s">
        <v>457</v>
      </c>
      <c r="E10" s="557"/>
      <c r="F10" s="557"/>
      <c r="G10" s="557"/>
      <c r="H10" s="557"/>
    </row>
    <row r="11" spans="1:11">
      <c r="A11" s="556"/>
      <c r="B11" s="556"/>
      <c r="C11" s="556"/>
      <c r="D11" s="557"/>
      <c r="E11" s="557"/>
      <c r="F11" s="557"/>
      <c r="G11" s="557"/>
      <c r="H11" s="557"/>
    </row>
    <row r="12" spans="1:11">
      <c r="A12" s="16"/>
      <c r="B12" s="17"/>
      <c r="C12" s="17"/>
      <c r="D12" s="17"/>
      <c r="E12" s="17"/>
      <c r="F12" s="17"/>
      <c r="G12" s="17"/>
      <c r="H12" s="18"/>
    </row>
    <row r="13" spans="1:11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1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1" ht="14.4" customHeight="1">
      <c r="A15" s="559" t="s">
        <v>453</v>
      </c>
      <c r="B15" s="560"/>
      <c r="C15" s="560"/>
      <c r="D15" s="561"/>
      <c r="E15" s="60" t="str">
        <f>IF($A15=0,0,VLOOKUP($A15,INS!$A$2:$E$137,2,FALSE))</f>
        <v>CANECA</v>
      </c>
      <c r="F15" s="369">
        <v>0.05</v>
      </c>
      <c r="G15" s="60">
        <f>IF($A15=0,0,VLOOKUP($A15,INS!$A$2:$G$137,6,FALSE))</f>
        <v>446900</v>
      </c>
      <c r="H15" s="25">
        <f t="shared" ref="H15:H20" si="0">+F15*G15</f>
        <v>22345</v>
      </c>
      <c r="J15" s="363">
        <v>4</v>
      </c>
      <c r="K15">
        <v>1</v>
      </c>
    </row>
    <row r="16" spans="1:11">
      <c r="A16" s="553" t="s">
        <v>455</v>
      </c>
      <c r="B16" s="554"/>
      <c r="C16" s="554"/>
      <c r="D16" s="555"/>
      <c r="E16" s="149" t="str">
        <f>IF($A16=0,0,VLOOKUP($A16,INS!$A$2:$E$137,2,FALSE))</f>
        <v>UND</v>
      </c>
      <c r="F16" s="120">
        <v>0.2</v>
      </c>
      <c r="G16" s="60">
        <f>IF($A16=0,0,VLOOKUP($A16,INS!$A$2:$G$137,6,FALSE))</f>
        <v>13900</v>
      </c>
      <c r="H16" s="25">
        <f t="shared" si="0"/>
        <v>2780</v>
      </c>
    </row>
    <row r="17" spans="1:8" ht="17.399999999999999" customHeight="1">
      <c r="A17" s="559" t="s">
        <v>456</v>
      </c>
      <c r="B17" s="560"/>
      <c r="C17" s="560"/>
      <c r="D17" s="561"/>
      <c r="E17" s="149" t="str">
        <f>IF($A17=0,0,VLOOKUP($A17,INS!$A$2:$E$137,2,FALSE))</f>
        <v>UND</v>
      </c>
      <c r="F17" s="120">
        <v>0.2</v>
      </c>
      <c r="G17" s="60">
        <f>IF($A17=0,0,VLOOKUP($A17,INS!$A$2:$G$137,6,FALSE))</f>
        <v>27900</v>
      </c>
      <c r="H17" s="25">
        <f t="shared" si="0"/>
        <v>5580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9712.5</v>
      </c>
      <c r="H22" s="25">
        <f>F22*G22</f>
        <v>485.625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31190.625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IF($A27=0,0,VLOOKUP($A27,EQUI!$A$2:$E$38,3,FALSE))</f>
        <v>10000</v>
      </c>
      <c r="G27" s="120">
        <f>+IF($A27=0,0,VLOOKUP($A27,EQUI!$A$2:$E$38,5,FALSE))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3" s="49">
        <f>F43*G43</f>
        <v>4462.5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4" s="49">
        <f t="shared" ref="H44:H45" si="1">F44*G44</f>
        <v>5250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9712.5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41903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DF971B3-158C-4ECB-B4D8-E6BD1A7D7E4B}">
          <x14:formula1>
            <xm:f>TRANS!$A$2:$A$20</xm:f>
          </x14:formula1>
          <xm:sqref>A35:C35</xm:sqref>
        </x14:dataValidation>
        <x14:dataValidation type="list" allowBlank="1" showInputMessage="1" showErrorMessage="1" xr:uid="{E43AE84C-F419-4FFE-9571-BA01A6EC7CE3}">
          <x14:formula1>
            <xm:f>EQUI!$A$2:$A$38</xm:f>
          </x14:formula1>
          <xm:sqref>A27:C28</xm:sqref>
        </x14:dataValidation>
        <x14:dataValidation type="list" showInputMessage="1" showErrorMessage="1" xr:uid="{021669C9-36BE-44C2-9DA0-19D184C157E3}">
          <x14:formula1>
            <xm:f>INS!$A$2:$A$137</xm:f>
          </x14:formula1>
          <xm:sqref>A15:D20</xm:sqref>
        </x14:dataValidation>
        <x14:dataValidation type="list" showInputMessage="1" showErrorMessage="1" xr:uid="{B9892F0D-8F63-466A-A505-1778BB34CB0C}">
          <x14:formula1>
            <xm:f>LIST!$B$3:$B$120</xm:f>
          </x14:formula1>
          <xm:sqref>D10:H11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D77A3-316D-4F18-9B0E-6E9E89BA4748}">
  <sheetPr>
    <tabColor rgb="FF92D050"/>
  </sheetPr>
  <dimension ref="A1:J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0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0" ht="15" thickTop="1">
      <c r="A2" s="16"/>
      <c r="B2" s="17"/>
      <c r="C2" s="17"/>
      <c r="D2" s="17"/>
      <c r="E2" s="17"/>
      <c r="F2" s="17"/>
      <c r="G2" s="17"/>
      <c r="H2" s="18"/>
    </row>
    <row r="3" spans="1:10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0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0" ht="25.5" customHeight="1">
      <c r="A5" s="16"/>
      <c r="B5" s="17"/>
      <c r="C5" s="17"/>
      <c r="D5" s="17"/>
      <c r="E5" s="17"/>
      <c r="F5" s="17"/>
      <c r="G5" s="17"/>
      <c r="H5" s="18"/>
    </row>
    <row r="6" spans="1:10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0" ht="24.75" customHeight="1">
      <c r="A7" s="551"/>
      <c r="B7" s="552"/>
      <c r="C7" s="552"/>
      <c r="D7" s="552"/>
      <c r="E7" s="552"/>
      <c r="F7" s="552"/>
      <c r="G7" s="552"/>
      <c r="H7" s="552"/>
    </row>
    <row r="8" spans="1:10">
      <c r="A8" s="16"/>
      <c r="B8" s="17"/>
      <c r="C8" s="17"/>
      <c r="D8" s="17"/>
      <c r="E8" s="17"/>
      <c r="F8" s="17"/>
      <c r="G8" s="17"/>
      <c r="H8" s="18"/>
    </row>
    <row r="9" spans="1:10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10">
      <c r="A10" s="556" t="s">
        <v>4</v>
      </c>
      <c r="B10" s="556"/>
      <c r="C10" s="556"/>
      <c r="D10" s="557" t="s">
        <v>443</v>
      </c>
      <c r="E10" s="557"/>
      <c r="F10" s="557"/>
      <c r="G10" s="557"/>
      <c r="H10" s="557"/>
    </row>
    <row r="11" spans="1:10">
      <c r="A11" s="556"/>
      <c r="B11" s="556"/>
      <c r="C11" s="556"/>
      <c r="D11" s="557"/>
      <c r="E11" s="557"/>
      <c r="F11" s="557"/>
      <c r="G11" s="557"/>
      <c r="H11" s="557"/>
    </row>
    <row r="12" spans="1:10">
      <c r="A12" s="16"/>
      <c r="B12" s="17"/>
      <c r="C12" s="17"/>
      <c r="D12" s="17"/>
      <c r="E12" s="17"/>
      <c r="F12" s="17"/>
      <c r="G12" s="17"/>
      <c r="H12" s="18"/>
    </row>
    <row r="13" spans="1:10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0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0" ht="14.4" customHeight="1">
      <c r="A15" s="559" t="s">
        <v>445</v>
      </c>
      <c r="B15" s="560"/>
      <c r="C15" s="560"/>
      <c r="D15" s="561"/>
      <c r="E15" s="60" t="str">
        <f>IF($A15=0,0,VLOOKUP($A15,INS!$A$2:$E$137,2,FALSE))</f>
        <v>M</v>
      </c>
      <c r="F15" s="120">
        <v>0.5</v>
      </c>
      <c r="G15" s="60">
        <f>IF($A15=0,0,VLOOKUP($A15,INS!$A$2:$G$137,6,FALSE))</f>
        <v>30000</v>
      </c>
      <c r="H15" s="25">
        <f t="shared" ref="H15:H20" si="0">+F15*G15</f>
        <v>15000</v>
      </c>
      <c r="J15" s="363"/>
    </row>
    <row r="16" spans="1:10">
      <c r="A16" s="553" t="s">
        <v>410</v>
      </c>
      <c r="B16" s="554"/>
      <c r="C16" s="554"/>
      <c r="D16" s="555"/>
      <c r="E16" s="149" t="str">
        <f>IF($A16=0,0,VLOOKUP($A16,INS!$A$2:$E$137,2,FALSE))</f>
        <v>UND</v>
      </c>
      <c r="F16" s="120">
        <v>0.2</v>
      </c>
      <c r="G16" s="60">
        <f>IF($A16=0,0,VLOOKUP($A16,INS!$A$2:$G$137,6,FALSE))</f>
        <v>24000</v>
      </c>
      <c r="H16" s="25">
        <f t="shared" si="0"/>
        <v>4800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11812.5</v>
      </c>
      <c r="H22" s="25">
        <f>F22*G22</f>
        <v>590.625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20390.625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IF($A27=0,0,VLOOKUP($A27,EQUI!$A$2:$E$38,3,FALSE))</f>
        <v>10000</v>
      </c>
      <c r="G27" s="120">
        <f>+IF($A27=0,0,VLOOKUP($A27,EQUI!$A$2:$E$38,5,FALSE))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1">F44*G44</f>
        <v>4375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33203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F25F58E-ABA5-47AB-A124-47CA59DFA813}">
          <x14:formula1>
            <xm:f>EQUI!$A$2:$A$38</xm:f>
          </x14:formula1>
          <xm:sqref>A27:C28</xm:sqref>
        </x14:dataValidation>
        <x14:dataValidation type="list" showInputMessage="1" showErrorMessage="1" xr:uid="{85DD6C75-E4AF-451F-B96E-97F6DFDF9119}">
          <x14:formula1>
            <xm:f>TRANS!$A$2:$A$20</xm:f>
          </x14:formula1>
          <xm:sqref>A35:C35</xm:sqref>
        </x14:dataValidation>
        <x14:dataValidation type="list" showInputMessage="1" showErrorMessage="1" xr:uid="{B37FA39E-36C4-4234-A7B6-52733A1DC105}">
          <x14:formula1>
            <xm:f>INS!$A$2:$A$137</xm:f>
          </x14:formula1>
          <xm:sqref>A15:D20</xm:sqref>
        </x14:dataValidation>
        <x14:dataValidation type="list" showInputMessage="1" showErrorMessage="1" xr:uid="{AA774858-8A59-4E83-A9D8-991EAE33150B}">
          <x14:formula1>
            <xm:f>LIST!$B$3:$B$120</xm:f>
          </x14:formula1>
          <xm:sqref>D10:H11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1EE47-EE7F-4753-8D13-B65C39D229CD}">
  <sheetPr>
    <tabColor rgb="FF92D050"/>
  </sheetPr>
  <dimension ref="A1:J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0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0" ht="15" thickTop="1">
      <c r="A2" s="16"/>
      <c r="B2" s="17"/>
      <c r="C2" s="17"/>
      <c r="D2" s="17"/>
      <c r="E2" s="17"/>
      <c r="F2" s="17"/>
      <c r="G2" s="17"/>
      <c r="H2" s="18"/>
    </row>
    <row r="3" spans="1:10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0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0" ht="25.5" customHeight="1">
      <c r="A5" s="16"/>
      <c r="B5" s="17"/>
      <c r="C5" s="17"/>
      <c r="D5" s="17"/>
      <c r="E5" s="17"/>
      <c r="F5" s="17"/>
      <c r="G5" s="17"/>
      <c r="H5" s="18"/>
    </row>
    <row r="6" spans="1:10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0" ht="24.75" customHeight="1">
      <c r="A7" s="551"/>
      <c r="B7" s="552"/>
      <c r="C7" s="552"/>
      <c r="D7" s="552"/>
      <c r="E7" s="552"/>
      <c r="F7" s="552"/>
      <c r="G7" s="552"/>
      <c r="H7" s="552"/>
    </row>
    <row r="8" spans="1:10">
      <c r="A8" s="16"/>
      <c r="B8" s="17"/>
      <c r="C8" s="17"/>
      <c r="D8" s="17"/>
      <c r="E8" s="17"/>
      <c r="F8" s="17"/>
      <c r="G8" s="17"/>
      <c r="H8" s="18"/>
    </row>
    <row r="9" spans="1:10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10">
      <c r="A10" s="556" t="s">
        <v>4</v>
      </c>
      <c r="B10" s="556"/>
      <c r="C10" s="556"/>
      <c r="D10" s="557" t="s">
        <v>416</v>
      </c>
      <c r="E10" s="557"/>
      <c r="F10" s="557"/>
      <c r="G10" s="557"/>
      <c r="H10" s="557"/>
    </row>
    <row r="11" spans="1:10">
      <c r="A11" s="556"/>
      <c r="B11" s="556"/>
      <c r="C11" s="556"/>
      <c r="D11" s="557"/>
      <c r="E11" s="557"/>
      <c r="F11" s="557"/>
      <c r="G11" s="557"/>
      <c r="H11" s="557"/>
    </row>
    <row r="12" spans="1:10">
      <c r="A12" s="16"/>
      <c r="B12" s="17"/>
      <c r="C12" s="17"/>
      <c r="D12" s="17"/>
      <c r="E12" s="17"/>
      <c r="F12" s="17"/>
      <c r="G12" s="17"/>
      <c r="H12" s="18"/>
    </row>
    <row r="13" spans="1:10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0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0" ht="14.4" customHeight="1">
      <c r="A15" s="559" t="s">
        <v>416</v>
      </c>
      <c r="B15" s="560"/>
      <c r="C15" s="560"/>
      <c r="D15" s="561"/>
      <c r="E15" s="60" t="str">
        <f>IF($A15=0,0,VLOOKUP($A15,INS!$A$2:$E$137,2,FALSE))</f>
        <v>M2</v>
      </c>
      <c r="F15" s="120">
        <v>1</v>
      </c>
      <c r="G15" s="60">
        <f>IF($A15=0,0,VLOOKUP($A15,INS!$A$2:$G$137,6,FALSE))</f>
        <v>32000</v>
      </c>
      <c r="H15" s="25">
        <f t="shared" ref="H15:H20" si="0">+F15*G15</f>
        <v>32000</v>
      </c>
      <c r="J15" s="363"/>
    </row>
    <row r="16" spans="1:10">
      <c r="A16" s="553" t="s">
        <v>594</v>
      </c>
      <c r="B16" s="554"/>
      <c r="C16" s="554"/>
      <c r="D16" s="555"/>
      <c r="E16" s="149" t="str">
        <f>IF($A16=0,0,VLOOKUP($A16,INS!$A$2:$E$137,2,FALSE))</f>
        <v>UND</v>
      </c>
      <c r="F16" s="120">
        <v>8</v>
      </c>
      <c r="G16" s="60">
        <f>IF($A16=0,0,VLOOKUP($A16,INS!$A$2:$G$137,6,FALSE))</f>
        <v>1499</v>
      </c>
      <c r="H16" s="25">
        <f t="shared" si="0"/>
        <v>11992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25900</v>
      </c>
      <c r="H22" s="25">
        <f>F22*G22</f>
        <v>1295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45287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IF($A27=0,0,VLOOKUP($A27,EQUI!$A$2:$E$38,3,FALSE))</f>
        <v>10000</v>
      </c>
      <c r="G27" s="120">
        <f>+IF($A27=0,0,VLOOKUP($A27,EQUI!$A$2:$E$38,5,FALSE))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3" s="49">
        <f>F43*G43</f>
        <v>11900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4" s="49">
        <f t="shared" ref="H44:H45" si="1">F44*G44</f>
        <v>14000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25900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72187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CBF2184B-D730-490E-8608-A082AD292C1E}">
          <x14:formula1>
            <xm:f>TRANS!$A$2:$A$20</xm:f>
          </x14:formula1>
          <xm:sqref>A35:C35</xm:sqref>
        </x14:dataValidation>
        <x14:dataValidation type="list" allowBlank="1" showInputMessage="1" showErrorMessage="1" xr:uid="{2D7E3992-2D00-44BB-9FBA-E8B14B404FB0}">
          <x14:formula1>
            <xm:f>EQUI!$A$2:$A$38</xm:f>
          </x14:formula1>
          <xm:sqref>A27:C28</xm:sqref>
        </x14:dataValidation>
        <x14:dataValidation type="list" showInputMessage="1" showErrorMessage="1" xr:uid="{91543603-AFB4-4ED9-98CC-5D53254EB0DC}">
          <x14:formula1>
            <xm:f>INS!$A$2:$A$137</xm:f>
          </x14:formula1>
          <xm:sqref>A15:D20</xm:sqref>
        </x14:dataValidation>
        <x14:dataValidation type="list" showInputMessage="1" showErrorMessage="1" xr:uid="{1A9C2798-4C8B-4523-9DDF-9305E37341D0}">
          <x14:formula1>
            <xm:f>LIST!$B$3:$B$120</xm:f>
          </x14:formula1>
          <xm:sqref>D10:H11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0B13-6451-4BDD-A1FC-C2DA29A757E3}">
  <sheetPr>
    <tabColor rgb="FF92D050"/>
  </sheetPr>
  <dimension ref="A1:J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10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0" ht="15" thickTop="1">
      <c r="A2" s="16"/>
      <c r="B2" s="17"/>
      <c r="C2" s="17"/>
      <c r="D2" s="17"/>
      <c r="E2" s="17"/>
      <c r="F2" s="17"/>
      <c r="G2" s="17"/>
      <c r="H2" s="18"/>
    </row>
    <row r="3" spans="1:10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0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0" ht="25.5" customHeight="1">
      <c r="A5" s="16"/>
      <c r="B5" s="17"/>
      <c r="C5" s="17"/>
      <c r="D5" s="17"/>
      <c r="E5" s="17"/>
      <c r="F5" s="17"/>
      <c r="G5" s="17"/>
      <c r="H5" s="18"/>
    </row>
    <row r="6" spans="1:10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0" ht="24.75" customHeight="1">
      <c r="A7" s="551"/>
      <c r="B7" s="552"/>
      <c r="C7" s="552"/>
      <c r="D7" s="552"/>
      <c r="E7" s="552"/>
      <c r="F7" s="552"/>
      <c r="G7" s="552"/>
      <c r="H7" s="552"/>
    </row>
    <row r="8" spans="1:10">
      <c r="A8" s="16"/>
      <c r="B8" s="17"/>
      <c r="C8" s="17"/>
      <c r="D8" s="17"/>
      <c r="E8" s="17"/>
      <c r="F8" s="17"/>
      <c r="G8" s="17"/>
      <c r="H8" s="18"/>
    </row>
    <row r="9" spans="1:10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10">
      <c r="A10" s="556" t="s">
        <v>4</v>
      </c>
      <c r="B10" s="556"/>
      <c r="C10" s="556"/>
      <c r="D10" s="557" t="s">
        <v>389</v>
      </c>
      <c r="E10" s="557"/>
      <c r="F10" s="557"/>
      <c r="G10" s="557"/>
      <c r="H10" s="557"/>
    </row>
    <row r="11" spans="1:10">
      <c r="A11" s="556"/>
      <c r="B11" s="556"/>
      <c r="C11" s="556"/>
      <c r="D11" s="557"/>
      <c r="E11" s="557"/>
      <c r="F11" s="557"/>
      <c r="G11" s="557"/>
      <c r="H11" s="557"/>
    </row>
    <row r="12" spans="1:10">
      <c r="A12" s="16"/>
      <c r="B12" s="17"/>
      <c r="C12" s="17"/>
      <c r="D12" s="17"/>
      <c r="E12" s="17"/>
      <c r="F12" s="17"/>
      <c r="G12" s="17"/>
      <c r="H12" s="18"/>
    </row>
    <row r="13" spans="1:10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0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0">
      <c r="A15" s="559" t="s">
        <v>80</v>
      </c>
      <c r="B15" s="560"/>
      <c r="C15" s="560"/>
      <c r="D15" s="561"/>
      <c r="E15" s="60" t="str">
        <f>IF($A15=0,0,VLOOKUP($A15,INS!$A$2:$E$137,2,FALSE))</f>
        <v>UND</v>
      </c>
      <c r="F15" s="120">
        <v>0.17</v>
      </c>
      <c r="G15" s="60">
        <f>IF($A15=0,0,VLOOKUP($A15,INS!$A$2:$G$137,6,FALSE))</f>
        <v>94500</v>
      </c>
      <c r="H15" s="25">
        <f t="shared" ref="H15:H20" si="0">+F15*G15</f>
        <v>16065.000000000002</v>
      </c>
      <c r="J15" s="363"/>
    </row>
    <row r="16" spans="1:10">
      <c r="A16" s="553" t="s">
        <v>424</v>
      </c>
      <c r="B16" s="554"/>
      <c r="C16" s="554"/>
      <c r="D16" s="555"/>
      <c r="E16" s="149" t="str">
        <f>IF($A16=0,0,VLOOKUP($A16,INS!$A$2:$E$137,2,FALSE))</f>
        <v>UND</v>
      </c>
      <c r="F16" s="120">
        <v>0.3</v>
      </c>
      <c r="G16" s="60">
        <f>IF($A16=0,0,VLOOKUP($A16,INS!$A$2:$G$137,6,FALSE))</f>
        <v>12200</v>
      </c>
      <c r="H16" s="25">
        <f t="shared" si="0"/>
        <v>3660</v>
      </c>
    </row>
    <row r="17" spans="1:8" ht="17.399999999999999" customHeight="1">
      <c r="A17" s="559" t="s">
        <v>427</v>
      </c>
      <c r="B17" s="560"/>
      <c r="C17" s="560"/>
      <c r="D17" s="561"/>
      <c r="E17" s="149" t="str">
        <f>IF($A17=0,0,VLOOKUP($A17,INS!$A$2:$E$137,2,FALSE))</f>
        <v>UND</v>
      </c>
      <c r="F17" s="120">
        <v>0.3</v>
      </c>
      <c r="G17" s="60">
        <f>IF($A17=0,0,VLOOKUP($A17,INS!$A$2:$G$137,6,FALSE))</f>
        <v>7000</v>
      </c>
      <c r="H17" s="25">
        <f t="shared" si="0"/>
        <v>2100</v>
      </c>
    </row>
    <row r="18" spans="1:8">
      <c r="A18" s="553" t="s">
        <v>428</v>
      </c>
      <c r="B18" s="554"/>
      <c r="C18" s="554"/>
      <c r="D18" s="555"/>
      <c r="E18" s="149" t="str">
        <f>IF($A18=0,0,VLOOKUP($A18,INS!$A$2:$E$137,2,FALSE))</f>
        <v>UND</v>
      </c>
      <c r="F18" s="120">
        <v>0.5</v>
      </c>
      <c r="G18" s="60">
        <f>IF($A18=0,0,VLOOKUP($A18,INS!$A$2:$G$137,6,FALSE))</f>
        <v>7580</v>
      </c>
      <c r="H18" s="25">
        <f t="shared" si="0"/>
        <v>3790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19687.5</v>
      </c>
      <c r="H22" s="25">
        <f>F22*G22</f>
        <v>984.375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26599.375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IF($A27=0,0,VLOOKUP($A27,EQUI!$A$2:$E$38,3,FALSE))</f>
        <v>10000</v>
      </c>
      <c r="G27" s="120">
        <f>+IF($A27=0,0,VLOOKUP($A27,EQUI!$A$2:$E$38,5,FALSE))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1">F44*G44</f>
        <v>7291.666666666667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19687.5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47287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65972B3-8FA7-4065-9F7B-37540C5DF06D}">
          <x14:formula1>
            <xm:f>EQUI!$A$2:$A$38</xm:f>
          </x14:formula1>
          <xm:sqref>A27:C28</xm:sqref>
        </x14:dataValidation>
        <x14:dataValidation type="list" showInputMessage="1" showErrorMessage="1" xr:uid="{89F61EC0-C24A-42FE-8D98-DFB536E5F376}">
          <x14:formula1>
            <xm:f>TRANS!$A$2:$A$20</xm:f>
          </x14:formula1>
          <xm:sqref>A35:C35</xm:sqref>
        </x14:dataValidation>
        <x14:dataValidation type="list" showInputMessage="1" showErrorMessage="1" xr:uid="{80703808-29FA-43E1-975E-1994812B9DCE}">
          <x14:formula1>
            <xm:f>INS!$A$2:$A$137</xm:f>
          </x14:formula1>
          <xm:sqref>A15:D20</xm:sqref>
        </x14:dataValidation>
        <x14:dataValidation type="list" showInputMessage="1" showErrorMessage="1" xr:uid="{5129F0CE-9537-4863-B859-90C2C287A98D}">
          <x14:formula1>
            <xm:f>LIST!$B$3:$B$120</xm:f>
          </x14:formula1>
          <xm:sqref>D10:H11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EA51-AD71-4107-87F9-72C688357761}">
  <sheetPr>
    <tabColor rgb="FF92D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365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365</v>
      </c>
      <c r="B15" s="560"/>
      <c r="C15" s="560"/>
      <c r="D15" s="561"/>
      <c r="E15" s="60" t="str">
        <f>IF($A15=0,0,VLOOKUP($A15,INS!$A$2:$E$137,2,FALSE))</f>
        <v>M2</v>
      </c>
      <c r="F15" s="120">
        <v>1</v>
      </c>
      <c r="G15" s="60">
        <f>IF($A15=0,0,VLOOKUP($A15,INS!$A$2:$G$137,6,FALSE))</f>
        <v>25000</v>
      </c>
      <c r="H15" s="25">
        <f t="shared" ref="H15:H20" si="0">+F15*G15</f>
        <v>25000</v>
      </c>
    </row>
    <row r="16" spans="1:8">
      <c r="A16" s="553" t="s">
        <v>594</v>
      </c>
      <c r="B16" s="554"/>
      <c r="C16" s="554"/>
      <c r="D16" s="555"/>
      <c r="E16" s="149" t="str">
        <f>IF($A16=0,0,VLOOKUP($A16,INS!$A$2:$E$137,2,FALSE))</f>
        <v>UND</v>
      </c>
      <c r="F16" s="120">
        <v>8</v>
      </c>
      <c r="G16" s="60">
        <f>IF($A16=0,0,VLOOKUP($A16,INS!$A$2:$G$137,6,FALSE))</f>
        <v>1499</v>
      </c>
      <c r="H16" s="25">
        <f t="shared" si="0"/>
        <v>11992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25900</v>
      </c>
      <c r="H22" s="25">
        <f>F22*G22</f>
        <v>1295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38287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IF($A27=0,0,VLOOKUP($A27,EQUI!$A$2:$E$38,3,FALSE))</f>
        <v>10000</v>
      </c>
      <c r="G27" s="120">
        <f>+IF($A27=0,0,VLOOKUP($A27,EQUI!$A$2:$E$38,5,FALSE))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3" s="49">
        <f>F43*G43</f>
        <v>11900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0.48</v>
      </c>
      <c r="H44" s="49">
        <f t="shared" ref="H44:H45" si="1">F44*G44</f>
        <v>14000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25900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65187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122CC71-EFFF-4AF8-AA5B-AFBAB4A15063}">
          <x14:formula1>
            <xm:f>TRANS!$A$2:$A$20</xm:f>
          </x14:formula1>
          <xm:sqref>A35:C35</xm:sqref>
        </x14:dataValidation>
        <x14:dataValidation type="list" allowBlank="1" showInputMessage="1" showErrorMessage="1" xr:uid="{70FEDC62-1004-49FD-AE40-D8BD2DE4A984}">
          <x14:formula1>
            <xm:f>EQUI!$A$2:$A$38</xm:f>
          </x14:formula1>
          <xm:sqref>A27:C28</xm:sqref>
        </x14:dataValidation>
        <x14:dataValidation type="list" showInputMessage="1" showErrorMessage="1" xr:uid="{8B5A3252-E3E3-4F71-BAF0-F7EF6609546F}">
          <x14:formula1>
            <xm:f>INS!$A$2:$A$137</xm:f>
          </x14:formula1>
          <xm:sqref>A15:D20</xm:sqref>
        </x14:dataValidation>
        <x14:dataValidation type="list" showInputMessage="1" showErrorMessage="1" xr:uid="{5C614ECC-DDB3-472E-A3B4-40B3A60CC553}">
          <x14:formula1>
            <xm:f>LIST!$B$3:$B$120</xm:f>
          </x14:formula1>
          <xm:sqref>D10:H11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F93A-EBAE-48BA-8A23-F349D2CDE8DD}">
  <sheetPr>
    <tabColor rgb="FF00B050"/>
  </sheetPr>
  <dimension ref="A1:L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+_xlfn.XLOOKUP(D10,PTO!$D$4:$D$58,PTO!$C$4:$C$15)</f>
        <v>#VALUE!</v>
      </c>
      <c r="E9" s="20" t="s">
        <v>26</v>
      </c>
      <c r="F9" s="19" t="str">
        <f>+VLOOKUP($D$10,LIST!B3:C101,2,FALSE)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559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IF($A15=0,0,_xlfn.XLOOKUP($A15,INS[DESCRIPCIÓN],INS[UNIDAD]))</f>
        <v>M3</v>
      </c>
      <c r="F15" s="120">
        <f>+((0.3+0.12)*0.1)</f>
        <v>4.2000000000000003E-2</v>
      </c>
      <c r="G15" s="60">
        <f>IF($A15=0,0,_xlfn.XLOOKUP($A15,INS[DESCRIPCIÓN],INS[PROMEDIO]))</f>
        <v>1111084</v>
      </c>
      <c r="H15" s="25">
        <f t="shared" ref="H15:H20" si="0">+F15*G15</f>
        <v>46665.528000000006</v>
      </c>
    </row>
    <row r="16" spans="1:8">
      <c r="A16" s="553" t="s">
        <v>560</v>
      </c>
      <c r="B16" s="554"/>
      <c r="C16" s="554"/>
      <c r="D16" s="555"/>
      <c r="E16" s="60" t="str">
        <f>IF($A16=0,0,_xlfn.XLOOKUP($A16,INS[DESCRIPCIÓN],INS[UNIDAD]))</f>
        <v>UND</v>
      </c>
      <c r="F16" s="120">
        <v>7.0000000000000007E-2</v>
      </c>
      <c r="G16" s="60">
        <f>IF($A16=0,0,_xlfn.XLOOKUP($A16,INS[DESCRIPCIÓN],INS[PROMEDIO]))</f>
        <v>280000</v>
      </c>
      <c r="H16" s="25">
        <f t="shared" si="0"/>
        <v>19600.000000000004</v>
      </c>
    </row>
    <row r="17" spans="1:12" ht="17.399999999999999" customHeight="1">
      <c r="A17" s="559"/>
      <c r="B17" s="560"/>
      <c r="C17" s="560"/>
      <c r="D17" s="561"/>
      <c r="E17" s="60">
        <f>IF($A17=0,0,_xlfn.XLOOKUP($A17,INS[DESCRIPCIÓN],INS[UNIDAD]))</f>
        <v>0</v>
      </c>
      <c r="F17" s="120">
        <v>0.3</v>
      </c>
      <c r="G17" s="60">
        <f>IF($A17=0,0,_xlfn.XLOOKUP($A17,INS[DESCRIPCIÓN],INS[PROMEDIO]))</f>
        <v>0</v>
      </c>
      <c r="H17" s="25">
        <f t="shared" si="0"/>
        <v>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78750</v>
      </c>
      <c r="H22" s="25">
        <f>F22*G22</f>
        <v>3937.5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70203.028000000006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</v>
      </c>
      <c r="H43" s="49">
        <f>F43*G43</f>
        <v>49583.333333333336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</v>
      </c>
      <c r="H44" s="49">
        <f t="shared" ref="H44:H45" si="2">F44*G44</f>
        <v>29166.666666666668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78750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148953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A856532-0D67-4786-81A9-A5ACB3D31D25}">
          <x14:formula1>
            <xm:f>EQUI!$A$2:$A$38</xm:f>
          </x14:formula1>
          <xm:sqref>A27:C28</xm:sqref>
        </x14:dataValidation>
        <x14:dataValidation type="list" showInputMessage="1" showErrorMessage="1" xr:uid="{49049522-CC61-45DD-83F6-22679DDEB8E0}">
          <x14:formula1>
            <xm:f>TRANS!$A$2:$A$20</xm:f>
          </x14:formula1>
          <xm:sqref>A35:C35</xm:sqref>
        </x14:dataValidation>
        <x14:dataValidation type="list" showInputMessage="1" showErrorMessage="1" xr:uid="{136DC0F7-4795-4843-A0C7-AC4AC1DF660F}">
          <x14:formula1>
            <xm:f>INS!$A$2:$A$137</xm:f>
          </x14:formula1>
          <xm:sqref>A15:D20</xm:sqref>
        </x14:dataValidation>
        <x14:dataValidation type="list" showInputMessage="1" showErrorMessage="1" xr:uid="{74E84CE5-5751-49C7-B91D-9E1F3107A74C}">
          <x14:formula1>
            <xm:f>LIST!$B$3:$B$120</xm:f>
          </x14:formula1>
          <xm:sqref>D10:H11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DDE62-35BE-4CE9-8A04-8315D6D4116B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496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595</v>
      </c>
      <c r="B15" s="560"/>
      <c r="C15" s="560"/>
      <c r="D15" s="561"/>
      <c r="E15" s="60" t="str">
        <f>IF($A15=0,0,VLOOKUP($A15,INS!$A$2:$E$137,2,FALSE))</f>
        <v>UND</v>
      </c>
      <c r="F15" s="120">
        <v>0.17</v>
      </c>
      <c r="G15" s="60">
        <f>IF($A15=0,0,VLOOKUP($A15,INS!$A$2:$G$137,6,FALSE))</f>
        <v>10117868</v>
      </c>
      <c r="H15" s="25">
        <f t="shared" ref="H15:H20" si="0">+F15*G15</f>
        <v>1720037.56</v>
      </c>
    </row>
    <row r="16" spans="1:8">
      <c r="A16" s="553"/>
      <c r="B16" s="554"/>
      <c r="C16" s="554"/>
      <c r="D16" s="555"/>
      <c r="E16" s="60">
        <f>IF($A16=0,0,VLOOKUP($A16,INS!$A$2:$E$137,2,FALSE))</f>
        <v>0</v>
      </c>
      <c r="F16" s="343"/>
      <c r="G16" s="60">
        <f>IF($A16=0,0,VLOOKUP($A16,INS!$A$2:$G$137,6,FALSE))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64750</v>
      </c>
      <c r="H22" s="25">
        <f>F22*G22</f>
        <v>3237.5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1723275.06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423</v>
      </c>
      <c r="B27" s="565"/>
      <c r="C27" s="565"/>
      <c r="D27" s="61"/>
      <c r="E27" s="19"/>
      <c r="F27" s="60">
        <f>IF($A27=0,0,_xlfn.XLOOKUP($A27,EQUI[DESCRIPCIÓN],EQUI[VALOR]))</f>
        <v>168000</v>
      </c>
      <c r="G27" s="389">
        <f>IF($A27=0,0,_xlfn.XLOOKUP($A27,EQUI[DESCRIPCIÓN],EQUI[RENDIMIENTO]))</f>
        <v>0.1</v>
      </c>
      <c r="H27" s="25">
        <f>F27*G27</f>
        <v>16800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16800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497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v>1</v>
      </c>
      <c r="G35" s="123">
        <f>IF($A$35=0,0,VLOOKUP($A$35,TRANS!$A$2:$D$38,4,FALSE))</f>
        <v>1800</v>
      </c>
      <c r="H35" s="25">
        <f>+E35*F35*G35*D35</f>
        <v>351000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351000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3" s="49">
        <f>F43*G43</f>
        <v>29750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4" s="49">
        <f t="shared" ref="H44:H45" si="1">F44*G44</f>
        <v>35000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64750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2155825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ABB584CB-36A3-4F4C-9E4F-346960608271}">
          <x14:formula1>
            <xm:f>TRANS!$A$2:$A$20</xm:f>
          </x14:formula1>
          <xm:sqref>A35:C35</xm:sqref>
        </x14:dataValidation>
        <x14:dataValidation type="list" allowBlank="1" showInputMessage="1" showErrorMessage="1" xr:uid="{EE68FD65-49A5-426B-8D87-378659049F6A}">
          <x14:formula1>
            <xm:f>EQUI!$A$2:$A$38</xm:f>
          </x14:formula1>
          <xm:sqref>A27:C28</xm:sqref>
        </x14:dataValidation>
        <x14:dataValidation type="list" showInputMessage="1" showErrorMessage="1" xr:uid="{8BB63986-57FB-492C-B1E7-D4CF8FC3F458}">
          <x14:formula1>
            <xm:f>INS!$A$2:$A$137</xm:f>
          </x14:formula1>
          <xm:sqref>A15:D20</xm:sqref>
        </x14:dataValidation>
        <x14:dataValidation type="list" showInputMessage="1" showErrorMessage="1" xr:uid="{2F3793CD-1654-468C-9DD3-D74A893F9514}">
          <x14:formula1>
            <xm:f>LIST!$B$3:$B$120</xm:f>
          </x14:formula1>
          <xm:sqref>D10:H11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A90A3-804B-42E9-A034-D44CBB6F00ED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494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IF($A15=0,0,VLOOKUP($A15,INS!$A$2:$E$137,2,FALSE))</f>
        <v>M3</v>
      </c>
      <c r="F15" s="120">
        <f>+(1*1.2*2*0.15)+(0.7*1.2*2*0.15)+(1*1*0.15*2)</f>
        <v>0.91199999999999992</v>
      </c>
      <c r="G15" s="60">
        <f>IF($A15=0,0,VLOOKUP($A15,INS!$A$2:$G$137,6,FALSE))</f>
        <v>1111084</v>
      </c>
      <c r="H15" s="25">
        <f t="shared" ref="H15:H20" si="0">+F15*G15</f>
        <v>1013308.6079999999</v>
      </c>
    </row>
    <row r="16" spans="1:8">
      <c r="A16" s="553" t="s">
        <v>413</v>
      </c>
      <c r="B16" s="554"/>
      <c r="C16" s="554"/>
      <c r="D16" s="555"/>
      <c r="E16" s="60" t="str">
        <f>IF($A16=0,0,VLOOKUP($A16,INS!$A$2:$E$137,2,FALSE))</f>
        <v>UND</v>
      </c>
      <c r="F16" s="343">
        <v>1.4</v>
      </c>
      <c r="G16" s="60">
        <f>IF($A16=0,0,VLOOKUP($A16,INS!$A$2:$G$137,6,FALSE))</f>
        <v>52100</v>
      </c>
      <c r="H16" s="25">
        <f t="shared" si="0"/>
        <v>72940</v>
      </c>
    </row>
    <row r="17" spans="1:8" ht="17.399999999999999" customHeight="1">
      <c r="A17" s="559" t="s">
        <v>77</v>
      </c>
      <c r="B17" s="560"/>
      <c r="C17" s="560"/>
      <c r="D17" s="561"/>
      <c r="E17" s="149" t="str">
        <f>IF($A17=0,0,VLOOKUP($A17,INS!$A$2:$E$137,2,FALSE))</f>
        <v>KG</v>
      </c>
      <c r="F17" s="120">
        <v>50</v>
      </c>
      <c r="G17" s="60">
        <f>IF($A17=0,0,VLOOKUP($A17,INS!$A$2:$G$137,6,FALSE))</f>
        <v>5500</v>
      </c>
      <c r="H17" s="25">
        <f t="shared" si="0"/>
        <v>275000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177187.5</v>
      </c>
      <c r="H22" s="25">
        <f>F22*G22</f>
        <v>8859.375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1370107.983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4.5</v>
      </c>
      <c r="H43" s="49">
        <f>F43*G43</f>
        <v>111562.5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4.5</v>
      </c>
      <c r="H44" s="49">
        <f t="shared" ref="H44:H45" si="1">F44*G44</f>
        <v>65625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177187.5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1547295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FF12886-4C91-4941-93E8-4E0064904F53}">
          <x14:formula1>
            <xm:f>EQUI!$A$2:$A$38</xm:f>
          </x14:formula1>
          <xm:sqref>A27:C28</xm:sqref>
        </x14:dataValidation>
        <x14:dataValidation type="list" showInputMessage="1" showErrorMessage="1" xr:uid="{D7D75C2B-84E0-4AE4-932D-08A97C214ED4}">
          <x14:formula1>
            <xm:f>TRANS!$A$2:$A$20</xm:f>
          </x14:formula1>
          <xm:sqref>A35:C35</xm:sqref>
        </x14:dataValidation>
        <x14:dataValidation type="list" showInputMessage="1" showErrorMessage="1" xr:uid="{71CF21EA-5EBA-4143-8EAF-AB10DD02B962}">
          <x14:formula1>
            <xm:f>INS!$A$2:$A$137</xm:f>
          </x14:formula1>
          <xm:sqref>A15:D20</xm:sqref>
        </x14:dataValidation>
        <x14:dataValidation type="list" showInputMessage="1" showErrorMessage="1" xr:uid="{364599CF-D7FC-4363-8110-BB32327E4ECE}">
          <x14:formula1>
            <xm:f>LIST!$B$3:$B$120</xm:f>
          </x14:formula1>
          <xm:sqref>D10:H11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5514-8CBB-4388-A0D1-AE281EE1538B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461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404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7000</v>
      </c>
      <c r="H15" s="25">
        <f t="shared" ref="H15:H20" si="0">+F15*G15</f>
        <v>7000</v>
      </c>
    </row>
    <row r="16" spans="1:8">
      <c r="A16" s="553" t="s">
        <v>415</v>
      </c>
      <c r="B16" s="554"/>
      <c r="C16" s="554"/>
      <c r="D16" s="555"/>
      <c r="E16" s="60" t="str">
        <f>IF($A16=0,0,VLOOKUP($A16,INS!$A$2:$E$137,2,FALSE))</f>
        <v>UND</v>
      </c>
      <c r="F16" s="120">
        <v>0.2</v>
      </c>
      <c r="G16" s="60">
        <f>IF($A16=0,0,VLOOKUP($A16,INS!$A$2:$G$137,6,FALSE))</f>
        <v>4500</v>
      </c>
      <c r="H16" s="25">
        <f t="shared" si="0"/>
        <v>900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11812.5</v>
      </c>
      <c r="H22" s="25">
        <f>F22*G22</f>
        <v>590.625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8490.625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1">F44*G44</f>
        <v>4375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20303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2FFC461-0C19-4B1D-A305-54592A9043BA}">
          <x14:formula1>
            <xm:f>TRANS!$A$2:$A$20</xm:f>
          </x14:formula1>
          <xm:sqref>A35:C35</xm:sqref>
        </x14:dataValidation>
        <x14:dataValidation type="list" allowBlank="1" showInputMessage="1" showErrorMessage="1" xr:uid="{F0B210F6-E482-42BB-B316-CFB696722C35}">
          <x14:formula1>
            <xm:f>EQUI!$A$2:$A$38</xm:f>
          </x14:formula1>
          <xm:sqref>A27:C28</xm:sqref>
        </x14:dataValidation>
        <x14:dataValidation type="list" showInputMessage="1" showErrorMessage="1" xr:uid="{101F7E4B-057E-43C3-9829-15BED18B5121}">
          <x14:formula1>
            <xm:f>INS!$A$2:$A$137</xm:f>
          </x14:formula1>
          <xm:sqref>A15:D20</xm:sqref>
        </x14:dataValidation>
        <x14:dataValidation type="list" showInputMessage="1" showErrorMessage="1" xr:uid="{3BE100FA-AE5C-4707-B3C9-6C923661C7EC}">
          <x14:formula1>
            <xm:f>LIST!$B$3:$B$120</xm:f>
          </x14:formula1>
          <xm:sqref>D10:H11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0755F-2EC0-44DD-AD4C-052C4BEB66DB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459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408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29900</v>
      </c>
      <c r="H15" s="25">
        <f t="shared" ref="H15:H20" si="0">+F15*G15</f>
        <v>29900</v>
      </c>
    </row>
    <row r="16" spans="1:8">
      <c r="A16" s="553" t="s">
        <v>410</v>
      </c>
      <c r="B16" s="554"/>
      <c r="C16" s="554"/>
      <c r="D16" s="555"/>
      <c r="E16" s="60" t="str">
        <f>IF($A16=0,0,VLOOKUP($A16,INS!$A$2:$E$137,2,FALSE))</f>
        <v>UND</v>
      </c>
      <c r="F16" s="120">
        <v>0.4</v>
      </c>
      <c r="G16" s="60">
        <f>IF($A16=0,0,VLOOKUP($A16,INS!$A$2:$G$137,6,FALSE))</f>
        <v>24000</v>
      </c>
      <c r="H16" s="25">
        <f t="shared" si="0"/>
        <v>9600</v>
      </c>
    </row>
    <row r="17" spans="1:8" ht="17.399999999999999" customHeight="1">
      <c r="A17" s="559" t="s">
        <v>415</v>
      </c>
      <c r="B17" s="560"/>
      <c r="C17" s="560"/>
      <c r="D17" s="561"/>
      <c r="E17" s="149" t="str">
        <f>IF($A17=0,0,VLOOKUP($A17,INS!$A$2:$E$137,2,FALSE))</f>
        <v>UND</v>
      </c>
      <c r="F17" s="120">
        <v>0.2</v>
      </c>
      <c r="G17" s="60">
        <f>IF($A17=0,0,VLOOKUP($A17,INS!$A$2:$G$137,6,FALSE))</f>
        <v>4500</v>
      </c>
      <c r="H17" s="25">
        <f t="shared" si="0"/>
        <v>900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39375</v>
      </c>
      <c r="H22" s="25">
        <f>F22*G22</f>
        <v>1968.75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42368.75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39375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81744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7E87B7D-FBE9-49D7-B619-B152E6907383}">
          <x14:formula1>
            <xm:f>EQUI!$A$2:$A$38</xm:f>
          </x14:formula1>
          <xm:sqref>A27:C28</xm:sqref>
        </x14:dataValidation>
        <x14:dataValidation type="list" showInputMessage="1" showErrorMessage="1" xr:uid="{1182B55B-B5E4-477B-A2AC-CDE4E24BCA0D}">
          <x14:formula1>
            <xm:f>TRANS!$A$2:$A$20</xm:f>
          </x14:formula1>
          <xm:sqref>A35:C35</xm:sqref>
        </x14:dataValidation>
        <x14:dataValidation type="list" showInputMessage="1" showErrorMessage="1" xr:uid="{6E59E9CB-FF3D-45D9-8FC0-DE6367D8FCA8}">
          <x14:formula1>
            <xm:f>INS!$A$2:$A$137</xm:f>
          </x14:formula1>
          <xm:sqref>A15:D20</xm:sqref>
        </x14:dataValidation>
        <x14:dataValidation type="list" showInputMessage="1" showErrorMessage="1" xr:uid="{3B6D4594-5382-461E-9725-E12BF1E4D8C6}">
          <x14:formula1>
            <xm:f>LIST!$B$3:$B$120</xm:f>
          </x14:formula1>
          <xm:sqref>D10:H11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E6697-ACCC-4E74-BA40-4974B9285F74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391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403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62900</v>
      </c>
      <c r="H15" s="25">
        <f t="shared" ref="H15:H20" si="0">+F15*G15</f>
        <v>62900</v>
      </c>
    </row>
    <row r="16" spans="1:8">
      <c r="A16" s="553"/>
      <c r="B16" s="554"/>
      <c r="C16" s="554"/>
      <c r="D16" s="555"/>
      <c r="E16" s="149">
        <f>IF($A16=0,0,VLOOKUP($A16,INS!$A$2:$E$137,2,FALSE))</f>
        <v>0</v>
      </c>
      <c r="F16" s="120"/>
      <c r="G16" s="60">
        <f>IF($A16=0,0,VLOOKUP($A16,INS!$A$2:$G$137,6,FALSE))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39375</v>
      </c>
      <c r="H22" s="25">
        <f>F22*G22</f>
        <v>1968.75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64868.75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39375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104244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7887B7F-FB2E-462C-9036-BB98A777381C}">
          <x14:formula1>
            <xm:f>EQUI!$A$2:$A$38</xm:f>
          </x14:formula1>
          <xm:sqref>A27:C28</xm:sqref>
        </x14:dataValidation>
        <x14:dataValidation type="list" showInputMessage="1" showErrorMessage="1" xr:uid="{790E8F35-210C-42F8-AEB6-E41215F9C5B4}">
          <x14:formula1>
            <xm:f>TRANS!$A$2:$A$20</xm:f>
          </x14:formula1>
          <xm:sqref>A35:C35</xm:sqref>
        </x14:dataValidation>
        <x14:dataValidation type="list" showInputMessage="1" showErrorMessage="1" xr:uid="{5195F602-F79C-4ECA-A59F-5C1E6A4E4740}">
          <x14:formula1>
            <xm:f>INS!$A$2:$A$137</xm:f>
          </x14:formula1>
          <xm:sqref>A15:D20</xm:sqref>
        </x14:dataValidation>
        <x14:dataValidation type="list" showInputMessage="1" showErrorMessage="1" xr:uid="{176214F7-D5CA-4E20-9CA4-FA15FD0A090A}">
          <x14:formula1>
            <xm:f>LIST!$B$3:$B$120</xm:f>
          </x14:formula1>
          <xm:sqref>D10:H11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29353-5D26-4D58-B755-96736D7A1371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393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414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151900</v>
      </c>
      <c r="H15" s="25">
        <f t="shared" ref="H15:H20" si="0">+F15*G15</f>
        <v>151900</v>
      </c>
    </row>
    <row r="16" spans="1:8">
      <c r="A16" s="553" t="s">
        <v>415</v>
      </c>
      <c r="B16" s="554"/>
      <c r="C16" s="554"/>
      <c r="D16" s="555"/>
      <c r="E16" s="149" t="str">
        <f>IF($A16=0,0,VLOOKUP($A16,INS!$A$2:$E$137,2,FALSE))</f>
        <v>UND</v>
      </c>
      <c r="F16" s="120">
        <v>0.2</v>
      </c>
      <c r="G16" s="60">
        <f>IF($A16=0,0,VLOOKUP($A16,INS!$A$2:$G$137,6,FALSE))</f>
        <v>4500</v>
      </c>
      <c r="H16" s="25">
        <f t="shared" si="0"/>
        <v>900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31500.000000000004</v>
      </c>
      <c r="H22" s="25">
        <f>F22*G22</f>
        <v>1575.0000000000002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154375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3" s="49">
        <f>F43*G43</f>
        <v>19833.333333333336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4" s="49">
        <f t="shared" ref="H44:H45" si="1">F44*G44</f>
        <v>11666.666666666668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31500.000000000004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185875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35396E0F-2D67-4CF7-993F-57F15FA5ABD7}">
          <x14:formula1>
            <xm:f>TRANS!$A$2:$A$20</xm:f>
          </x14:formula1>
          <xm:sqref>A35:C35</xm:sqref>
        </x14:dataValidation>
        <x14:dataValidation type="list" allowBlank="1" showInputMessage="1" showErrorMessage="1" xr:uid="{8F9B5FCF-EFDA-4ED7-BF82-8DD7C6FFBC0B}">
          <x14:formula1>
            <xm:f>EQUI!$A$2:$A$38</xm:f>
          </x14:formula1>
          <xm:sqref>A27:C28</xm:sqref>
        </x14:dataValidation>
        <x14:dataValidation type="list" showInputMessage="1" showErrorMessage="1" xr:uid="{6888DA3C-5F72-4646-9A0B-5DA90B816634}">
          <x14:formula1>
            <xm:f>INS!$A$2:$A$137</xm:f>
          </x14:formula1>
          <xm:sqref>A15:D20</xm:sqref>
        </x14:dataValidation>
        <x14:dataValidation type="list" showInputMessage="1" showErrorMessage="1" xr:uid="{F74AD499-F9EB-40F6-9C80-81BDC9641D32}">
          <x14:formula1>
            <xm:f>LIST!$B$3:$B$120</xm:f>
          </x14:formula1>
          <xm:sqref>D10:H11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280DA-8AA1-4E7F-A63F-2F7636BF6DCA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376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57</v>
      </c>
      <c r="B15" s="560"/>
      <c r="C15" s="560"/>
      <c r="D15" s="561"/>
      <c r="E15" s="60" t="str">
        <f>IF($A15=0,0,VLOOKUP($A15,INS!$A$2:$E$137,2,FALSE))</f>
        <v>BLT</v>
      </c>
      <c r="F15" s="120">
        <f>0.1*7</f>
        <v>0.70000000000000007</v>
      </c>
      <c r="G15" s="60">
        <f>IF($A15=0,0,VLOOKUP($A15,INS!$A$2:$G$137,6,FALSE))</f>
        <v>37000</v>
      </c>
      <c r="H15" s="25">
        <f t="shared" ref="H15:H20" si="0">+F15*G15</f>
        <v>25900.000000000004</v>
      </c>
    </row>
    <row r="16" spans="1:8">
      <c r="A16" s="553" t="s">
        <v>75</v>
      </c>
      <c r="B16" s="554"/>
      <c r="C16" s="554"/>
      <c r="D16" s="555"/>
      <c r="E16" s="343" t="str">
        <f>IF($A16=0,0,VLOOKUP($A16,INS!$A$2:$E$137,2,FALSE))</f>
        <v>M3</v>
      </c>
      <c r="F16" s="120">
        <f>0.1*0.75</f>
        <v>7.5000000000000011E-2</v>
      </c>
      <c r="G16" s="60">
        <f>IF($A16=0,0,VLOOKUP($A16,INS!$A$2:$G$137,6,FALSE))</f>
        <v>65545</v>
      </c>
      <c r="H16" s="25">
        <f t="shared" si="0"/>
        <v>4915.8750000000009</v>
      </c>
    </row>
    <row r="17" spans="1:8" ht="17.399999999999999" customHeight="1">
      <c r="A17" s="559" t="s">
        <v>53</v>
      </c>
      <c r="B17" s="560"/>
      <c r="C17" s="560"/>
      <c r="D17" s="561"/>
      <c r="E17" s="149" t="str">
        <f>IF($A17=0,0,VLOOKUP($A17,INS!$A$2:$E$137,2,FALSE))</f>
        <v>M3</v>
      </c>
      <c r="F17" s="120">
        <f>0.1*0.55</f>
        <v>5.5000000000000007E-2</v>
      </c>
      <c r="G17" s="60">
        <f>IF($A17=0,0,VLOOKUP($A17,INS!$A$2:$G$137,6,FALSE))</f>
        <v>90000</v>
      </c>
      <c r="H17" s="25">
        <f t="shared" si="0"/>
        <v>4950.0000000000009</v>
      </c>
    </row>
    <row r="18" spans="1:8">
      <c r="A18" s="553" t="s">
        <v>77</v>
      </c>
      <c r="B18" s="554"/>
      <c r="C18" s="554"/>
      <c r="D18" s="555"/>
      <c r="E18" s="149" t="str">
        <f>IF($A18=0,0,VLOOKUP($A18,INS!$A$2:$E$137,2,FALSE))</f>
        <v>KG</v>
      </c>
      <c r="F18" s="120">
        <f>+(8*0.56)</f>
        <v>4.4800000000000004</v>
      </c>
      <c r="G18" s="60">
        <f>IF($A18=0,0,VLOOKUP($A18,INS!$A$2:$G$137,6,FALSE))</f>
        <v>5500</v>
      </c>
      <c r="H18" s="25">
        <f t="shared" si="0"/>
        <v>24640.000000000004</v>
      </c>
    </row>
    <row r="19" spans="1:8">
      <c r="A19" s="553" t="s">
        <v>413</v>
      </c>
      <c r="B19" s="554"/>
      <c r="C19" s="554"/>
      <c r="D19" s="555"/>
      <c r="E19" s="149" t="str">
        <f>IF($A19=0,0,VLOOKUP($A19,INS!$A$2:$E$137,2,FALSE))</f>
        <v>UND</v>
      </c>
      <c r="F19" s="120">
        <v>1.3</v>
      </c>
      <c r="G19" s="60">
        <f>IF($A19=0,0,VLOOKUP($A19,INS!$A$2:$G$137,6,FALSE))</f>
        <v>52100</v>
      </c>
      <c r="H19" s="25">
        <f t="shared" si="0"/>
        <v>67730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157500</v>
      </c>
      <c r="H22" s="25">
        <f>F22*G22</f>
        <v>7875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136010.875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290</v>
      </c>
      <c r="B27" s="565"/>
      <c r="C27" s="565"/>
      <c r="D27" s="61"/>
      <c r="E27" s="19"/>
      <c r="F27" s="60">
        <f>IF($A27=0,0,VLOOKUP($A27,EQUI!$A$2:$E$6,3,FALSE))</f>
        <v>10000</v>
      </c>
      <c r="G27" s="120">
        <f>+IF($A27=0,0,VLOOKUP($A27,EQUI!$A$2:$E$6,5,FALSE))</f>
        <v>2.5</v>
      </c>
      <c r="H27" s="25">
        <f>F27*G27</f>
        <v>25000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25000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277</v>
      </c>
      <c r="B35" s="571"/>
      <c r="C35" s="571"/>
      <c r="D35" s="124">
        <f>IF($A$35=0,0,VLOOKUP($A$35,TRANS!$A$2:$F$38,5,FALSE))</f>
        <v>1.1000000000000001</v>
      </c>
      <c r="E35" s="42">
        <f>IF($A$35=0,0,VLOOKUP($A$35,TRANS!$A$2:$D$39,3,FALSE))</f>
        <v>125</v>
      </c>
      <c r="F35" s="147">
        <f>+F16+F17</f>
        <v>0.13</v>
      </c>
      <c r="G35" s="123">
        <f>IF($A$35=0,0,VLOOKUP($A$35,TRANS!$A$2:$D$38,4,FALSE))</f>
        <v>1800</v>
      </c>
      <c r="H35" s="25">
        <f>+E35*F35*G35*D35</f>
        <v>32175.000000000004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32175.000000000004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</v>
      </c>
      <c r="H43" s="49">
        <f>F43*G43</f>
        <v>99166.666666666672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</v>
      </c>
      <c r="H44" s="49">
        <f t="shared" ref="H44:H45" si="1">F44*G44</f>
        <v>58333.333333333336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157500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350686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FA9176C-BFA1-4666-9FA5-DAC929E33432}">
          <x14:formula1>
            <xm:f>EQUI!$A$2:$A$38</xm:f>
          </x14:formula1>
          <xm:sqref>A27:C28</xm:sqref>
        </x14:dataValidation>
        <x14:dataValidation type="list" showInputMessage="1" showErrorMessage="1" xr:uid="{6C465105-0D8D-4F6A-9A1A-F3E804723D8E}">
          <x14:formula1>
            <xm:f>TRANS!$A$2:$A$20</xm:f>
          </x14:formula1>
          <xm:sqref>A35:C35</xm:sqref>
        </x14:dataValidation>
        <x14:dataValidation type="list" showInputMessage="1" showErrorMessage="1" xr:uid="{70413E9B-EB3F-420C-B468-A67C348A8193}">
          <x14:formula1>
            <xm:f>INS!$A$2:$A$137</xm:f>
          </x14:formula1>
          <xm:sqref>A15:D20</xm:sqref>
        </x14:dataValidation>
        <x14:dataValidation type="list" showInputMessage="1" showErrorMessage="1" xr:uid="{ED75F6AF-A101-4EF7-A9D0-7E657C6D9D54}">
          <x14:formula1>
            <xm:f>LIST!$B$3:$B$120</xm:f>
          </x14:formula1>
          <xm:sqref>D10:H11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F095B-358D-4C2A-A8F7-3E27A77C8F41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392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411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18900</v>
      </c>
      <c r="H15" s="25">
        <f t="shared" ref="H15:H20" si="0">+F15*G15</f>
        <v>18900</v>
      </c>
    </row>
    <row r="16" spans="1:8">
      <c r="A16" s="553"/>
      <c r="B16" s="554"/>
      <c r="C16" s="554"/>
      <c r="D16" s="555"/>
      <c r="E16" s="343">
        <f>IF($A16=0,0,VLOOKUP($A16,INS!$A$2:$E$137,2,FALSE))</f>
        <v>0</v>
      </c>
      <c r="F16" s="120"/>
      <c r="G16" s="60">
        <f>IF($A16=0,0,VLOOKUP($A16,INS!$A$2:$G$137,6,FALSE))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118125</v>
      </c>
      <c r="H22" s="25">
        <f>F22*G22</f>
        <v>5906.25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24806.25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412</v>
      </c>
      <c r="B27" s="565"/>
      <c r="C27" s="565"/>
      <c r="D27" s="61"/>
      <c r="E27" s="19"/>
      <c r="F27" s="60">
        <f>IF($A27=0,0,VLOOKUP($A27,EQUI!$A$2:$E$6,3,FALSE))</f>
        <v>5000</v>
      </c>
      <c r="G27" s="120">
        <f>+IF($A27=0,0,VLOOKUP($A27,EQUI!$A$2:$E$6,5,FALSE))</f>
        <v>2</v>
      </c>
      <c r="H27" s="25">
        <f>F27*G27</f>
        <v>10000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+F16+F17</f>
        <v>0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3" s="49">
        <f>F43*G43</f>
        <v>74375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4" s="49">
        <f t="shared" ref="H44:H45" si="1">F44*G44</f>
        <v>43750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152931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A17B05FA-E20D-44C9-8905-8AE4B2182367}">
          <x14:formula1>
            <xm:f>TRANS!$A$2:$A$20</xm:f>
          </x14:formula1>
          <xm:sqref>A35:C35</xm:sqref>
        </x14:dataValidation>
        <x14:dataValidation type="list" allowBlank="1" showInputMessage="1" showErrorMessage="1" xr:uid="{4B06BD6A-AD26-42A2-9288-3001EA3B8F4F}">
          <x14:formula1>
            <xm:f>EQUI!$A$2:$A$38</xm:f>
          </x14:formula1>
          <xm:sqref>A27:C28</xm:sqref>
        </x14:dataValidation>
        <x14:dataValidation type="list" showInputMessage="1" showErrorMessage="1" xr:uid="{51C020E6-D2E2-4323-826F-A52A80E6988F}">
          <x14:formula1>
            <xm:f>INS!$A$2:$A$137</xm:f>
          </x14:formula1>
          <xm:sqref>A15:D20</xm:sqref>
        </x14:dataValidation>
        <x14:dataValidation type="list" showInputMessage="1" showErrorMessage="1" xr:uid="{817806D7-98B2-4FE3-8B66-6287F31186D4}">
          <x14:formula1>
            <xm:f>LIST!$B$3:$B$120</xm:f>
          </x14:formula1>
          <xm:sqref>D10:H11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311D9-CBCF-40E3-93AA-4EF0A2371D4A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363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408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29900</v>
      </c>
      <c r="H15" s="25">
        <f t="shared" ref="H15:H20" si="0">+F15*G15</f>
        <v>29900</v>
      </c>
    </row>
    <row r="16" spans="1:8">
      <c r="A16" s="553" t="s">
        <v>410</v>
      </c>
      <c r="B16" s="554"/>
      <c r="C16" s="554"/>
      <c r="D16" s="555"/>
      <c r="E16" s="60" t="str">
        <f>IF($A16=0,0,VLOOKUP($A16,INS!$A$2:$E$137,2,FALSE))</f>
        <v>UND</v>
      </c>
      <c r="F16" s="120">
        <v>0.4</v>
      </c>
      <c r="G16" s="60">
        <f>IF($A16=0,0,VLOOKUP($A16,INS!$A$2:$G$137,6,FALSE))</f>
        <v>24000</v>
      </c>
      <c r="H16" s="25">
        <f t="shared" si="0"/>
        <v>9600</v>
      </c>
    </row>
    <row r="17" spans="1:8" ht="17.399999999999999" customHeight="1">
      <c r="A17" s="559" t="s">
        <v>415</v>
      </c>
      <c r="B17" s="560"/>
      <c r="C17" s="560"/>
      <c r="D17" s="561"/>
      <c r="E17" s="149" t="str">
        <f>IF($A17=0,0,VLOOKUP($A17,INS!$A$2:$E$137,2,FALSE))</f>
        <v>UND</v>
      </c>
      <c r="F17" s="120">
        <v>0.2</v>
      </c>
      <c r="G17" s="60">
        <f>IF($A17=0,0,VLOOKUP($A17,INS!$A$2:$G$137,6,FALSE))</f>
        <v>4500</v>
      </c>
      <c r="H17" s="25">
        <f t="shared" si="0"/>
        <v>900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39375</v>
      </c>
      <c r="H22" s="25">
        <f>F22*G22</f>
        <v>1968.75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42368.75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39375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81744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3FD36B7-79AB-49AD-B754-8DB1CF2972C2}">
          <x14:formula1>
            <xm:f>TRANS!$A$2:$A$20</xm:f>
          </x14:formula1>
          <xm:sqref>A35:C35</xm:sqref>
        </x14:dataValidation>
        <x14:dataValidation type="list" allowBlank="1" showInputMessage="1" showErrorMessage="1" xr:uid="{43DB4E0A-CACA-4235-BF28-F51F9BD8C497}">
          <x14:formula1>
            <xm:f>EQUI!$A$2:$A$38</xm:f>
          </x14:formula1>
          <xm:sqref>A27:C28</xm:sqref>
        </x14:dataValidation>
        <x14:dataValidation type="list" showInputMessage="1" showErrorMessage="1" xr:uid="{8CD665F3-AE49-4F73-BAAF-C205C1C28728}">
          <x14:formula1>
            <xm:f>INS!$A$2:$A$137</xm:f>
          </x14:formula1>
          <xm:sqref>A15:D20</xm:sqref>
        </x14:dataValidation>
        <x14:dataValidation type="list" showInputMessage="1" showErrorMessage="1" xr:uid="{8F606319-9A1D-4F45-B78F-132B170280DF}">
          <x14:formula1>
            <xm:f>LIST!$B$3:$B$120</xm:f>
          </x14:formula1>
          <xm:sqref>D10:H11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40AA5-1293-49DB-B227-5B4672B29754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362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409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144900</v>
      </c>
      <c r="H15" s="25">
        <f t="shared" ref="H15:H20" si="0">+F15*G15</f>
        <v>144900</v>
      </c>
    </row>
    <row r="16" spans="1:8">
      <c r="A16" s="553" t="s">
        <v>404</v>
      </c>
      <c r="B16" s="554"/>
      <c r="C16" s="554"/>
      <c r="D16" s="555"/>
      <c r="E16" s="60" t="str">
        <f>IF($A16=0,0,VLOOKUP($A16,INS!$A$2:$E$137,2,FALSE))</f>
        <v>UND</v>
      </c>
      <c r="F16" s="120">
        <v>1</v>
      </c>
      <c r="G16" s="60">
        <f>IF($A16=0,0,VLOOKUP($A16,INS!$A$2:$G$137,6,FALSE))</f>
        <v>7000</v>
      </c>
      <c r="H16" s="25">
        <f t="shared" si="0"/>
        <v>7000</v>
      </c>
    </row>
    <row r="17" spans="1:8" ht="17.399999999999999" customHeight="1">
      <c r="A17" s="559" t="s">
        <v>415</v>
      </c>
      <c r="B17" s="560"/>
      <c r="C17" s="560"/>
      <c r="D17" s="561"/>
      <c r="E17" s="149" t="str">
        <f>IF($A17=0,0,VLOOKUP($A17,INS!$A$2:$E$137,2,FALSE))</f>
        <v>UND</v>
      </c>
      <c r="F17" s="120">
        <v>0.2</v>
      </c>
      <c r="G17" s="60">
        <f>IF($A17=0,0,VLOOKUP($A17,INS!$A$2:$G$137,6,FALSE))</f>
        <v>4500</v>
      </c>
      <c r="H17" s="25">
        <f t="shared" si="0"/>
        <v>900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31500.000000000004</v>
      </c>
      <c r="H22" s="25">
        <f>F22*G22</f>
        <v>1575.0000000000002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154375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3" s="49">
        <f>F43*G43</f>
        <v>19833.333333333336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4" s="49">
        <f t="shared" ref="H44:H45" si="1">F44*G44</f>
        <v>11666.666666666668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31500.000000000004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185875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14C4997-8032-4DD5-8478-28E343E23EB3}">
          <x14:formula1>
            <xm:f>EQUI!$A$2:$A$38</xm:f>
          </x14:formula1>
          <xm:sqref>A27:C28</xm:sqref>
        </x14:dataValidation>
        <x14:dataValidation type="list" showInputMessage="1" showErrorMessage="1" xr:uid="{2D4AFC25-FB3C-4CED-BBA7-9C2CBCC5BD66}">
          <x14:formula1>
            <xm:f>TRANS!$A$2:$A$20</xm:f>
          </x14:formula1>
          <xm:sqref>A35:C35</xm:sqref>
        </x14:dataValidation>
        <x14:dataValidation type="list" showInputMessage="1" showErrorMessage="1" xr:uid="{FCD57D18-1EB9-43B2-9990-6CC9D9E00CFE}">
          <x14:formula1>
            <xm:f>INS!$A$2:$A$137</xm:f>
          </x14:formula1>
          <xm:sqref>A15:D20</xm:sqref>
        </x14:dataValidation>
        <x14:dataValidation type="list" showInputMessage="1" showErrorMessage="1" xr:uid="{211D24C4-83C6-4BA5-9760-2F5F995BD4AE}">
          <x14:formula1>
            <xm:f>LIST!$B$3:$B$120</xm:f>
          </x14:formula1>
          <xm:sqref>D10:H11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0FB2D-1795-4C5F-B9AD-A9697F9D8BB9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361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583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231900</v>
      </c>
      <c r="H15" s="25">
        <f t="shared" ref="H15:H20" si="0">+F15*G15</f>
        <v>231900</v>
      </c>
    </row>
    <row r="16" spans="1:8">
      <c r="A16" s="553" t="s">
        <v>408</v>
      </c>
      <c r="B16" s="554"/>
      <c r="C16" s="554"/>
      <c r="D16" s="555"/>
      <c r="E16" s="60" t="str">
        <f>IF($A16=0,0,VLOOKUP($A16,INS!$A$2:$E$137,2,FALSE))</f>
        <v>UND</v>
      </c>
      <c r="F16" s="120">
        <v>1</v>
      </c>
      <c r="G16" s="60">
        <f>IF($A16=0,0,VLOOKUP($A16,INS!$A$2:$G$137,6,FALSE))</f>
        <v>29900</v>
      </c>
      <c r="H16" s="25">
        <f t="shared" si="0"/>
        <v>29900</v>
      </c>
    </row>
    <row r="17" spans="1:8" ht="17.399999999999999" customHeight="1">
      <c r="A17" s="559" t="s">
        <v>404</v>
      </c>
      <c r="B17" s="560"/>
      <c r="C17" s="560"/>
      <c r="D17" s="561"/>
      <c r="E17" s="149" t="str">
        <f>IF($A17=0,0,VLOOKUP($A17,INS!$A$2:$E$137,2,FALSE))</f>
        <v>UND</v>
      </c>
      <c r="F17" s="120">
        <v>0.4</v>
      </c>
      <c r="G17" s="60">
        <f>IF($A17=0,0,VLOOKUP($A17,INS!$A$2:$G$137,6,FALSE))</f>
        <v>7000</v>
      </c>
      <c r="H17" s="25">
        <f t="shared" si="0"/>
        <v>2800</v>
      </c>
    </row>
    <row r="18" spans="1:8">
      <c r="A18" s="553" t="s">
        <v>407</v>
      </c>
      <c r="B18" s="554"/>
      <c r="C18" s="554"/>
      <c r="D18" s="555"/>
      <c r="E18" s="149" t="str">
        <f>IF($A18=0,0,VLOOKUP($A18,INS!$A$2:$E$137,2,FALSE))</f>
        <v>UND</v>
      </c>
      <c r="F18" s="120">
        <v>1</v>
      </c>
      <c r="G18" s="60">
        <f>IF($A18=0,0,VLOOKUP($A18,INS!$A$2:$G$137,6,FALSE))</f>
        <v>27900</v>
      </c>
      <c r="H18" s="25">
        <f t="shared" si="0"/>
        <v>27900</v>
      </c>
    </row>
    <row r="19" spans="1:8">
      <c r="A19" s="553" t="s">
        <v>410</v>
      </c>
      <c r="B19" s="554"/>
      <c r="C19" s="554"/>
      <c r="D19" s="555"/>
      <c r="E19" s="149" t="str">
        <f>IF($A19=0,0,VLOOKUP($A19,INS!$A$2:$E$137,2,FALSE))</f>
        <v>UND</v>
      </c>
      <c r="F19" s="120">
        <v>0.3</v>
      </c>
      <c r="G19" s="60">
        <f>IF($A19=0,0,VLOOKUP($A19,INS!$A$2:$G$137,6,FALSE))</f>
        <v>24000</v>
      </c>
      <c r="H19" s="25">
        <f t="shared" si="0"/>
        <v>7200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47250</v>
      </c>
      <c r="H22" s="25">
        <f>F22*G22</f>
        <v>2362.5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302062.5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600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150</v>
      </c>
      <c r="H35" s="25">
        <f>+E35*F35*G35*D35</f>
        <v>29250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29250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3" s="49">
        <f>F43*G43</f>
        <v>29750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4" s="49">
        <f t="shared" ref="H44:H45" si="1">F44*G44</f>
        <v>17500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47250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378563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D2F1CAAA-A258-429F-8BC2-303BD699B4E1}">
          <x14:formula1>
            <xm:f>TRANS!$A$2:$A$20</xm:f>
          </x14:formula1>
          <xm:sqref>A35:C35</xm:sqref>
        </x14:dataValidation>
        <x14:dataValidation type="list" allowBlank="1" showInputMessage="1" showErrorMessage="1" xr:uid="{2F780CA0-2FA1-41A1-A7E8-0920931B2E68}">
          <x14:formula1>
            <xm:f>EQUI!$A$2:$A$38</xm:f>
          </x14:formula1>
          <xm:sqref>A27:C28</xm:sqref>
        </x14:dataValidation>
        <x14:dataValidation type="list" showInputMessage="1" showErrorMessage="1" xr:uid="{46150400-0B93-4322-AC4A-67CCEC50A326}">
          <x14:formula1>
            <xm:f>INS!$A$2:$A$137</xm:f>
          </x14:formula1>
          <xm:sqref>A15:D20</xm:sqref>
        </x14:dataValidation>
        <x14:dataValidation type="list" showInputMessage="1" showErrorMessage="1" xr:uid="{A9E1CC9B-B1AC-48E7-81AB-768A019BC2EC}">
          <x14:formula1>
            <xm:f>LIST!$B$3:$B$120</xm:f>
          </x14:formula1>
          <xm:sqref>D10:H11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CA4B5-9F39-4974-AD9E-E814382CE672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360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405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646900</v>
      </c>
      <c r="H15" s="25">
        <f t="shared" ref="H15:H20" si="0">+F15*G15</f>
        <v>646900</v>
      </c>
    </row>
    <row r="16" spans="1:8">
      <c r="A16" s="553" t="s">
        <v>572</v>
      </c>
      <c r="B16" s="554"/>
      <c r="C16" s="554"/>
      <c r="D16" s="555"/>
      <c r="E16" s="60" t="str">
        <f>IF($A16=0,0,VLOOKUP($A16,INS!$A$2:$E$137,2,FALSE))</f>
        <v>UND</v>
      </c>
      <c r="F16" s="120">
        <v>1</v>
      </c>
      <c r="G16" s="60">
        <f>IF($A16=0,0,VLOOKUP($A16,INS!$A$2:$G$137,6,FALSE))</f>
        <v>57900</v>
      </c>
      <c r="H16" s="25">
        <f t="shared" si="0"/>
        <v>57900</v>
      </c>
    </row>
    <row r="17" spans="1:8" ht="17.399999999999999" customHeight="1">
      <c r="A17" s="559" t="s">
        <v>84</v>
      </c>
      <c r="B17" s="560"/>
      <c r="C17" s="560"/>
      <c r="D17" s="561"/>
      <c r="E17" s="149" t="str">
        <f>IF($A17=0,0,VLOOKUP($A17,INS!$A$2:$E$137,2,FALSE))</f>
        <v>KG</v>
      </c>
      <c r="F17" s="120">
        <v>0.4</v>
      </c>
      <c r="G17" s="60">
        <f>IF($A17=0,0,VLOOKUP($A17,INS!$A$2:$G$137,6,FALSE))</f>
        <v>7825</v>
      </c>
      <c r="H17" s="25">
        <f t="shared" si="0"/>
        <v>3130</v>
      </c>
    </row>
    <row r="18" spans="1:8">
      <c r="A18" s="553" t="s">
        <v>403</v>
      </c>
      <c r="B18" s="554"/>
      <c r="C18" s="554"/>
      <c r="D18" s="555"/>
      <c r="E18" s="149" t="str">
        <f>IF($A18=0,0,VLOOKUP($A18,INS!$A$2:$E$137,2,FALSE))</f>
        <v>UND</v>
      </c>
      <c r="F18" s="120">
        <v>1</v>
      </c>
      <c r="G18" s="60">
        <f>IF($A18=0,0,VLOOKUP($A18,INS!$A$2:$G$137,6,FALSE))</f>
        <v>62900</v>
      </c>
      <c r="H18" s="25">
        <f t="shared" si="0"/>
        <v>62900</v>
      </c>
    </row>
    <row r="19" spans="1:8">
      <c r="A19" s="553" t="s">
        <v>404</v>
      </c>
      <c r="B19" s="554"/>
      <c r="C19" s="554"/>
      <c r="D19" s="555"/>
      <c r="E19" s="149" t="str">
        <f>IF($A19=0,0,VLOOKUP($A19,INS!$A$2:$E$137,2,FALSE))</f>
        <v>UND</v>
      </c>
      <c r="F19" s="120">
        <v>1</v>
      </c>
      <c r="G19" s="60">
        <f>IF($A19=0,0,VLOOKUP($A19,INS!$A$2:$G$137,6,FALSE))</f>
        <v>7000</v>
      </c>
      <c r="H19" s="25">
        <f t="shared" si="0"/>
        <v>7000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98437.5</v>
      </c>
      <c r="H22" s="25">
        <f>F22*G22</f>
        <v>4921.875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782751.875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599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250</v>
      </c>
      <c r="H35" s="25">
        <f>+E35*F35*G35*D35</f>
        <v>48750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48750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2.5</v>
      </c>
      <c r="H43" s="49">
        <f>F43*G43</f>
        <v>61979.166666666672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2.5</v>
      </c>
      <c r="H44" s="49">
        <f t="shared" ref="H44:H45" si="1">F44*G44</f>
        <v>36458.333333333336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98437.5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929939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4B291F4-4281-45F0-A4F8-3889B5E3B877}">
          <x14:formula1>
            <xm:f>EQUI!$A$2:$A$38</xm:f>
          </x14:formula1>
          <xm:sqref>A27:C28</xm:sqref>
        </x14:dataValidation>
        <x14:dataValidation type="list" showInputMessage="1" showErrorMessage="1" xr:uid="{6A9FF490-FD19-4D9F-A765-B2671DDE9486}">
          <x14:formula1>
            <xm:f>TRANS!$A$2:$A$20</xm:f>
          </x14:formula1>
          <xm:sqref>A35:C35</xm:sqref>
        </x14:dataValidation>
        <x14:dataValidation type="list" showInputMessage="1" showErrorMessage="1" xr:uid="{75EC1D6B-1BBC-472B-8D6E-472D2C344C33}">
          <x14:formula1>
            <xm:f>INS!$A$2:$A$137</xm:f>
          </x14:formula1>
          <xm:sqref>A15:D20</xm:sqref>
        </x14:dataValidation>
        <x14:dataValidation type="list" showInputMessage="1" showErrorMessage="1" xr:uid="{585E4BD5-1489-4CAC-8780-92D9208B54B0}">
          <x14:formula1>
            <xm:f>LIST!$B$3:$B$120</xm:f>
          </x14:formula1>
          <xm:sqref>D10:H11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1072-BBF6-4CDF-8A41-78271E4C960F}">
  <sheetPr>
    <tabColor rgb="FF00B050"/>
  </sheetPr>
  <dimension ref="A1:H56"/>
  <sheetViews>
    <sheetView workbookViewId="0">
      <selection activeCell="A35" sqref="A35:C35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366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591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290950</v>
      </c>
      <c r="H15" s="25">
        <f t="shared" ref="H15:H20" si="0">+F15*G15</f>
        <v>290950</v>
      </c>
    </row>
    <row r="16" spans="1:8">
      <c r="A16" s="553" t="s">
        <v>572</v>
      </c>
      <c r="B16" s="554"/>
      <c r="C16" s="554"/>
      <c r="D16" s="555"/>
      <c r="E16" s="60" t="str">
        <f>IF($A16=0,0,VLOOKUP($A16,INS!$A$2:$E$137,2,FALSE))</f>
        <v>UND</v>
      </c>
      <c r="F16" s="120">
        <v>1</v>
      </c>
      <c r="G16" s="60">
        <f>IF($A16=0,0,VLOOKUP($A16,INS!$A$2:$G$137,6,FALSE))</f>
        <v>57900</v>
      </c>
      <c r="H16" s="25">
        <f t="shared" si="0"/>
        <v>57900</v>
      </c>
    </row>
    <row r="17" spans="1:8" ht="17.399999999999999" customHeight="1">
      <c r="A17" s="559" t="s">
        <v>84</v>
      </c>
      <c r="B17" s="560"/>
      <c r="C17" s="560"/>
      <c r="D17" s="561"/>
      <c r="E17" s="149" t="str">
        <f>IF($A17=0,0,VLOOKUP($A17,INS!$A$2:$E$137,2,FALSE))</f>
        <v>KG</v>
      </c>
      <c r="F17" s="120">
        <v>0.4</v>
      </c>
      <c r="G17" s="60">
        <f>IF($A17=0,0,VLOOKUP($A17,INS!$A$2:$G$137,6,FALSE))</f>
        <v>7825</v>
      </c>
      <c r="H17" s="25">
        <f t="shared" si="0"/>
        <v>3130</v>
      </c>
    </row>
    <row r="18" spans="1:8">
      <c r="A18" s="553" t="s">
        <v>403</v>
      </c>
      <c r="B18" s="554"/>
      <c r="C18" s="554"/>
      <c r="D18" s="555"/>
      <c r="E18" s="149" t="str">
        <f>IF($A18=0,0,VLOOKUP($A18,INS!$A$2:$E$137,2,FALSE))</f>
        <v>UND</v>
      </c>
      <c r="F18" s="120">
        <v>1</v>
      </c>
      <c r="G18" s="60">
        <f>IF($A18=0,0,VLOOKUP($A18,INS!$A$2:$G$137,6,FALSE))</f>
        <v>62900</v>
      </c>
      <c r="H18" s="25">
        <f t="shared" si="0"/>
        <v>62900</v>
      </c>
    </row>
    <row r="19" spans="1:8">
      <c r="A19" s="553" t="s">
        <v>404</v>
      </c>
      <c r="B19" s="554"/>
      <c r="C19" s="554"/>
      <c r="D19" s="555"/>
      <c r="E19" s="149" t="str">
        <f>IF($A19=0,0,VLOOKUP($A19,INS!$A$2:$E$137,2,FALSE))</f>
        <v>UND</v>
      </c>
      <c r="F19" s="120">
        <v>1</v>
      </c>
      <c r="G19" s="60">
        <f>IF($A19=0,0,VLOOKUP($A19,INS!$A$2:$G$137,6,FALSE))</f>
        <v>7000</v>
      </c>
      <c r="H19" s="25">
        <f t="shared" si="0"/>
        <v>7000</v>
      </c>
    </row>
    <row r="20" spans="1:8">
      <c r="A20" s="553" t="s">
        <v>410</v>
      </c>
      <c r="B20" s="554"/>
      <c r="C20" s="554"/>
      <c r="D20" s="555"/>
      <c r="E20" s="149" t="str">
        <f>IF($A20=0,0,VLOOKUP($A20,INS!$A$2:$E$137,2,FALSE))</f>
        <v>UND</v>
      </c>
      <c r="F20" s="120">
        <v>0.2</v>
      </c>
      <c r="G20" s="60">
        <f>IF($A20=0,0,VLOOKUP($A20,INS!$A$2:$G$137,6,FALSE))</f>
        <v>24000</v>
      </c>
      <c r="H20" s="25">
        <f t="shared" si="0"/>
        <v>4800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59062.5</v>
      </c>
      <c r="H22" s="25">
        <f>F22*G22</f>
        <v>2953.125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429633.125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599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250</v>
      </c>
      <c r="H35" s="25">
        <f>+E35*F35*G35*D35</f>
        <v>48750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48750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1.5</v>
      </c>
      <c r="H43" s="49">
        <f>F43*G43</f>
        <v>37187.5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1.5</v>
      </c>
      <c r="H44" s="49">
        <f t="shared" ref="H44:H45" si="1">F44*G44</f>
        <v>21875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59062.5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537446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1D6069A4-31D2-4E22-80DA-B358E45A1C6A}">
          <x14:formula1>
            <xm:f>TRANS!$A$2:$A$20</xm:f>
          </x14:formula1>
          <xm:sqref>A35:C35</xm:sqref>
        </x14:dataValidation>
        <x14:dataValidation type="list" allowBlank="1" showInputMessage="1" showErrorMessage="1" xr:uid="{B9963FF9-7DA6-47FD-8D79-764A1656E488}">
          <x14:formula1>
            <xm:f>EQUI!$A$2:$A$38</xm:f>
          </x14:formula1>
          <xm:sqref>A27:C28</xm:sqref>
        </x14:dataValidation>
        <x14:dataValidation type="list" showInputMessage="1" showErrorMessage="1" xr:uid="{CA6F946D-84E0-48C8-BF1E-6FFB043A008C}">
          <x14:formula1>
            <xm:f>INS!$A$2:$A$137</xm:f>
          </x14:formula1>
          <xm:sqref>A15:D20</xm:sqref>
        </x14:dataValidation>
        <x14:dataValidation type="list" showInputMessage="1" showErrorMessage="1" xr:uid="{2309335C-6FB4-4277-BDE8-13AB850B32C7}">
          <x14:formula1>
            <xm:f>LIST!$B$3:$B$120</xm:f>
          </x14:formula1>
          <xm:sqref>D10:H11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E5DFD-2EA8-46C8-9392-A2BA7AE00F77}">
  <sheetPr>
    <tabColor rgb="FF00B0F0"/>
  </sheetPr>
  <dimension ref="A1:H56"/>
  <sheetViews>
    <sheetView topLeftCell="A5"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657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655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1278785</v>
      </c>
      <c r="H15" s="25">
        <f t="shared" ref="H15:H21" si="0">+F15*G15</f>
        <v>1278785</v>
      </c>
    </row>
    <row r="16" spans="1:8">
      <c r="A16" s="553" t="s">
        <v>577</v>
      </c>
      <c r="B16" s="554"/>
      <c r="C16" s="554"/>
      <c r="D16" s="555"/>
      <c r="E16" s="60" t="str">
        <f>IF($A16=0,0,VLOOKUP($A16,INS!$A$2:$E$137,2,FALSE))</f>
        <v>UND</v>
      </c>
      <c r="F16" s="120">
        <v>0.2</v>
      </c>
      <c r="G16" s="60">
        <f>IF($A16=0,0,VLOOKUP($A16,INS!$A$2:$G$137,6,FALSE))</f>
        <v>5600</v>
      </c>
      <c r="H16" s="25">
        <f t="shared" si="0"/>
        <v>1120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>
        <v>0.03</v>
      </c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>
        <v>0.01</v>
      </c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>
        <v>0.5</v>
      </c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>
        <v>0.5</v>
      </c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>
        <v>1</v>
      </c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118125</v>
      </c>
      <c r="H22" s="25">
        <f>F22*G22</f>
        <v>5906.25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1285811.25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3" s="49">
        <f>F43*G43</f>
        <v>74375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4" s="49">
        <f t="shared" ref="H44:H45" si="1">F44*G44</f>
        <v>43750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1403936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3FAF3D1-59E6-4439-A530-2982FE39B557}">
          <x14:formula1>
            <xm:f>TRANS!$A$2:$A$20</xm:f>
          </x14:formula1>
          <xm:sqref>A35:C35</xm:sqref>
        </x14:dataValidation>
        <x14:dataValidation type="list" allowBlank="1" showInputMessage="1" showErrorMessage="1" xr:uid="{C2A4C875-ECCB-4A05-A96B-BEE70714C7DE}">
          <x14:formula1>
            <xm:f>EQUI!$A$2:$A$38</xm:f>
          </x14:formula1>
          <xm:sqref>A27:C28</xm:sqref>
        </x14:dataValidation>
        <x14:dataValidation type="list" showInputMessage="1" showErrorMessage="1" xr:uid="{CF44D1EA-99E2-4EC1-92FD-7A22CA70EC44}">
          <x14:formula1>
            <xm:f>INS!$A$2:$A$137</xm:f>
          </x14:formula1>
          <xm:sqref>A15:D21</xm:sqref>
        </x14:dataValidation>
        <x14:dataValidation type="list" showInputMessage="1" showErrorMessage="1" xr:uid="{12F510DB-EFCE-47A9-ADD7-50EC14D93756}">
          <x14:formula1>
            <xm:f>LIST!$B$3:$B$120</xm:f>
          </x14:formula1>
          <xm:sqref>D10:H11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E00C1-2118-458F-BF30-ADFAE26D2C15}">
  <sheetPr>
    <tabColor rgb="FF00B0F0"/>
  </sheetPr>
  <dimension ref="A1:H56"/>
  <sheetViews>
    <sheetView topLeftCell="A29"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652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653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129900</v>
      </c>
      <c r="H15" s="25">
        <f t="shared" ref="H15:H21" si="0">+F15*G15</f>
        <v>129900</v>
      </c>
    </row>
    <row r="16" spans="1:8">
      <c r="A16" s="553" t="s">
        <v>577</v>
      </c>
      <c r="B16" s="554"/>
      <c r="C16" s="554"/>
      <c r="D16" s="555"/>
      <c r="E16" s="60" t="str">
        <f>IF($A16=0,0,VLOOKUP($A16,INS!$A$2:$E$137,2,FALSE))</f>
        <v>UND</v>
      </c>
      <c r="F16" s="120">
        <v>0.2</v>
      </c>
      <c r="G16" s="60">
        <f>IF($A16=0,0,VLOOKUP($A16,INS!$A$2:$G$137,6,FALSE))</f>
        <v>5600</v>
      </c>
      <c r="H16" s="25">
        <f t="shared" si="0"/>
        <v>1120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118125</v>
      </c>
      <c r="H22" s="25">
        <f>F22*G22</f>
        <v>5906.25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136926.25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IF($A27=0,0,_xlfn.XLOOKUP($A27,EQUI[DESCRIPCIÓN],EQUI[VALOR]))</f>
        <v>10000</v>
      </c>
      <c r="G27" s="389">
        <v>1</v>
      </c>
      <c r="H27" s="25">
        <f>F27*G27</f>
        <v>10000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3" s="49">
        <f>F43*G43</f>
        <v>74375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4" s="49">
        <f t="shared" ref="H44:H45" si="1">F44*G44</f>
        <v>43750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265051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BF1BDD5-937F-4F45-897B-B5E23C8E3326}">
          <x14:formula1>
            <xm:f>EQUI!$A$2:$A$38</xm:f>
          </x14:formula1>
          <xm:sqref>A27:C28</xm:sqref>
        </x14:dataValidation>
        <x14:dataValidation type="list" showInputMessage="1" showErrorMessage="1" xr:uid="{132C617F-CE1F-4C7B-97B7-441ED902F4EB}">
          <x14:formula1>
            <xm:f>TRANS!$A$2:$A$20</xm:f>
          </x14:formula1>
          <xm:sqref>A35:C35</xm:sqref>
        </x14:dataValidation>
        <x14:dataValidation type="list" showInputMessage="1" showErrorMessage="1" xr:uid="{3FF81170-1540-44BA-930A-6B00C009C45A}">
          <x14:formula1>
            <xm:f>INS!$A$2:$A$137</xm:f>
          </x14:formula1>
          <xm:sqref>A15:D21</xm:sqref>
        </x14:dataValidation>
        <x14:dataValidation type="list" showInputMessage="1" showErrorMessage="1" xr:uid="{53DF6E6F-B105-4A06-9082-5CEFC1F98EB4}">
          <x14:formula1>
            <xm:f>LIST!$B$3:$B$120</xm:f>
          </x14:formula1>
          <xm:sqref>D10:H11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4775E-C426-4B17-A947-5B4543F03992}">
  <sheetPr>
    <tabColor rgb="FF00B0F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528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529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1200000</v>
      </c>
      <c r="H15" s="25">
        <f t="shared" ref="H15:H21" si="0">+F15*G15</f>
        <v>1200000</v>
      </c>
    </row>
    <row r="16" spans="1:8">
      <c r="A16" s="553" t="s">
        <v>577</v>
      </c>
      <c r="B16" s="554"/>
      <c r="C16" s="554"/>
      <c r="D16" s="555"/>
      <c r="E16" s="60" t="str">
        <f>IF($A16=0,0,VLOOKUP($A16,INS!$A$2:$E$137,2,FALSE))</f>
        <v>UND</v>
      </c>
      <c r="F16" s="120">
        <v>0.2</v>
      </c>
      <c r="G16" s="60">
        <f>IF($A16=0,0,VLOOKUP($A16,INS!$A$2:$G$137,6,FALSE))</f>
        <v>5600</v>
      </c>
      <c r="H16" s="25">
        <f t="shared" si="0"/>
        <v>1120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118125</v>
      </c>
      <c r="H22" s="25">
        <f>F22*G22</f>
        <v>5906.25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1207026.25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3" s="49">
        <f>F43*G43</f>
        <v>74375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</v>
      </c>
      <c r="H44" s="49">
        <f t="shared" ref="H44:H45" si="1">F44*G44</f>
        <v>43750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1325151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AE4EBD01-F542-49D6-BAA0-DF29C945E21B}">
          <x14:formula1>
            <xm:f>TRANS!$A$2:$A$20</xm:f>
          </x14:formula1>
          <xm:sqref>A35:C35</xm:sqref>
        </x14:dataValidation>
        <x14:dataValidation type="list" allowBlank="1" showInputMessage="1" showErrorMessage="1" xr:uid="{4841AB02-1DC9-424A-B34C-254A439E6BE1}">
          <x14:formula1>
            <xm:f>EQUI!$A$2:$A$38</xm:f>
          </x14:formula1>
          <xm:sqref>A27:C28</xm:sqref>
        </x14:dataValidation>
        <x14:dataValidation type="list" showInputMessage="1" showErrorMessage="1" xr:uid="{CD53A1AD-8F0E-4200-9E4A-B34509C23AAA}">
          <x14:formula1>
            <xm:f>INS!$A$2:$A$137</xm:f>
          </x14:formula1>
          <xm:sqref>A15:D21</xm:sqref>
        </x14:dataValidation>
        <x14:dataValidation type="list" showInputMessage="1" showErrorMessage="1" xr:uid="{49F4FD7F-A452-4F0D-9490-FBC99939A009}">
          <x14:formula1>
            <xm:f>LIST!$B$3:$B$120</xm:f>
          </x14:formula1>
          <xm:sqref>D10:H11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B9652-AED7-4F53-AD59-ECA3024140B5}">
  <sheetPr>
    <tabColor rgb="FF00B0F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468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442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22900</v>
      </c>
      <c r="H15" s="25">
        <f t="shared" ref="H15:H20" si="0">+F15*G15</f>
        <v>22900</v>
      </c>
    </row>
    <row r="16" spans="1:8">
      <c r="A16" s="553" t="s">
        <v>577</v>
      </c>
      <c r="B16" s="554"/>
      <c r="C16" s="554"/>
      <c r="D16" s="555"/>
      <c r="E16" s="60" t="str">
        <f>IF($A16=0,0,VLOOKUP($A16,INS!$A$2:$E$137,2,FALSE))</f>
        <v>UND</v>
      </c>
      <c r="F16" s="120">
        <v>0.2</v>
      </c>
      <c r="G16" s="60">
        <f>IF($A16=0,0,VLOOKUP($A16,INS!$A$2:$G$137,6,FALSE))</f>
        <v>5600</v>
      </c>
      <c r="H16" s="25">
        <f t="shared" si="0"/>
        <v>1120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>
        <v>0.03</v>
      </c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>
        <v>0.01</v>
      </c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>
        <v>0.5</v>
      </c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>
        <v>0.5</v>
      </c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>
        <v>1</v>
      </c>
      <c r="G21" s="60">
        <f>IF($A21=0,0,VLOOKUP($A21,INS!$A$2:$G$137,6,FALSE))</f>
        <v>0</v>
      </c>
      <c r="H21" s="25">
        <f t="shared" ref="H21" si="1">+F21*G21</f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 t="e">
        <f>H46</f>
        <v>#VALUE!</v>
      </c>
      <c r="H22" s="25" t="e">
        <f>F22*G22</f>
        <v>#VALUE!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 t="e">
        <f>SUM(H15:H22)</f>
        <v>#VALUE!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 t="str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.2</v>
      </c>
      <c r="H43" s="49" t="e">
        <f>F43*G43</f>
        <v>#VALUE!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 t="str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.2</v>
      </c>
      <c r="H44" s="49" t="e">
        <f t="shared" ref="H44:H45" si="2">F44*G44</f>
        <v>#VALUE!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 t="e">
        <f>SUM(H43:H45)</f>
        <v>#VALUE!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 t="e">
        <f>ROUND(H23+H31+H39+H46,0)</f>
        <v>#VALUE!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E4F3A9D-2971-48CD-AA2F-9EFB343AECF3}">
          <x14:formula1>
            <xm:f>EQUI!$A$2:$A$38</xm:f>
          </x14:formula1>
          <xm:sqref>A27:C28</xm:sqref>
        </x14:dataValidation>
        <x14:dataValidation type="list" showInputMessage="1" showErrorMessage="1" xr:uid="{77E62B5C-3AC4-4CB0-851D-CE7DEE3D9F05}">
          <x14:formula1>
            <xm:f>TRANS!$A$2:$A$20</xm:f>
          </x14:formula1>
          <xm:sqref>A35:C35</xm:sqref>
        </x14:dataValidation>
        <x14:dataValidation type="list" showInputMessage="1" showErrorMessage="1" xr:uid="{0FBD4D39-1925-4661-8A59-5CF44E27680A}">
          <x14:formula1>
            <xm:f>INS!$A$2:$A$137</xm:f>
          </x14:formula1>
          <xm:sqref>A15:D21</xm:sqref>
        </x14:dataValidation>
        <x14:dataValidation type="list" showInputMessage="1" showErrorMessage="1" xr:uid="{E6D1E360-F0A9-4E47-BAED-7D923EB19D02}">
          <x14:formula1>
            <xm:f>LIST!$B$3:$B$120</xm:f>
          </x14:formula1>
          <xm:sqref>D10:H11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EEF10-03A9-4B0D-9445-B81579266BC0}">
  <sheetPr>
    <tabColor rgb="FF00B0F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447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447</v>
      </c>
      <c r="B15" s="560"/>
      <c r="C15" s="560"/>
      <c r="D15" s="561"/>
      <c r="E15" s="60" t="str">
        <f>IF($A15=0,0,VLOOKUP($A15,INS!$A$2:$E$137,2,FALSE))</f>
        <v>M</v>
      </c>
      <c r="F15" s="120">
        <v>0.5</v>
      </c>
      <c r="G15" s="60">
        <f>IF($A15=0,0,VLOOKUP($A15,INS!$A$2:$G$137,6,FALSE))</f>
        <v>15600</v>
      </c>
      <c r="H15" s="25">
        <f t="shared" ref="H15:H21" si="0">+F15*G15</f>
        <v>7800</v>
      </c>
    </row>
    <row r="16" spans="1:8">
      <c r="A16" s="553" t="s">
        <v>576</v>
      </c>
      <c r="B16" s="554"/>
      <c r="C16" s="554"/>
      <c r="D16" s="555"/>
      <c r="E16" s="60" t="str">
        <f>IF($A16=0,0,VLOOKUP($A16,INS!$A$2:$E$137,2,FALSE))</f>
        <v>UND</v>
      </c>
      <c r="F16" s="120">
        <v>2</v>
      </c>
      <c r="G16" s="60">
        <f>IF($A16=0,0,VLOOKUP($A16,INS!$A$2:$G$137,6,FALSE))</f>
        <v>458</v>
      </c>
      <c r="H16" s="25">
        <f t="shared" si="0"/>
        <v>916</v>
      </c>
    </row>
    <row r="17" spans="1:8" ht="17.399999999999999" customHeight="1">
      <c r="A17" s="559" t="s">
        <v>330</v>
      </c>
      <c r="B17" s="560"/>
      <c r="C17" s="560"/>
      <c r="D17" s="561"/>
      <c r="E17" s="149" t="str">
        <f>IF($A17=0,0,VLOOKUP($A17,INS!$A$2:$E$137,2,FALSE))</f>
        <v>ROLLO</v>
      </c>
      <c r="F17" s="120">
        <v>0.03</v>
      </c>
      <c r="G17" s="60">
        <f>IF($A17=0,0,VLOOKUP($A17,INS!$A$2:$G$137,6,FALSE))</f>
        <v>242950</v>
      </c>
      <c r="H17" s="25">
        <f t="shared" si="0"/>
        <v>7288.5</v>
      </c>
    </row>
    <row r="18" spans="1:8">
      <c r="A18" s="553" t="s">
        <v>448</v>
      </c>
      <c r="B18" s="554"/>
      <c r="C18" s="554"/>
      <c r="D18" s="555"/>
      <c r="E18" s="149" t="str">
        <f>IF($A18=0,0,VLOOKUP($A18,INS!$A$2:$E$137,2,FALSE))</f>
        <v>ROLLO</v>
      </c>
      <c r="F18" s="120">
        <v>0.01</v>
      </c>
      <c r="G18" s="60">
        <f>IF($A18=0,0,VLOOKUP($A18,INS!$A$2:$G$137,6,FALSE))</f>
        <v>79900</v>
      </c>
      <c r="H18" s="25">
        <f t="shared" si="0"/>
        <v>799</v>
      </c>
    </row>
    <row r="19" spans="1:8">
      <c r="A19" s="553" t="s">
        <v>433</v>
      </c>
      <c r="B19" s="554"/>
      <c r="C19" s="554"/>
      <c r="D19" s="555"/>
      <c r="E19" s="149" t="str">
        <f>IF($A19=0,0,VLOOKUP($A19,INS!$A$2:$E$137,2,FALSE))</f>
        <v>UND</v>
      </c>
      <c r="F19" s="120">
        <v>0.5</v>
      </c>
      <c r="G19" s="60">
        <f>IF($A19=0,0,VLOOKUP($A19,INS!$A$2:$G$137,6,FALSE))</f>
        <v>9000</v>
      </c>
      <c r="H19" s="25">
        <f t="shared" si="0"/>
        <v>4500</v>
      </c>
    </row>
    <row r="20" spans="1:8">
      <c r="A20" s="553" t="s">
        <v>589</v>
      </c>
      <c r="B20" s="554"/>
      <c r="C20" s="554"/>
      <c r="D20" s="555"/>
      <c r="E20" s="149" t="str">
        <f>IF($A20=0,0,VLOOKUP($A20,INS!$A$2:$E$137,2,FALSE))</f>
        <v>UND</v>
      </c>
      <c r="F20" s="120">
        <v>0.5</v>
      </c>
      <c r="G20" s="60">
        <f>IF($A20=0,0,VLOOKUP($A20,INS!$A$2:$G$137,6,FALSE))</f>
        <v>33900</v>
      </c>
      <c r="H20" s="25">
        <f t="shared" si="0"/>
        <v>16950</v>
      </c>
    </row>
    <row r="21" spans="1:8">
      <c r="A21" s="553" t="s">
        <v>432</v>
      </c>
      <c r="B21" s="554"/>
      <c r="C21" s="554"/>
      <c r="D21" s="555"/>
      <c r="E21" s="149" t="str">
        <f>IF($A21=0,0,VLOOKUP($A21,INS!$A$2:$E$137,2,FALSE))</f>
        <v>UND</v>
      </c>
      <c r="F21" s="120">
        <v>1</v>
      </c>
      <c r="G21" s="60">
        <f>IF($A21=0,0,VLOOKUP($A21,INS!$A$2:$G$137,6,FALSE))</f>
        <v>1250</v>
      </c>
      <c r="H21" s="25">
        <f t="shared" si="0"/>
        <v>1250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63000.000000000007</v>
      </c>
      <c r="H22" s="25">
        <f>F22*G22</f>
        <v>3150.0000000000005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42653.5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0.5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1.6</v>
      </c>
      <c r="H43" s="49">
        <f>F43*G43</f>
        <v>39666.666666666672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1.6</v>
      </c>
      <c r="H44" s="49">
        <f t="shared" ref="H44:H45" si="1">F44*G44</f>
        <v>23333.333333333336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63000.000000000007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105654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79CDA913-00D3-4BB1-BC89-86FC2A9DFB16}">
          <x14:formula1>
            <xm:f>TRANS!$A$2:$A$20</xm:f>
          </x14:formula1>
          <xm:sqref>A35:C35</xm:sqref>
        </x14:dataValidation>
        <x14:dataValidation type="list" allowBlank="1" showInputMessage="1" showErrorMessage="1" xr:uid="{0F6F1C3D-36B2-4247-9D01-C34304F89995}">
          <x14:formula1>
            <xm:f>EQUI!$A$2:$A$38</xm:f>
          </x14:formula1>
          <xm:sqref>A27:C28</xm:sqref>
        </x14:dataValidation>
        <x14:dataValidation type="list" showInputMessage="1" showErrorMessage="1" xr:uid="{C9FB6703-7D0D-4865-A695-1ED588C1AB0B}">
          <x14:formula1>
            <xm:f>INS!$A$2:$A$137</xm:f>
          </x14:formula1>
          <xm:sqref>A15:D21</xm:sqref>
        </x14:dataValidation>
        <x14:dataValidation type="list" showInputMessage="1" showErrorMessage="1" xr:uid="{C15C6F70-AB6D-46D7-80ED-D2A9ED1EC14A}">
          <x14:formula1>
            <xm:f>LIST!$B$3:$B$120</xm:f>
          </x14:formula1>
          <xm:sqref>D10:H11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B0B6-91CD-4BC1-9519-C870A8492365}">
  <sheetPr>
    <tabColor rgb="FF00B0F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437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432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1250</v>
      </c>
      <c r="H15" s="25">
        <f t="shared" ref="H15:H20" si="0">+F15*G15</f>
        <v>1250</v>
      </c>
    </row>
    <row r="16" spans="1:8">
      <c r="A16" s="553" t="s">
        <v>438</v>
      </c>
      <c r="B16" s="554"/>
      <c r="C16" s="554"/>
      <c r="D16" s="555"/>
      <c r="E16" s="60" t="str">
        <f>IF($A16=0,0,VLOOKUP($A16,INS!$A$2:$E$137,2,FALSE))</f>
        <v>UND</v>
      </c>
      <c r="F16" s="120">
        <v>1</v>
      </c>
      <c r="G16" s="60">
        <f>IF($A16=0,0,VLOOKUP($A16,INS!$A$2:$G$137,6,FALSE))</f>
        <v>1450</v>
      </c>
      <c r="H16" s="25">
        <f t="shared" si="0"/>
        <v>1450</v>
      </c>
    </row>
    <row r="17" spans="1:8" ht="17.399999999999999" customHeight="1">
      <c r="A17" s="559" t="s">
        <v>577</v>
      </c>
      <c r="B17" s="560"/>
      <c r="C17" s="560"/>
      <c r="D17" s="561"/>
      <c r="E17" s="149" t="str">
        <f>IF($A17=0,0,VLOOKUP($A17,INS!$A$2:$E$137,2,FALSE))</f>
        <v>UND</v>
      </c>
      <c r="F17" s="120">
        <v>0.1</v>
      </c>
      <c r="G17" s="60">
        <f>IF($A17=0,0,VLOOKUP($A17,INS!$A$2:$G$137,6,FALSE))</f>
        <v>5600</v>
      </c>
      <c r="H17" s="25">
        <f t="shared" si="0"/>
        <v>560</v>
      </c>
    </row>
    <row r="18" spans="1:8">
      <c r="A18" s="553" t="s">
        <v>439</v>
      </c>
      <c r="B18" s="554"/>
      <c r="C18" s="554"/>
      <c r="D18" s="555"/>
      <c r="E18" s="149" t="str">
        <f>IF($A18=0,0,VLOOKUP($A18,INS!$A$2:$E$137,2,FALSE))</f>
        <v>UND</v>
      </c>
      <c r="F18" s="120">
        <v>1</v>
      </c>
      <c r="G18" s="60">
        <f>IF($A18=0,0,VLOOKUP($A18,INS!$A$2:$G$137,6,FALSE))</f>
        <v>6900</v>
      </c>
      <c r="H18" s="25">
        <f t="shared" si="0"/>
        <v>6900</v>
      </c>
    </row>
    <row r="19" spans="1:8">
      <c r="A19" s="553" t="s">
        <v>442</v>
      </c>
      <c r="B19" s="554"/>
      <c r="C19" s="554"/>
      <c r="D19" s="555"/>
      <c r="E19" s="149" t="str">
        <f>IF($A19=0,0,VLOOKUP($A19,INS!$A$2:$E$137,2,FALSE))</f>
        <v>UND</v>
      </c>
      <c r="F19" s="120">
        <v>1</v>
      </c>
      <c r="G19" s="60">
        <f>IF($A19=0,0,VLOOKUP($A19,INS!$A$2:$G$137,6,FALSE))</f>
        <v>22900</v>
      </c>
      <c r="H19" s="25">
        <f t="shared" si="0"/>
        <v>22900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19687.5</v>
      </c>
      <c r="H22" s="25">
        <f>F22*G22</f>
        <v>984.375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34044.375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1">F44*G44</f>
        <v>7291.666666666667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19687.5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53732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1D93DB8-AF39-4AFB-B92B-FF00C6489A40}">
          <x14:formula1>
            <xm:f>TRANS!$A$2:$A$20</xm:f>
          </x14:formula1>
          <xm:sqref>A35:C35</xm:sqref>
        </x14:dataValidation>
        <x14:dataValidation type="list" allowBlank="1" showInputMessage="1" showErrorMessage="1" xr:uid="{A157BAEF-B187-4689-8B15-4DCC6135CC67}">
          <x14:formula1>
            <xm:f>EQUI!$A$2:$A$38</xm:f>
          </x14:formula1>
          <xm:sqref>A27:C28</xm:sqref>
        </x14:dataValidation>
        <x14:dataValidation type="list" showInputMessage="1" showErrorMessage="1" xr:uid="{701BDC56-096E-443C-8D71-B1176D4266F2}">
          <x14:formula1>
            <xm:f>INS!$A$2:$A$137</xm:f>
          </x14:formula1>
          <xm:sqref>A15:D20</xm:sqref>
        </x14:dataValidation>
        <x14:dataValidation type="list" showInputMessage="1" showErrorMessage="1" xr:uid="{CFB388D1-A2B3-4043-9B27-2D4C7356E1D2}">
          <x14:formula1>
            <xm:f>LIST!$B$3:$B$120</xm:f>
          </x14:formula1>
          <xm:sqref>D10:H11</xm:sqref>
        </x14:dataValidation>
      </x14:dataValidation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DC5A0-84B0-4BD5-ACD8-B539388697C5}">
  <sheetPr>
    <tabColor rgb="FF00B0F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436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432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1250</v>
      </c>
      <c r="H15" s="25">
        <f t="shared" ref="H15:H20" si="0">+F15*G15</f>
        <v>1250</v>
      </c>
    </row>
    <row r="16" spans="1:8">
      <c r="A16" s="553" t="s">
        <v>438</v>
      </c>
      <c r="B16" s="554"/>
      <c r="C16" s="554"/>
      <c r="D16" s="555"/>
      <c r="E16" s="60" t="str">
        <f>IF($A16=0,0,VLOOKUP($A16,INS!$A$2:$E$137,2,FALSE))</f>
        <v>UND</v>
      </c>
      <c r="F16" s="120">
        <v>1</v>
      </c>
      <c r="G16" s="60">
        <f>IF($A16=0,0,VLOOKUP($A16,INS!$A$2:$G$137,6,FALSE))</f>
        <v>1450</v>
      </c>
      <c r="H16" s="25">
        <f t="shared" si="0"/>
        <v>1450</v>
      </c>
    </row>
    <row r="17" spans="1:8" ht="17.399999999999999" customHeight="1">
      <c r="A17" s="559" t="s">
        <v>577</v>
      </c>
      <c r="B17" s="560"/>
      <c r="C17" s="560"/>
      <c r="D17" s="561"/>
      <c r="E17" s="149" t="str">
        <f>IF($A17=0,0,VLOOKUP($A17,INS!$A$2:$E$137,2,FALSE))</f>
        <v>UND</v>
      </c>
      <c r="F17" s="120">
        <v>0.1</v>
      </c>
      <c r="G17" s="60">
        <f>IF($A17=0,0,VLOOKUP($A17,INS!$A$2:$G$137,6,FALSE))</f>
        <v>5600</v>
      </c>
      <c r="H17" s="25">
        <f t="shared" si="0"/>
        <v>560</v>
      </c>
    </row>
    <row r="18" spans="1:8">
      <c r="A18" s="553" t="s">
        <v>439</v>
      </c>
      <c r="B18" s="554"/>
      <c r="C18" s="554"/>
      <c r="D18" s="555"/>
      <c r="E18" s="149" t="str">
        <f>IF($A18=0,0,VLOOKUP($A18,INS!$A$2:$E$137,2,FALSE))</f>
        <v>UND</v>
      </c>
      <c r="F18" s="120">
        <v>1</v>
      </c>
      <c r="G18" s="60">
        <f>IF($A18=0,0,VLOOKUP($A18,INS!$A$2:$G$137,6,FALSE))</f>
        <v>6900</v>
      </c>
      <c r="H18" s="25">
        <f t="shared" si="0"/>
        <v>6900</v>
      </c>
    </row>
    <row r="19" spans="1:8">
      <c r="A19" s="553" t="s">
        <v>440</v>
      </c>
      <c r="B19" s="554"/>
      <c r="C19" s="554"/>
      <c r="D19" s="555"/>
      <c r="E19" s="149" t="str">
        <f>IF($A19=0,0,VLOOKUP($A19,INS!$A$2:$E$137,2,FALSE))</f>
        <v>UND</v>
      </c>
      <c r="F19" s="120">
        <v>1</v>
      </c>
      <c r="G19" s="60">
        <f>IF($A19=0,0,VLOOKUP($A19,INS!$A$2:$G$137,6,FALSE))</f>
        <v>5900</v>
      </c>
      <c r="H19" s="25">
        <f t="shared" si="0"/>
        <v>5900</v>
      </c>
    </row>
    <row r="20" spans="1:8">
      <c r="A20" s="553" t="s">
        <v>441</v>
      </c>
      <c r="B20" s="554"/>
      <c r="C20" s="554"/>
      <c r="D20" s="555"/>
      <c r="E20" s="149" t="str">
        <f>IF($A20=0,0,VLOOKUP($A20,INS!$A$2:$E$137,2,FALSE))</f>
        <v>UND</v>
      </c>
      <c r="F20" s="120">
        <v>1</v>
      </c>
      <c r="G20" s="60">
        <f>IF($A20=0,0,VLOOKUP($A20,INS!$A$2:$G$137,6,FALSE))</f>
        <v>34950</v>
      </c>
      <c r="H20" s="25">
        <f t="shared" si="0"/>
        <v>34950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22443.75</v>
      </c>
      <c r="H22" s="25">
        <f>F22*G22</f>
        <v>1122.1875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52132.1875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0.56999999999999995</v>
      </c>
      <c r="H43" s="49">
        <f>F43*G43</f>
        <v>14131.25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0.56999999999999995</v>
      </c>
      <c r="H44" s="49">
        <f t="shared" ref="H44:H45" si="1">F44*G44</f>
        <v>8312.5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22443.75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74576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AC5ECF4-3203-4CB3-A502-91A32A807FB8}">
          <x14:formula1>
            <xm:f>EQUI!$A$2:$A$38</xm:f>
          </x14:formula1>
          <xm:sqref>A27:C28</xm:sqref>
        </x14:dataValidation>
        <x14:dataValidation type="list" showInputMessage="1" showErrorMessage="1" xr:uid="{97B06F5C-0A93-45C9-BB9A-3AC908C8A95E}">
          <x14:formula1>
            <xm:f>TRANS!$A$2:$A$20</xm:f>
          </x14:formula1>
          <xm:sqref>A35:C35</xm:sqref>
        </x14:dataValidation>
        <x14:dataValidation type="list" showInputMessage="1" showErrorMessage="1" xr:uid="{5093D523-0DDB-4625-9E88-E5DFD6D69526}">
          <x14:formula1>
            <xm:f>INS!$A$2:$A$137</xm:f>
          </x14:formula1>
          <xm:sqref>A15:D20</xm:sqref>
        </x14:dataValidation>
        <x14:dataValidation type="list" showInputMessage="1" showErrorMessage="1" xr:uid="{47174287-CE41-4B28-A040-2F5EFE8811F3}">
          <x14:formula1>
            <xm:f>LIST!$B$3:$B$120</xm:f>
          </x14:formula1>
          <xm:sqref>D10:H11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5758-BB91-4C7D-A17B-5548FB34E3A5}">
  <sheetPr>
    <tabColor rgb="FF00B0F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430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432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1250</v>
      </c>
      <c r="H15" s="25">
        <f t="shared" ref="H15:H20" si="0">+F15*G15</f>
        <v>1250</v>
      </c>
    </row>
    <row r="16" spans="1:8">
      <c r="A16" s="553" t="s">
        <v>433</v>
      </c>
      <c r="B16" s="554"/>
      <c r="C16" s="554"/>
      <c r="D16" s="555"/>
      <c r="E16" s="60" t="str">
        <f>IF($A16=0,0,VLOOKUP($A16,INS!$A$2:$E$137,2,FALSE))</f>
        <v>UND</v>
      </c>
      <c r="F16" s="120">
        <v>1</v>
      </c>
      <c r="G16" s="60">
        <f>IF($A16=0,0,VLOOKUP($A16,INS!$A$2:$G$137,6,FALSE))</f>
        <v>9000</v>
      </c>
      <c r="H16" s="25">
        <f t="shared" si="0"/>
        <v>9000</v>
      </c>
    </row>
    <row r="17" spans="1:8" ht="17.399999999999999" customHeight="1">
      <c r="A17" s="559" t="s">
        <v>577</v>
      </c>
      <c r="B17" s="560"/>
      <c r="C17" s="560"/>
      <c r="D17" s="561"/>
      <c r="E17" s="149" t="str">
        <f>IF($A17=0,0,VLOOKUP($A17,INS!$A$2:$E$137,2,FALSE))</f>
        <v>UND</v>
      </c>
      <c r="F17" s="120">
        <v>0.1</v>
      </c>
      <c r="G17" s="60">
        <f>IF($A17=0,0,VLOOKUP($A17,INS!$A$2:$G$137,6,FALSE))</f>
        <v>5600</v>
      </c>
      <c r="H17" s="25">
        <f t="shared" si="0"/>
        <v>560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18885.416666666668</v>
      </c>
      <c r="H22" s="25">
        <f>F22*G22</f>
        <v>944.27083333333348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11754.270833333334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3" s="49">
        <f>F43*G43</f>
        <v>8677.0833333333339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4" s="49">
        <f t="shared" ref="H44:H45" si="1">F44*G44</f>
        <v>10208.333333333334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18885.416666666668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30640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C7561B6A-ECE5-4BDC-9717-B1A59502141D}">
          <x14:formula1>
            <xm:f>TRANS!$A$2:$A$20</xm:f>
          </x14:formula1>
          <xm:sqref>A35:C35</xm:sqref>
        </x14:dataValidation>
        <x14:dataValidation type="list" allowBlank="1" showInputMessage="1" showErrorMessage="1" xr:uid="{A282E825-880D-4E6E-9465-4E96AE31437C}">
          <x14:formula1>
            <xm:f>EQUI!$A$2:$A$38</xm:f>
          </x14:formula1>
          <xm:sqref>A27:C28</xm:sqref>
        </x14:dataValidation>
        <x14:dataValidation type="list" showInputMessage="1" showErrorMessage="1" xr:uid="{AB498F05-414D-4D08-9B6C-E7BBB6BC4D14}">
          <x14:formula1>
            <xm:f>INS!$A$2:$A$137</xm:f>
          </x14:formula1>
          <xm:sqref>A15:D20</xm:sqref>
        </x14:dataValidation>
        <x14:dataValidation type="list" showInputMessage="1" showErrorMessage="1" xr:uid="{9FE1891A-3D36-4AF3-996E-C5C52329DD7C}">
          <x14:formula1>
            <xm:f>LIST!$B$3:$B$120</xm:f>
          </x14:formula1>
          <xm:sqref>D10:H11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F6FF9-97E6-4AC0-95F1-ACDC8E12A752}">
  <sheetPr>
    <tabColor rgb="FF00B0F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273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330</v>
      </c>
      <c r="B15" s="560"/>
      <c r="C15" s="560"/>
      <c r="D15" s="561"/>
      <c r="E15" s="60" t="str">
        <f>IF($A15=0,0,VLOOKUP($A15,INS!$A$2:$E$137,2,FALSE))</f>
        <v>ROLLO</v>
      </c>
      <c r="F15" s="120">
        <v>0.03</v>
      </c>
      <c r="G15" s="60">
        <f>IF($A15=0,0,VLOOKUP($A15,INS!$A$2:$G$137,6,FALSE))</f>
        <v>242950</v>
      </c>
      <c r="H15" s="25">
        <f t="shared" ref="H15:H20" si="0">+F15*G15</f>
        <v>7288.5</v>
      </c>
    </row>
    <row r="16" spans="1:8">
      <c r="A16" s="553" t="s">
        <v>332</v>
      </c>
      <c r="B16" s="554"/>
      <c r="C16" s="554"/>
      <c r="D16" s="555"/>
      <c r="E16" s="60" t="str">
        <f>IF($A16=0,0,VLOOKUP($A16,INS!$A$2:$E$137,2,FALSE))</f>
        <v>UND</v>
      </c>
      <c r="F16" s="120">
        <v>0.2</v>
      </c>
      <c r="G16" s="60">
        <f>IF($A16=0,0,VLOOKUP($A16,INS!$A$2:$G$137,6,FALSE))</f>
        <v>5500</v>
      </c>
      <c r="H16" s="25">
        <f t="shared" si="0"/>
        <v>1100</v>
      </c>
    </row>
    <row r="17" spans="1:8" ht="17.399999999999999" customHeight="1">
      <c r="A17" s="559" t="s">
        <v>331</v>
      </c>
      <c r="B17" s="560"/>
      <c r="C17" s="560"/>
      <c r="D17" s="561"/>
      <c r="E17" s="149" t="str">
        <f>IF($A17=0,0,VLOOKUP($A17,INS!$A$2:$E$137,2,FALSE))</f>
        <v>UND</v>
      </c>
      <c r="F17" s="120">
        <v>0.4</v>
      </c>
      <c r="G17" s="60">
        <f>IF($A17=0,0,VLOOKUP($A17,INS!$A$2:$G$137,6,FALSE))</f>
        <v>1600</v>
      </c>
      <c r="H17" s="25">
        <f t="shared" si="0"/>
        <v>640</v>
      </c>
    </row>
    <row r="18" spans="1:8">
      <c r="A18" s="553" t="s">
        <v>333</v>
      </c>
      <c r="B18" s="554"/>
      <c r="C18" s="554"/>
      <c r="D18" s="555"/>
      <c r="E18" s="149" t="str">
        <f>IF($A18=0,0,VLOOKUP($A18,INS!$A$2:$E$137,2,FALSE))</f>
        <v>M</v>
      </c>
      <c r="F18" s="120">
        <v>0.34</v>
      </c>
      <c r="G18" s="60">
        <f>IF($A18=0,0,VLOOKUP($A18,INS!$A$2:$G$137,6,FALSE))</f>
        <v>21000</v>
      </c>
      <c r="H18" s="25">
        <f t="shared" si="0"/>
        <v>7140.0000000000009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16187.5</v>
      </c>
      <c r="H22" s="25">
        <f>F22*G22</f>
        <v>809.375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16977.875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0.03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1">F44*G44</f>
        <v>8750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16187.5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33165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A248391-3CAC-4660-B072-08962E6E753F}">
          <x14:formula1>
            <xm:f>EQUI!$A$2:$A$38</xm:f>
          </x14:formula1>
          <xm:sqref>A27:C28</xm:sqref>
        </x14:dataValidation>
        <x14:dataValidation type="list" showInputMessage="1" showErrorMessage="1" xr:uid="{136AC21B-723A-4641-AA06-77F902DAFA36}">
          <x14:formula1>
            <xm:f>TRANS!$A$2:$A$20</xm:f>
          </x14:formula1>
          <xm:sqref>A35:C35</xm:sqref>
        </x14:dataValidation>
        <x14:dataValidation type="list" showInputMessage="1" showErrorMessage="1" xr:uid="{6E5809B3-1422-4A56-BB82-73CA6DEFD30E}">
          <x14:formula1>
            <xm:f>INS!$A$2:$A$137</xm:f>
          </x14:formula1>
          <xm:sqref>A15:D20</xm:sqref>
        </x14:dataValidation>
        <x14:dataValidation type="list" showInputMessage="1" showErrorMessage="1" xr:uid="{419001FE-4D94-44FC-BA72-3ABB71330F08}">
          <x14:formula1>
            <xm:f>LIST!$B$3:$B$120</xm:f>
          </x14:formula1>
          <xm:sqref>D10:H11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B8E7F-B365-4312-B8BE-0381F2E5AF4E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619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622</v>
      </c>
      <c r="B15" s="560"/>
      <c r="C15" s="560"/>
      <c r="D15" s="561"/>
      <c r="E15" s="60" t="str">
        <f>IF($A15=0,0,_xlfn.XLOOKUP($A15,INS[DESCRIPCIÓN],INS[UNIDAD]))</f>
        <v>KG</v>
      </c>
      <c r="F15" s="343">
        <v>0.5</v>
      </c>
      <c r="G15" s="60">
        <f>IF($A15=0,0,_xlfn.XLOOKUP($A15,INS[DESCRIPCIÓN],INS[PROMEDIO]))</f>
        <v>189900</v>
      </c>
      <c r="H15" s="25">
        <f t="shared" ref="H15:H20" si="0">+F15*G15</f>
        <v>94950</v>
      </c>
    </row>
    <row r="16" spans="1:8">
      <c r="A16" s="553" t="s">
        <v>279</v>
      </c>
      <c r="B16" s="554"/>
      <c r="C16" s="554"/>
      <c r="D16" s="555"/>
      <c r="E16" s="60" t="str">
        <f>IF($A16=0,0,_xlfn.XLOOKUP($A16,INS[DESCRIPCIÓN],INS[UNIDAD]))</f>
        <v>UND</v>
      </c>
      <c r="F16" s="343">
        <v>0.1</v>
      </c>
      <c r="G16" s="60">
        <f>IF($A16=0,0,_xlfn.XLOOKUP($A16,INS[DESCRIPCIÓN],INS[PROMEDIO]))</f>
        <v>15450</v>
      </c>
      <c r="H16" s="25">
        <f t="shared" si="0"/>
        <v>1545</v>
      </c>
    </row>
    <row r="17" spans="1:12" ht="17.399999999999999" customHeight="1">
      <c r="A17" s="559"/>
      <c r="B17" s="560"/>
      <c r="C17" s="560"/>
      <c r="D17" s="561"/>
      <c r="E17" s="60">
        <f>IF($A17=0,0,_xlfn.XLOOKUP($A17,INS[DESCRIPCIÓN],INS[UNIDAD]))</f>
        <v>0</v>
      </c>
      <c r="F17" s="343"/>
      <c r="G17" s="60">
        <f>IF($A17=0,0,_xlfn.XLOOKUP($A17,INS[DESCRIPCIÓN],INS[PROMEDIO]))</f>
        <v>0</v>
      </c>
      <c r="H17" s="25">
        <f t="shared" si="0"/>
        <v>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9843.75</v>
      </c>
      <c r="H22" s="25">
        <f>F22*G22</f>
        <v>492.1875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96987.1875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v>0.25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3" s="49">
        <f>F43*G43</f>
        <v>6197.916666666667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4" s="49">
        <f t="shared" ref="H44:H45" si="2">F44*G44</f>
        <v>3645.8333333333335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9843.75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106831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13134D4-4E1B-4CEC-96B4-551B5B49CAD4}">
          <x14:formula1>
            <xm:f>EQUI!$A$2:$A$38</xm:f>
          </x14:formula1>
          <xm:sqref>A27:C28</xm:sqref>
        </x14:dataValidation>
        <x14:dataValidation type="list" showInputMessage="1" showErrorMessage="1" xr:uid="{8048691E-B99B-48A9-9AE7-548FF2B6D401}">
          <x14:formula1>
            <xm:f>TRANS!$A$2:$A$20</xm:f>
          </x14:formula1>
          <xm:sqref>A35:C35</xm:sqref>
        </x14:dataValidation>
        <x14:dataValidation type="list" showInputMessage="1" showErrorMessage="1" xr:uid="{2482DC0D-EEF9-4FD5-939B-9D8964D1484A}">
          <x14:formula1>
            <xm:f>INS!$A$2:$A$137</xm:f>
          </x14:formula1>
          <xm:sqref>A15:D20</xm:sqref>
        </x14:dataValidation>
        <x14:dataValidation type="list" showInputMessage="1" showErrorMessage="1" xr:uid="{253D4242-462B-4428-9341-89FB02F2D7E8}">
          <x14:formula1>
            <xm:f>LIST!$B$3:$B$120</xm:f>
          </x14:formula1>
          <xm:sqref>D10:H11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04344-9F3C-45FB-9EE8-4413C16F3BB5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618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IF($A15=0,0,_xlfn.XLOOKUP($A15,INS[DESCRIPCIÓN],INS[UNIDAD]))</f>
        <v>M3</v>
      </c>
      <c r="F15" s="343">
        <f>0.3*0.3</f>
        <v>0.09</v>
      </c>
      <c r="G15" s="60">
        <f>IF($A15=0,0,_xlfn.XLOOKUP($A15,INS[DESCRIPCIÓN],INS[PROMEDIO]))</f>
        <v>1111084</v>
      </c>
      <c r="H15" s="25">
        <f t="shared" ref="H15:H20" si="0">+F15*G15</f>
        <v>99997.56</v>
      </c>
    </row>
    <row r="16" spans="1:8">
      <c r="A16" s="553" t="s">
        <v>78</v>
      </c>
      <c r="B16" s="554"/>
      <c r="C16" s="554"/>
      <c r="D16" s="555"/>
      <c r="E16" s="60" t="str">
        <f>IF($A16=0,0,_xlfn.XLOOKUP($A16,INS[DESCRIPCIÓN],INS[UNIDAD]))</f>
        <v>DOCENA</v>
      </c>
      <c r="F16" s="343">
        <f>+ROUND((1/12)*(4/3),2)</f>
        <v>0.11</v>
      </c>
      <c r="G16" s="60">
        <f>IF($A16=0,0,_xlfn.XLOOKUP($A16,INS[DESCRIPCIÓN],INS[PROMEDIO]))</f>
        <v>295000</v>
      </c>
      <c r="H16" s="25">
        <f t="shared" si="0"/>
        <v>32450</v>
      </c>
    </row>
    <row r="17" spans="1:12" ht="17.399999999999999" customHeight="1">
      <c r="A17" s="559" t="s">
        <v>76</v>
      </c>
      <c r="B17" s="560"/>
      <c r="C17" s="560"/>
      <c r="D17" s="561"/>
      <c r="E17" s="60" t="str">
        <f>IF($A17=0,0,_xlfn.XLOOKUP($A17,INS[DESCRIPCIÓN],INS[UNIDAD]))</f>
        <v>LB</v>
      </c>
      <c r="F17" s="343">
        <v>0.25</v>
      </c>
      <c r="G17" s="60">
        <f>IF($A17=0,0,_xlfn.XLOOKUP($A17,INS[DESCRIPCIÓN],INS[PROMEDIO]))</f>
        <v>5800</v>
      </c>
      <c r="H17" s="25">
        <f t="shared" si="0"/>
        <v>1450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16187.5</v>
      </c>
      <c r="H22" s="25">
        <f>F22*G22</f>
        <v>809.375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134706.935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 t="s">
        <v>56</v>
      </c>
      <c r="B27" s="565"/>
      <c r="C27" s="565"/>
      <c r="D27" s="61"/>
      <c r="E27" s="19"/>
      <c r="F27" s="60">
        <f>IF($A27=0,0,VLOOKUP($A27,EQUI!$A$2:$E$6,3,FALSE))</f>
        <v>7000</v>
      </c>
      <c r="G27" s="120">
        <v>0.25</v>
      </c>
      <c r="H27" s="25">
        <f>F27*G27</f>
        <v>1750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1750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2">F44*G44</f>
        <v>8750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16187.5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152644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7757F7C1-0C73-425B-89E5-A585871D2918}">
          <x14:formula1>
            <xm:f>TRANS!$A$2:$A$20</xm:f>
          </x14:formula1>
          <xm:sqref>A35:C35</xm:sqref>
        </x14:dataValidation>
        <x14:dataValidation type="list" allowBlank="1" showInputMessage="1" showErrorMessage="1" xr:uid="{B35EB1B5-46A7-4B79-9935-4CD6154B17F3}">
          <x14:formula1>
            <xm:f>EQUI!$A$2:$A$38</xm:f>
          </x14:formula1>
          <xm:sqref>A27:C28</xm:sqref>
        </x14:dataValidation>
        <x14:dataValidation type="list" showInputMessage="1" showErrorMessage="1" xr:uid="{3451E0D4-CB13-422D-99D3-F3D689AB1E8C}">
          <x14:formula1>
            <xm:f>INS!$A$2:$A$137</xm:f>
          </x14:formula1>
          <xm:sqref>A15:D20</xm:sqref>
        </x14:dataValidation>
        <x14:dataValidation type="list" showInputMessage="1" showErrorMessage="1" xr:uid="{9F16DEE9-4717-4316-9FBF-0B09F1D0C759}">
          <x14:formula1>
            <xm:f>LIST!$B$3:$B$120</xm:f>
          </x14:formula1>
          <xm:sqref>D10:H11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D459B-1D16-492A-8999-4FF187D10B6F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617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IF($A15=0,0,_xlfn.XLOOKUP($A15,INS[DESCRIPCIÓN],INS[UNIDAD]))</f>
        <v>M3</v>
      </c>
      <c r="F15" s="343">
        <f>1.2*0.7*0.3</f>
        <v>0.252</v>
      </c>
      <c r="G15" s="60">
        <f>IF($A15=0,0,_xlfn.XLOOKUP($A15,INS[DESCRIPCIÓN],INS[PROMEDIO]))</f>
        <v>1111084</v>
      </c>
      <c r="H15" s="25">
        <f t="shared" ref="H15:H20" si="0">+F15*G15</f>
        <v>279993.16800000001</v>
      </c>
    </row>
    <row r="16" spans="1:8">
      <c r="A16" s="553" t="s">
        <v>78</v>
      </c>
      <c r="B16" s="554"/>
      <c r="C16" s="554"/>
      <c r="D16" s="555"/>
      <c r="E16" s="60" t="str">
        <f>IF($A16=0,0,_xlfn.XLOOKUP($A16,INS[DESCRIPCIÓN],INS[UNIDAD]))</f>
        <v>DOCENA</v>
      </c>
      <c r="F16" s="343">
        <f>+ROUND((1/12)*(2/3),2)</f>
        <v>0.06</v>
      </c>
      <c r="G16" s="60">
        <f>IF($A16=0,0,_xlfn.XLOOKUP($A16,INS[DESCRIPCIÓN],INS[PROMEDIO]))</f>
        <v>295000</v>
      </c>
      <c r="H16" s="25">
        <f t="shared" si="0"/>
        <v>17700</v>
      </c>
    </row>
    <row r="17" spans="1:12" ht="17.399999999999999" customHeight="1">
      <c r="A17" s="559" t="s">
        <v>76</v>
      </c>
      <c r="B17" s="560"/>
      <c r="C17" s="560"/>
      <c r="D17" s="561"/>
      <c r="E17" s="60" t="str">
        <f>IF($A17=0,0,_xlfn.XLOOKUP($A17,INS[DESCRIPCIÓN],INS[UNIDAD]))</f>
        <v>LB</v>
      </c>
      <c r="F17" s="343">
        <v>0.2</v>
      </c>
      <c r="G17" s="60">
        <f>IF($A17=0,0,_xlfn.XLOOKUP($A17,INS[DESCRIPCIÓN],INS[PROMEDIO]))</f>
        <v>5800</v>
      </c>
      <c r="H17" s="25">
        <f t="shared" si="0"/>
        <v>1160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26979.166666666668</v>
      </c>
      <c r="H22" s="25">
        <f>F22*G22</f>
        <v>1348.9583333333335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300202.12633333332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 t="s">
        <v>56</v>
      </c>
      <c r="B27" s="565"/>
      <c r="C27" s="565"/>
      <c r="D27" s="61"/>
      <c r="E27" s="19"/>
      <c r="F27" s="60">
        <f>IF($A27=0,0,VLOOKUP($A27,EQUI!$A$2:$E$6,3,FALSE))</f>
        <v>7000</v>
      </c>
      <c r="G27" s="120">
        <v>0.5</v>
      </c>
      <c r="H27" s="25">
        <f>F27*G27</f>
        <v>3500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3500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2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26979.166666666668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330681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CC5FC39-22EF-4C6B-AAAB-AB2926EB48A8}">
          <x14:formula1>
            <xm:f>TRANS!$A$2:$A$20</xm:f>
          </x14:formula1>
          <xm:sqref>A35:C35</xm:sqref>
        </x14:dataValidation>
        <x14:dataValidation type="list" allowBlank="1" showInputMessage="1" showErrorMessage="1" xr:uid="{E8AEA28C-0E59-4DD3-8A5D-5D7D1F6F34DA}">
          <x14:formula1>
            <xm:f>EQUI!$A$2:$A$38</xm:f>
          </x14:formula1>
          <xm:sqref>A27:C28</xm:sqref>
        </x14:dataValidation>
        <x14:dataValidation type="list" showInputMessage="1" showErrorMessage="1" xr:uid="{96970983-2746-48E0-87EB-D685AF6D40B8}">
          <x14:formula1>
            <xm:f>INS!$A$2:$A$137</xm:f>
          </x14:formula1>
          <xm:sqref>A15:D20</xm:sqref>
        </x14:dataValidation>
        <x14:dataValidation type="list" showInputMessage="1" showErrorMessage="1" xr:uid="{A510DB34-7DD3-4084-B038-EF3C00F5BF93}">
          <x14:formula1>
            <xm:f>LIST!$B$3:$B$120</xm:f>
          </x14:formula1>
          <xm:sqref>D10:H11</xm:sqref>
        </x14:dataValidation>
      </x14:dataValidations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A3F0D-BC35-4A39-A835-2A31855972D3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616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IF($A15=0,0,_xlfn.XLOOKUP($A15,INS[DESCRIPCIÓN],INS[UNIDAD]))</f>
        <v>M3</v>
      </c>
      <c r="F15" s="343">
        <f>0.12*0.2</f>
        <v>2.4E-2</v>
      </c>
      <c r="G15" s="60">
        <f>IF($A15=0,0,_xlfn.XLOOKUP($A15,INS[DESCRIPCIÓN],INS[PROMEDIO]))</f>
        <v>1111084</v>
      </c>
      <c r="H15" s="25">
        <f t="shared" ref="H15:H20" si="0">+F15*G15</f>
        <v>26666.016</v>
      </c>
    </row>
    <row r="16" spans="1:8">
      <c r="A16" s="553" t="s">
        <v>78</v>
      </c>
      <c r="B16" s="554"/>
      <c r="C16" s="554"/>
      <c r="D16" s="555"/>
      <c r="E16" s="60" t="str">
        <f>IF($A16=0,0,_xlfn.XLOOKUP($A16,INS[DESCRIPCIÓN],INS[UNIDAD]))</f>
        <v>DOCENA</v>
      </c>
      <c r="F16" s="343">
        <f>+ROUND((1/12)*(2/3),2)</f>
        <v>0.06</v>
      </c>
      <c r="G16" s="60">
        <f>IF($A16=0,0,_xlfn.XLOOKUP($A16,INS[DESCRIPCIÓN],INS[PROMEDIO]))</f>
        <v>295000</v>
      </c>
      <c r="H16" s="25">
        <f t="shared" si="0"/>
        <v>17700</v>
      </c>
    </row>
    <row r="17" spans="1:12" ht="17.399999999999999" customHeight="1">
      <c r="A17" s="559" t="s">
        <v>76</v>
      </c>
      <c r="B17" s="560"/>
      <c r="C17" s="560"/>
      <c r="D17" s="561"/>
      <c r="E17" s="60" t="str">
        <f>IF($A17=0,0,_xlfn.XLOOKUP($A17,INS[DESCRIPCIÓN],INS[UNIDAD]))</f>
        <v>LB</v>
      </c>
      <c r="F17" s="343">
        <v>0.2</v>
      </c>
      <c r="G17" s="60">
        <f>IF($A17=0,0,_xlfn.XLOOKUP($A17,INS[DESCRIPCIÓN],INS[PROMEDIO]))</f>
        <v>5800</v>
      </c>
      <c r="H17" s="25">
        <f t="shared" si="0"/>
        <v>1160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13489.583333333334</v>
      </c>
      <c r="H22" s="25">
        <f>F22*G22</f>
        <v>674.47916666666674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46200.495166666668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 t="s">
        <v>56</v>
      </c>
      <c r="B27" s="565"/>
      <c r="C27" s="565"/>
      <c r="D27" s="61"/>
      <c r="E27" s="19"/>
      <c r="F27" s="60">
        <f>IF($A27=0,0,VLOOKUP($A27,EQUI!$A$2:$E$6,3,FALSE))</f>
        <v>7000</v>
      </c>
      <c r="G27" s="120">
        <v>0.25</v>
      </c>
      <c r="H27" s="25">
        <f>F27*G27</f>
        <v>1750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1750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3" s="49">
        <f>F43*G43</f>
        <v>6197.916666666667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4" s="49">
        <f t="shared" ref="H44:H45" si="2">F44*G44</f>
        <v>7291.666666666667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13489.583333333334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61440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F8652E6-49B8-4772-AA16-A6E002401069}">
          <x14:formula1>
            <xm:f>EQUI!$A$2:$A$38</xm:f>
          </x14:formula1>
          <xm:sqref>A27:C28</xm:sqref>
        </x14:dataValidation>
        <x14:dataValidation type="list" showInputMessage="1" showErrorMessage="1" xr:uid="{A5980C8A-BBC9-4C9D-8A5B-F175EA4C192A}">
          <x14:formula1>
            <xm:f>TRANS!$A$2:$A$20</xm:f>
          </x14:formula1>
          <xm:sqref>A35:C35</xm:sqref>
        </x14:dataValidation>
        <x14:dataValidation type="list" showInputMessage="1" showErrorMessage="1" xr:uid="{BFD6361B-EF9B-455E-859E-6DD1B4609CF0}">
          <x14:formula1>
            <xm:f>INS!$A$2:$A$137</xm:f>
          </x14:formula1>
          <xm:sqref>A15:D20</xm:sqref>
        </x14:dataValidation>
        <x14:dataValidation type="list" showInputMessage="1" showErrorMessage="1" xr:uid="{674BDB39-8AEC-4540-A59D-7577ED888ADA}">
          <x14:formula1>
            <xm:f>LIST!$B$3:$B$120</xm:f>
          </x14:formula1>
          <xm:sqref>D10:H11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F4BA9-EAFC-47BF-8D41-E668513A4E45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620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IF($A15=0,0,_xlfn.XLOOKUP($A15,INS[DESCRIPCIÓN],INS[UNIDAD]))</f>
        <v>M3</v>
      </c>
      <c r="F15" s="120">
        <f>0.15*0.45</f>
        <v>6.7500000000000004E-2</v>
      </c>
      <c r="G15" s="60">
        <f>IF($A15=0,0,_xlfn.XLOOKUP($A15,INS[DESCRIPCIÓN],INS[PROMEDIO]))</f>
        <v>1111084</v>
      </c>
      <c r="H15" s="25">
        <f t="shared" ref="H15:H20" si="0">+F15*G15</f>
        <v>74998.17</v>
      </c>
    </row>
    <row r="16" spans="1:8">
      <c r="A16" s="553" t="s">
        <v>78</v>
      </c>
      <c r="B16" s="554"/>
      <c r="C16" s="554"/>
      <c r="D16" s="555"/>
      <c r="E16" s="60" t="str">
        <f>IF($A16=0,0,_xlfn.XLOOKUP($A16,INS[DESCRIPCIÓN],INS[UNIDAD]))</f>
        <v>DOCENA</v>
      </c>
      <c r="F16" s="343">
        <f>+(0.0833333333333333)*(1.33333333333333)</f>
        <v>0.11111111111111079</v>
      </c>
      <c r="G16" s="60">
        <f>IF($A16=0,0,_xlfn.XLOOKUP($A16,INS[DESCRIPCIÓN],INS[PROMEDIO]))</f>
        <v>295000</v>
      </c>
      <c r="H16" s="25">
        <f t="shared" si="0"/>
        <v>32777.777777777679</v>
      </c>
    </row>
    <row r="17" spans="1:12" ht="17.399999999999999" customHeight="1">
      <c r="A17" s="559" t="s">
        <v>77</v>
      </c>
      <c r="B17" s="560"/>
      <c r="C17" s="560"/>
      <c r="D17" s="561"/>
      <c r="E17" s="60" t="str">
        <f>IF($A17=0,0,_xlfn.XLOOKUP($A17,INS[DESCRIPCIÓN],INS[UNIDAD]))</f>
        <v>KG</v>
      </c>
      <c r="F17" s="120">
        <v>3</v>
      </c>
      <c r="G17" s="60">
        <f>IF($A17=0,0,_xlfn.XLOOKUP($A17,INS[DESCRIPCIÓN],INS[PROMEDIO]))</f>
        <v>5500</v>
      </c>
      <c r="H17" s="25">
        <f t="shared" si="0"/>
        <v>16500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16187.5</v>
      </c>
      <c r="H22" s="25">
        <f>F22*G22</f>
        <v>809.375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125085.32277777768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2">F44*G44</f>
        <v>8750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16187.5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141273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71F8B2F0-1F1F-46B5-8444-07AB69FE6118}">
          <x14:formula1>
            <xm:f>TRANS!$A$2:$A$20</xm:f>
          </x14:formula1>
          <xm:sqref>A35:C35</xm:sqref>
        </x14:dataValidation>
        <x14:dataValidation type="list" allowBlank="1" showInputMessage="1" showErrorMessage="1" xr:uid="{E4357519-C77A-4B7D-9471-736BCE96506F}">
          <x14:formula1>
            <xm:f>EQUI!$A$2:$A$38</xm:f>
          </x14:formula1>
          <xm:sqref>A27:C28</xm:sqref>
        </x14:dataValidation>
        <x14:dataValidation type="list" showInputMessage="1" showErrorMessage="1" xr:uid="{B9B1C8CC-0B20-421D-8725-17F6272C1A25}">
          <x14:formula1>
            <xm:f>INS!$A$2:$A$137</xm:f>
          </x14:formula1>
          <xm:sqref>A15:D20</xm:sqref>
        </x14:dataValidation>
        <x14:dataValidation type="list" showInputMessage="1" showErrorMessage="1" xr:uid="{343FBA38-D20B-4F4E-9D8C-C0839D298878}">
          <x14:formula1>
            <xm:f>LIST!$B$3:$B$120</xm:f>
          </x14:formula1>
          <xm:sqref>D10:H11</xm:sqref>
        </x14:dataValidation>
      </x14:dataValidation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940C5-4E87-48C7-BE36-96E0A25BDCD1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556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557</v>
      </c>
      <c r="B15" s="560"/>
      <c r="C15" s="560"/>
      <c r="D15" s="561"/>
      <c r="E15" s="60" t="str">
        <f>IF($A15=0,0,_xlfn.XLOOKUP($A15,INS[DESCRIPCIÓN],INS[UNIDAD]))</f>
        <v>M2</v>
      </c>
      <c r="F15" s="120">
        <v>0.2</v>
      </c>
      <c r="G15" s="60">
        <v>20000</v>
      </c>
      <c r="H15" s="25">
        <f t="shared" ref="H15:H20" si="0">+F15*G15</f>
        <v>4000</v>
      </c>
    </row>
    <row r="16" spans="1:8">
      <c r="A16" s="553" t="s">
        <v>552</v>
      </c>
      <c r="B16" s="554"/>
      <c r="C16" s="554"/>
      <c r="D16" s="555"/>
      <c r="E16" s="60" t="str">
        <f>IF($A16=0,0,_xlfn.XLOOKUP($A16,INS[DESCRIPCIÓN],INS[UNIDAD]))</f>
        <v>KG</v>
      </c>
      <c r="F16" s="120">
        <v>0.1</v>
      </c>
      <c r="G16" s="60">
        <f>IF($A16=0,0,_xlfn.XLOOKUP($A16,INS[DESCRIPCIÓN],INS[PROMEDIO]))</f>
        <v>11400</v>
      </c>
      <c r="H16" s="25">
        <f t="shared" si="0"/>
        <v>1140</v>
      </c>
    </row>
    <row r="17" spans="1:12" ht="17.399999999999999" customHeight="1">
      <c r="A17" s="559"/>
      <c r="B17" s="560"/>
      <c r="C17" s="560"/>
      <c r="D17" s="561"/>
      <c r="E17" s="60">
        <f>IF($A17=0,0,_xlfn.XLOOKUP($A17,INS[DESCRIPCIÓN],INS[UNIDAD]))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11812.5</v>
      </c>
      <c r="H22" s="25">
        <f>F22*G22</f>
        <v>590.625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5730.625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2">F44*G44</f>
        <v>4375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17543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78D159A-FF5C-4A51-AE04-888C667CC664}">
          <x14:formula1>
            <xm:f>EQUI!$A$2:$A$38</xm:f>
          </x14:formula1>
          <xm:sqref>A27:C28</xm:sqref>
        </x14:dataValidation>
        <x14:dataValidation type="list" showInputMessage="1" showErrorMessage="1" xr:uid="{1C0342F3-AC3E-4D15-99B7-2D89E9C4B3B9}">
          <x14:formula1>
            <xm:f>TRANS!$A$2:$A$20</xm:f>
          </x14:formula1>
          <xm:sqref>A35:C35</xm:sqref>
        </x14:dataValidation>
        <x14:dataValidation type="list" showInputMessage="1" showErrorMessage="1" xr:uid="{8C07D871-A120-48A0-AA66-0FC925B1DD6B}">
          <x14:formula1>
            <xm:f>INS!$A$2:$A$137</xm:f>
          </x14:formula1>
          <xm:sqref>A15:D20</xm:sqref>
        </x14:dataValidation>
        <x14:dataValidation type="list" showInputMessage="1" showErrorMessage="1" xr:uid="{A7773803-E1F0-458C-A979-999B6C620545}">
          <x14:formula1>
            <xm:f>LIST!$B$3:$B$120</xm:f>
          </x14:formula1>
          <xm:sqref>D10:H11</xm:sqref>
        </x14:dataValidation>
      </x14:dataValidations>
    </ext>
  </extLst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1CE20-32C4-46A0-A90D-F1CF2B112AB9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554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550</v>
      </c>
      <c r="B15" s="560"/>
      <c r="C15" s="560"/>
      <c r="D15" s="561"/>
      <c r="E15" s="60" t="str">
        <f>IF($A15=0,0,_xlfn.XLOOKUP($A15,INS[DESCRIPCIÓN],INS[UNIDAD]))</f>
        <v>M3</v>
      </c>
      <c r="F15" s="120">
        <v>1.3</v>
      </c>
      <c r="G15" s="60">
        <f>IF($A15=0,0,_xlfn.XLOOKUP($A15,INS[DESCRIPCIÓN],INS[PROMEDIO]))</f>
        <v>100000</v>
      </c>
      <c r="H15" s="25">
        <f t="shared" ref="H15:H20" si="0">+F15*G15</f>
        <v>130000</v>
      </c>
    </row>
    <row r="16" spans="1:8">
      <c r="A16" s="553" t="s">
        <v>553</v>
      </c>
      <c r="B16" s="554"/>
      <c r="C16" s="554"/>
      <c r="D16" s="555"/>
      <c r="E16" s="60" t="str">
        <f>IF($A16=0,0,_xlfn.XLOOKUP($A16,INS[DESCRIPCIÓN],INS[UNIDAD]))</f>
        <v>UND</v>
      </c>
      <c r="F16" s="120">
        <v>0.5</v>
      </c>
      <c r="G16" s="60">
        <f>IF($A16=0,0,_xlfn.XLOOKUP($A16,INS[DESCRIPCIÓN],INS[PROMEDIO]))</f>
        <v>117641</v>
      </c>
      <c r="H16" s="25">
        <f t="shared" si="0"/>
        <v>58820.5</v>
      </c>
    </row>
    <row r="17" spans="1:12" ht="17.399999999999999" customHeight="1">
      <c r="A17" s="559" t="s">
        <v>552</v>
      </c>
      <c r="B17" s="560"/>
      <c r="C17" s="560"/>
      <c r="D17" s="561"/>
      <c r="E17" s="60" t="str">
        <f>IF($A17=0,0,_xlfn.XLOOKUP($A17,INS[DESCRIPCIÓN],INS[UNIDAD]))</f>
        <v>KG</v>
      </c>
      <c r="F17" s="120">
        <v>0.3</v>
      </c>
      <c r="G17" s="60">
        <f>IF($A17=0,0,_xlfn.XLOOKUP($A17,INS[DESCRIPCIÓN],INS[PROMEDIO]))</f>
        <v>11400</v>
      </c>
      <c r="H17" s="25">
        <f t="shared" si="0"/>
        <v>3420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ref="F18" si="1">+M19</f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183458.33333333334</v>
      </c>
      <c r="H22" s="25">
        <f>F22*G22</f>
        <v>9172.9166666666679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201413.41666666666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551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50</v>
      </c>
      <c r="F35" s="147">
        <f>+F15</f>
        <v>1.3</v>
      </c>
      <c r="G35" s="123">
        <f>IF($A$35=0,0,VLOOKUP($A$35,TRANS!$A$2:$D$38,4,FALSE))</f>
        <v>1800</v>
      </c>
      <c r="H35" s="25">
        <f>+E35*F35*G35*D35</f>
        <v>117000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117000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3.4</v>
      </c>
      <c r="H43" s="49">
        <f>F43*G43</f>
        <v>84291.666666666672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3.4</v>
      </c>
      <c r="H44" s="49">
        <f t="shared" ref="H44:H45" si="2">F44*G44</f>
        <v>99166.666666666672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183458.33333333334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501872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91BA6A29-2746-4441-849C-7F04ACEA5DEA}">
          <x14:formula1>
            <xm:f>TRANS!$A$2:$A$20</xm:f>
          </x14:formula1>
          <xm:sqref>A35:C35</xm:sqref>
        </x14:dataValidation>
        <x14:dataValidation type="list" allowBlank="1" showInputMessage="1" showErrorMessage="1" xr:uid="{87494BFF-DC7D-4DEA-BDB5-BD179E19A21F}">
          <x14:formula1>
            <xm:f>EQUI!$A$2:$A$38</xm:f>
          </x14:formula1>
          <xm:sqref>A27:C28</xm:sqref>
        </x14:dataValidation>
        <x14:dataValidation type="list" showInputMessage="1" showErrorMessage="1" xr:uid="{1A2E15E3-24E2-4375-803C-AF6BD6D41741}">
          <x14:formula1>
            <xm:f>INS!$A$2:$A$137</xm:f>
          </x14:formula1>
          <xm:sqref>A15:D20</xm:sqref>
        </x14:dataValidation>
        <x14:dataValidation type="list" showInputMessage="1" showErrorMessage="1" xr:uid="{68D7B801-0B77-4079-AB26-749D92C5A9F2}">
          <x14:formula1>
            <xm:f>LIST!$B$3:$B$120</xm:f>
          </x14:formula1>
          <xm:sqref>D10:H11</xm:sqref>
        </x14:dataValidation>
      </x14:dataValidations>
    </ext>
  </extLst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21F95-E946-4223-A709-687696CDE5E2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507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IF($A15=0,0,VLOOKUP($A15,INS!$A$2:$E$137,2,FALSE))</f>
        <v>M3</v>
      </c>
      <c r="F15" s="120">
        <v>1</v>
      </c>
      <c r="G15" s="60">
        <f>IF($A15=0,0,_xlfn.XLOOKUP($A15,INS[DESCRIPCIÓN],INS[PROMEDIO]))</f>
        <v>1111084</v>
      </c>
      <c r="H15" s="25">
        <f t="shared" ref="H15:H20" si="0">+F15*G15</f>
        <v>1111084</v>
      </c>
    </row>
    <row r="16" spans="1:8">
      <c r="A16" s="553" t="s">
        <v>78</v>
      </c>
      <c r="B16" s="554"/>
      <c r="C16" s="554"/>
      <c r="D16" s="555"/>
      <c r="E16" s="60" t="str">
        <f>IF($A16=0,0,VLOOKUP($A16,INS!$A$2:$E$137,2,FALSE))</f>
        <v>DOCENA</v>
      </c>
      <c r="F16" s="120">
        <v>0.4</v>
      </c>
      <c r="G16" s="60">
        <f>IF($A16=0,0,_xlfn.XLOOKUP($A16,INS[DESCRIPCIÓN],INS[PROMEDIO]))</f>
        <v>295000</v>
      </c>
      <c r="H16" s="25">
        <f t="shared" si="0"/>
        <v>118000</v>
      </c>
    </row>
    <row r="17" spans="1:12" ht="17.399999999999999" customHeight="1">
      <c r="A17" s="559"/>
      <c r="B17" s="560"/>
      <c r="C17" s="560"/>
      <c r="D17" s="561"/>
      <c r="E17" s="60">
        <f>IF($A17=0,0,VLOOKUP($A17,INS!$A$2:$E$137,2,FALSE))</f>
        <v>0</v>
      </c>
      <c r="F17" s="120">
        <f t="shared" ref="F17:F18" si="1">+M18</f>
        <v>0</v>
      </c>
      <c r="G17" s="60">
        <f>IF($A17=0,0,_xlfn.XLOOKUP($A17,#REF!,INS[PROMEDIO]))</f>
        <v>0</v>
      </c>
      <c r="H17" s="25">
        <f t="shared" si="0"/>
        <v>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si="1"/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107916.66666666667</v>
      </c>
      <c r="H22" s="25">
        <f>F22*G22</f>
        <v>5395.8333333333339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1234479.8333333333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537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</v>
      </c>
      <c r="H43" s="49">
        <f>F43*G43</f>
        <v>49583.333333333336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2</v>
      </c>
      <c r="H44" s="49">
        <f t="shared" ref="H44:H45" si="2">F44*G44</f>
        <v>58333.333333333336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107916.66666666667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1342397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25DC5E4-EB25-4777-B1F3-85F2116DB249}">
          <x14:formula1>
            <xm:f>EQUI!$A$2:$A$38</xm:f>
          </x14:formula1>
          <xm:sqref>A27:C28</xm:sqref>
        </x14:dataValidation>
        <x14:dataValidation type="list" showInputMessage="1" showErrorMessage="1" xr:uid="{3ACF8546-2DF3-4929-9E7D-E7158914DE1B}">
          <x14:formula1>
            <xm:f>TRANS!$A$2:$A$20</xm:f>
          </x14:formula1>
          <xm:sqref>A35:C35</xm:sqref>
        </x14:dataValidation>
        <x14:dataValidation type="list" showInputMessage="1" showErrorMessage="1" xr:uid="{6DC02718-F257-4534-ACF6-860F83ADA4C8}">
          <x14:formula1>
            <xm:f>INS!$A$2:$A$137</xm:f>
          </x14:formula1>
          <xm:sqref>A15:D20</xm:sqref>
        </x14:dataValidation>
        <x14:dataValidation type="list" showInputMessage="1" showErrorMessage="1" xr:uid="{FF0A9C45-7A92-4684-AB19-12088E7A6D11}">
          <x14:formula1>
            <xm:f>LIST!$B$3:$B$120</xm:f>
          </x14:formula1>
          <xm:sqref>D10:H11</xm:sqref>
        </x14:dataValidation>
      </x14:dataValidation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A8F40-80C4-43CC-B806-8DD7C8CD06E6}">
  <sheetPr>
    <tabColor rgb="FF0070C0"/>
  </sheetPr>
  <dimension ref="A1:L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474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475</v>
      </c>
      <c r="B15" s="560"/>
      <c r="C15" s="560"/>
      <c r="D15" s="561"/>
      <c r="E15" s="60" t="str">
        <f>IF($A15=0,0,VLOOKUP($A15,INS!$A$2:$E$137,2,FALSE))</f>
        <v>M3</v>
      </c>
      <c r="F15" s="120">
        <v>0.1</v>
      </c>
      <c r="G15" s="60">
        <f>IF($A15=0,0,_xlfn.XLOOKUP($A15,INS[DESCRIPCIÓN],INS[PROMEDIO]))</f>
        <v>1111084</v>
      </c>
      <c r="H15" s="25">
        <f t="shared" ref="H15:H20" si="0">+F15*G15</f>
        <v>111108.40000000001</v>
      </c>
    </row>
    <row r="16" spans="1:8">
      <c r="A16" s="553"/>
      <c r="B16" s="554"/>
      <c r="C16" s="554"/>
      <c r="D16" s="555"/>
      <c r="E16" s="60">
        <f>IF($A16=0,0,VLOOKUP($A16,INS!$A$2:$E$137,2,FALSE))</f>
        <v>0</v>
      </c>
      <c r="F16" s="120"/>
      <c r="G16" s="60">
        <f>IF($A16=0,0,_xlfn.XLOOKUP($A16,#REF!,INS[PROMEDIO]))</f>
        <v>0</v>
      </c>
      <c r="H16" s="25">
        <f t="shared" si="0"/>
        <v>0</v>
      </c>
    </row>
    <row r="17" spans="1:12" ht="17.399999999999999" customHeight="1">
      <c r="A17" s="559"/>
      <c r="B17" s="560"/>
      <c r="C17" s="560"/>
      <c r="D17" s="561"/>
      <c r="E17" s="60">
        <f>IF($A17=0,0,VLOOKUP($A17,INS!$A$2:$E$137,2,FALSE))</f>
        <v>0</v>
      </c>
      <c r="F17" s="120">
        <f t="shared" ref="F17:F18" si="1">+M18</f>
        <v>0</v>
      </c>
      <c r="G17" s="60">
        <f>IF($A17=0,0,_xlfn.XLOOKUP($A17,#REF!,INS[PROMEDIO]))</f>
        <v>0</v>
      </c>
      <c r="H17" s="25">
        <f t="shared" si="0"/>
        <v>0</v>
      </c>
      <c r="L17" s="373"/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>
        <f t="shared" si="1"/>
        <v>0</v>
      </c>
      <c r="G18" s="60">
        <f>IF($A18=0,0,_xlfn.XLOOKUP($A18,#REF!,INS[PROMEDIO]))</f>
        <v>0</v>
      </c>
      <c r="H18" s="25">
        <f t="shared" si="0"/>
        <v>0</v>
      </c>
      <c r="L18" s="373"/>
    </row>
    <row r="19" spans="1:12">
      <c r="A19" s="553"/>
      <c r="B19" s="554"/>
      <c r="C19" s="554"/>
      <c r="D19" s="555"/>
      <c r="E19" s="149"/>
      <c r="F19" s="120"/>
      <c r="G19" s="60"/>
      <c r="H19" s="25">
        <f t="shared" si="0"/>
        <v>0</v>
      </c>
      <c r="L19" s="373"/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12">
      <c r="A21" s="553"/>
      <c r="B21" s="554"/>
      <c r="C21" s="554"/>
      <c r="D21" s="555"/>
      <c r="E21" s="27"/>
      <c r="F21" s="28"/>
      <c r="G21" s="29"/>
      <c r="H21" s="25"/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14962.5</v>
      </c>
      <c r="H22" s="25">
        <f>F22*G22</f>
        <v>748.125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111856.52500000001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12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0.38</v>
      </c>
      <c r="H43" s="49">
        <f>F43*G43</f>
        <v>9420.8333333333339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0.38</v>
      </c>
      <c r="H44" s="49">
        <f t="shared" ref="H44:H45" si="2">F44*G44</f>
        <v>5541.666666666667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2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14962.5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126819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A8B19099-7881-461B-9A31-758D3A930B05}">
          <x14:formula1>
            <xm:f>TRANS!$A$2:$A$20</xm:f>
          </x14:formula1>
          <xm:sqref>A35:C35</xm:sqref>
        </x14:dataValidation>
        <x14:dataValidation type="list" allowBlank="1" showInputMessage="1" showErrorMessage="1" xr:uid="{E9054C9A-C6B1-4951-8CE9-1A5467EF8491}">
          <x14:formula1>
            <xm:f>EQUI!$A$2:$A$38</xm:f>
          </x14:formula1>
          <xm:sqref>A27:C28</xm:sqref>
        </x14:dataValidation>
        <x14:dataValidation type="list" showInputMessage="1" showErrorMessage="1" xr:uid="{097E1C21-6C35-412E-9B2D-367CBA1E5383}">
          <x14:formula1>
            <xm:f>INS!$A$2:$A$137</xm:f>
          </x14:formula1>
          <xm:sqref>A15:D20</xm:sqref>
        </x14:dataValidation>
        <x14:dataValidation type="list" showInputMessage="1" showErrorMessage="1" xr:uid="{D0E30E5F-CAE6-4978-A13F-253514DC079F}">
          <x14:formula1>
            <xm:f>LIST!$B$3:$B$120</xm:f>
          </x14:formula1>
          <xm:sqref>D10:H11</xm:sqref>
        </x14:dataValidation>
      </x14:dataValidations>
    </ext>
  </extLst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6803F-58EA-4F1D-8D5A-B9164A2F7BFC}">
  <sheetPr>
    <tabColor rgb="FF0070C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289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57</v>
      </c>
      <c r="B15" s="560"/>
      <c r="C15" s="560"/>
      <c r="D15" s="561"/>
      <c r="E15" s="60" t="str">
        <f>IF($A15=0,0,VLOOKUP($A15,INS!$A$2:$E$137,2,FALSE))</f>
        <v>BLT</v>
      </c>
      <c r="F15" s="120">
        <v>7</v>
      </c>
      <c r="G15" s="60">
        <f>IF($A15=0,0,_xlfn.XLOOKUP($A15,INS[DESCRIPCIÓN],INS[PROMEDIO]))</f>
        <v>37000</v>
      </c>
      <c r="H15" s="25">
        <f t="shared" ref="H15:H20" si="0">+F15*G15</f>
        <v>259000</v>
      </c>
    </row>
    <row r="16" spans="1:8">
      <c r="A16" s="553" t="s">
        <v>75</v>
      </c>
      <c r="B16" s="554"/>
      <c r="C16" s="554"/>
      <c r="D16" s="555"/>
      <c r="E16" s="60" t="str">
        <f>IF($A16=0,0,VLOOKUP($A16,INS!$A$2:$E$137,2,FALSE))</f>
        <v>M3</v>
      </c>
      <c r="F16" s="120">
        <v>0.75</v>
      </c>
      <c r="G16" s="60">
        <f>IF($A16=0,0,_xlfn.XLOOKUP($A16,INS[DESCRIPCIÓN],INS[PROMEDIO]))</f>
        <v>65545</v>
      </c>
      <c r="H16" s="25">
        <f t="shared" si="0"/>
        <v>49158.75</v>
      </c>
    </row>
    <row r="17" spans="1:8" ht="17.399999999999999" customHeight="1">
      <c r="A17" s="559" t="s">
        <v>53</v>
      </c>
      <c r="B17" s="560"/>
      <c r="C17" s="560"/>
      <c r="D17" s="561"/>
      <c r="E17" s="60" t="str">
        <f>IF($A17=0,0,VLOOKUP($A17,INS!$A$2:$E$137,2,FALSE))</f>
        <v>M3</v>
      </c>
      <c r="F17" s="120">
        <v>0.65</v>
      </c>
      <c r="G17" s="60">
        <f>IF($A17=0,0,_xlfn.XLOOKUP($A17,INS[DESCRIPCIÓN],INS[PROMEDIO]))</f>
        <v>90000</v>
      </c>
      <c r="H17" s="25">
        <f t="shared" si="0"/>
        <v>58500</v>
      </c>
    </row>
    <row r="18" spans="1:8">
      <c r="A18" s="553" t="s">
        <v>54</v>
      </c>
      <c r="B18" s="554"/>
      <c r="C18" s="554"/>
      <c r="D18" s="555"/>
      <c r="E18" s="149" t="str">
        <f>IF($A18=0,0,VLOOKUP($A18,INS!$A$2:$E$137,2,FALSE))</f>
        <v>LT</v>
      </c>
      <c r="F18" s="120">
        <v>180</v>
      </c>
      <c r="G18" s="60">
        <f>IF($A18=0,0,_xlfn.XLOOKUP($A18,INS[DESCRIPCIÓN],INS[PROMEDIO]))</f>
        <v>35</v>
      </c>
      <c r="H18" s="25">
        <f t="shared" si="0"/>
        <v>6300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IF($A19=0,0,_xlfn.XLOOKUP($A19,#REF!,INS[PROMEDIO]))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332500</v>
      </c>
      <c r="H22" s="25">
        <f>F22*G22</f>
        <v>16625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389583.75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56</v>
      </c>
      <c r="B27" s="565"/>
      <c r="C27" s="565"/>
      <c r="D27" s="61"/>
      <c r="E27" s="19"/>
      <c r="F27" s="60">
        <f>IF($A27=0,0,VLOOKUP($A27,EQUI!$A$2:$E$6,3,FALSE))</f>
        <v>7000</v>
      </c>
      <c r="G27" s="120">
        <f>+IF($A27=0,0,VLOOKUP($A27,EQUI!$A$2:$E$6,5,FALSE))</f>
        <v>2.5</v>
      </c>
      <c r="H27" s="25">
        <f>F27*G27</f>
        <v>17500</v>
      </c>
    </row>
    <row r="28" spans="1:8">
      <c r="A28" s="565" t="s">
        <v>290</v>
      </c>
      <c r="B28" s="565"/>
      <c r="C28" s="565"/>
      <c r="D28" s="61"/>
      <c r="E28" s="19"/>
      <c r="F28" s="60">
        <f>IF($A28=0,0,VLOOKUP($A28,EQUI!$A$2:$E$6,3,FALSE))</f>
        <v>10000</v>
      </c>
      <c r="G28" s="120">
        <f>+IF($A28=0,0,VLOOKUP($A28,EQUI!$A$2:$E$6,5,FALSE))</f>
        <v>2.5</v>
      </c>
      <c r="H28" s="25">
        <f>F28*G28</f>
        <v>25000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42500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277</v>
      </c>
      <c r="B35" s="571"/>
      <c r="C35" s="571"/>
      <c r="D35" s="124">
        <f>IF($A$35=0,0,VLOOKUP($A$35,TRANS!$A$2:$F$38,5,FALSE))</f>
        <v>1.1000000000000001</v>
      </c>
      <c r="E35" s="42">
        <f>IF($A$35=0,0,VLOOKUP($A$35,TRANS!$A$2:$D$39,3,FALSE))</f>
        <v>125</v>
      </c>
      <c r="F35" s="147">
        <f>+F16+F17</f>
        <v>1.4</v>
      </c>
      <c r="G35" s="123">
        <f>IF($A$35=0,0,VLOOKUP($A$35,TRANS!$A$2:$D$38,4,FALSE))</f>
        <v>1800</v>
      </c>
      <c r="H35" s="25">
        <f>+E35*F35*G35*D35</f>
        <v>346500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346500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</v>
      </c>
      <c r="H43" s="49">
        <f>F43*G43</f>
        <v>99166.666666666672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4</v>
      </c>
      <c r="F44" s="24">
        <f>D44*E44</f>
        <v>58333.333333333336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4</v>
      </c>
      <c r="H44" s="49">
        <f t="shared" ref="H44:H45" si="1">F44*G44</f>
        <v>233333.33333333334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332500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1111084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45:C45"/>
    <mergeCell ref="A48:G48"/>
    <mergeCell ref="A54:D54"/>
    <mergeCell ref="F54:H54"/>
    <mergeCell ref="A55:D55"/>
    <mergeCell ref="F55:H55"/>
    <mergeCell ref="A44:C44"/>
    <mergeCell ref="A27:C27"/>
    <mergeCell ref="A29:C29"/>
    <mergeCell ref="A33:H33"/>
    <mergeCell ref="A34:C34"/>
    <mergeCell ref="A35:C35"/>
    <mergeCell ref="A36:C36"/>
    <mergeCell ref="A28:C28"/>
    <mergeCell ref="A37:C37"/>
    <mergeCell ref="A38:C38"/>
    <mergeCell ref="A41:H41"/>
    <mergeCell ref="A42:C42"/>
    <mergeCell ref="A43:C43"/>
    <mergeCell ref="A26:C26"/>
    <mergeCell ref="A19:D19"/>
    <mergeCell ref="A18:D18"/>
    <mergeCell ref="A10:C11"/>
    <mergeCell ref="D10:H11"/>
    <mergeCell ref="A13:H13"/>
    <mergeCell ref="A14:D14"/>
    <mergeCell ref="A15:D15"/>
    <mergeCell ref="A16:D16"/>
    <mergeCell ref="A17:D17"/>
    <mergeCell ref="A20:D20"/>
    <mergeCell ref="A21:D21"/>
    <mergeCell ref="A22:D22"/>
    <mergeCell ref="A25:H25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96D11AA-65A4-442D-9791-D5CA1D78AF62}">
          <x14:formula1>
            <xm:f>EQUI!$A$2:$A$38</xm:f>
          </x14:formula1>
          <xm:sqref>A27:C28</xm:sqref>
        </x14:dataValidation>
        <x14:dataValidation type="list" showInputMessage="1" showErrorMessage="1" xr:uid="{9D5415AF-830C-4300-9887-BF5AD741F9B9}">
          <x14:formula1>
            <xm:f>TRANS!$A$2:$A$20</xm:f>
          </x14:formula1>
          <xm:sqref>A35:C35</xm:sqref>
        </x14:dataValidation>
        <x14:dataValidation type="list" showInputMessage="1" showErrorMessage="1" xr:uid="{FAFF32B2-7451-40ED-A34B-35AAABC52FEF}">
          <x14:formula1>
            <xm:f>INS!$A$2:$A$137</xm:f>
          </x14:formula1>
          <xm:sqref>A15:D20</xm:sqref>
        </x14:dataValidation>
        <x14:dataValidation type="list" showInputMessage="1" showErrorMessage="1" xr:uid="{E4FC0D06-C7D0-464B-AD7C-A8185D6D2596}">
          <x14:formula1>
            <xm:f>LIST!$B$3:$B$120</xm:f>
          </x14:formula1>
          <xm:sqref>D10:H11</xm:sqref>
        </x14:dataValidation>
      </x14:dataValidations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79DF9-7D33-498F-8F92-FCD7CC79CD4E}">
  <sheetPr>
    <tabColor rgb="FF0070C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KG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77</v>
      </c>
      <c r="B15" s="560"/>
      <c r="C15" s="560"/>
      <c r="D15" s="561"/>
      <c r="E15" s="60" t="str">
        <f>IF($A15=0,0,VLOOKUP($A15,INS!$A$2:$E$137,2,FALSE))</f>
        <v>KG</v>
      </c>
      <c r="F15" s="120">
        <v>1.05</v>
      </c>
      <c r="G15" s="60">
        <f>IF($A15=0,0,VLOOKUP($A15,INS!$A$2:$G$137,6,FALSE))</f>
        <v>5500</v>
      </c>
      <c r="H15" s="25">
        <f t="shared" ref="H15:H20" si="0">+F15*G15</f>
        <v>5775</v>
      </c>
    </row>
    <row r="16" spans="1:8">
      <c r="A16" s="553" t="s">
        <v>60</v>
      </c>
      <c r="B16" s="554"/>
      <c r="C16" s="554"/>
      <c r="D16" s="555"/>
      <c r="E16" s="60" t="str">
        <f>IF($A16=0,0,VLOOKUP($A16,INS!$A$2:$E$137,2,FALSE))</f>
        <v>KG</v>
      </c>
      <c r="F16" s="120">
        <v>0.11</v>
      </c>
      <c r="G16" s="60">
        <f>IF($A16=0,0,VLOOKUP($A16,INS!$A$2:$G$137,6,FALSE))</f>
        <v>8700</v>
      </c>
      <c r="H16" s="25">
        <f t="shared" si="0"/>
        <v>957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3150</v>
      </c>
      <c r="H22" s="25">
        <f>F22*G22</f>
        <v>157.5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6889.5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291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1.05</v>
      </c>
      <c r="G35" s="123">
        <f>IF($A$35=0,0,VLOOKUP($A$35,TRANS!$A$2:$D$38,4,FALSE))</f>
        <v>2</v>
      </c>
      <c r="H35" s="25">
        <f>+E35*F35*G35*D35</f>
        <v>409.5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409.5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3" s="49">
        <f>F43*G43</f>
        <v>1983.3333333333335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4" s="49">
        <f t="shared" ref="H44:H45" si="1">F44*G44</f>
        <v>1166.6666666666667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3150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10449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8D8613C-CD02-4BD4-BD4D-72317F614431}">
          <x14:formula1>
            <xm:f>TRANS!$A$2:$A$20</xm:f>
          </x14:formula1>
          <xm:sqref>A35:C35</xm:sqref>
        </x14:dataValidation>
        <x14:dataValidation type="list" allowBlank="1" showInputMessage="1" showErrorMessage="1" xr:uid="{E9F664B3-F514-440E-8109-1F3D034419FB}">
          <x14:formula1>
            <xm:f>EQUI!$A$2:$A$38</xm:f>
          </x14:formula1>
          <xm:sqref>A27:C28</xm:sqref>
        </x14:dataValidation>
        <x14:dataValidation type="list" showInputMessage="1" showErrorMessage="1" xr:uid="{AF601711-F870-4AB6-8B3A-E8F88362CB2F}">
          <x14:formula1>
            <xm:f>INS!$A$2:$A$137</xm:f>
          </x14:formula1>
          <xm:sqref>A15:D20</xm:sqref>
        </x14:dataValidation>
        <x14:dataValidation type="list" showInputMessage="1" showErrorMessage="1" xr:uid="{80F3D2F9-75DF-4720-94BB-707480EE438D}">
          <x14:formula1>
            <xm:f>LIST!$B$3:$B$120</xm:f>
          </x14:formula1>
          <xm:sqref>D10:H11</xm:sqref>
        </x14:dataValidation>
      </x14:dataValidations>
    </ext>
  </extLst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9A762-8337-48DF-B010-0CD92505DF58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+PTO!#REF!</f>
        <v>#REF!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645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644</v>
      </c>
      <c r="B15" s="560"/>
      <c r="C15" s="560"/>
      <c r="D15" s="561"/>
      <c r="E15" s="60" t="str">
        <f>IF($A15=0,0,VLOOKUP($A15,INS!$A$2:$E$137,2,FALSE))</f>
        <v>M2</v>
      </c>
      <c r="F15" s="409">
        <v>1</v>
      </c>
      <c r="G15" s="60">
        <f>IF($A15=0,0,_xlfn.XLOOKUP($A15,INS[DESCRIPCIÓN],INS[PROMEDIO]))</f>
        <v>97000</v>
      </c>
      <c r="H15" s="25">
        <f t="shared" ref="H15:H21" si="0">+F15*G15</f>
        <v>97000</v>
      </c>
    </row>
    <row r="16" spans="1:8">
      <c r="A16" s="553" t="s">
        <v>650</v>
      </c>
      <c r="B16" s="554"/>
      <c r="C16" s="554"/>
      <c r="D16" s="555"/>
      <c r="E16" s="149" t="str">
        <f>IF($A16=0,0,VLOOKUP($A16,INS!$A$2:$E$137,2,FALSE))</f>
        <v>M3</v>
      </c>
      <c r="F16" s="375">
        <v>0.1</v>
      </c>
      <c r="G16" s="60">
        <f>IF($A16=0,0,_xlfn.XLOOKUP($A16,INS[DESCRIPCIÓN],INS[PROMEDIO]))</f>
        <v>90000</v>
      </c>
      <c r="H16" s="25">
        <f t="shared" si="0"/>
        <v>9000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19687.5</v>
      </c>
      <c r="H22" s="25">
        <f>F22*G22</f>
        <v>984.375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106984.375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IF($A27=0,0,_xlfn.XLOOKUP($A27,EQUI[DESCRIPCIÓN],EQUI[VALOR]))</f>
        <v>10000</v>
      </c>
      <c r="G27" s="120">
        <f>IF($A27=0,0,_xlfn.XLOOKUP($A27,EQUI[DESCRIPCIÓN],EQUI[RENDIMIENTO]))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597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f>IF($A$35=0,0,VLOOKUP($A$35,TRANS!$A$2:$D$38,4,FALSE))</f>
        <v>120</v>
      </c>
      <c r="H35" s="25">
        <f>+E35*F35*G35*D35</f>
        <v>23400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23400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1">F44*G44</f>
        <v>7291.666666666667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19687.5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151072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B79B21BC-7826-489D-ACA7-AFE13E94A779}">
          <x14:formula1>
            <xm:f>TRANS!$A$2:$A$20</xm:f>
          </x14:formula1>
          <xm:sqref>A35:C35</xm:sqref>
        </x14:dataValidation>
        <x14:dataValidation type="list" allowBlank="1" showInputMessage="1" showErrorMessage="1" xr:uid="{67D416E8-BF41-47DF-9BFD-CDF71B5A1A4A}">
          <x14:formula1>
            <xm:f>EQUI!$A$2:$A$38</xm:f>
          </x14:formula1>
          <xm:sqref>A27:C28</xm:sqref>
        </x14:dataValidation>
        <x14:dataValidation type="list" showInputMessage="1" showErrorMessage="1" xr:uid="{AFBAA788-060A-4F5E-88A2-85667DB143A5}">
          <x14:formula1>
            <xm:f>INS!$A$2:$A$137</xm:f>
          </x14:formula1>
          <xm:sqref>A15:D21</xm:sqref>
        </x14:dataValidation>
        <x14:dataValidation type="list" showInputMessage="1" showErrorMessage="1" xr:uid="{12E66ACA-B80A-40A2-8798-2E6683833B3D}">
          <x14:formula1>
            <xm:f>LIST!$B$3:$B$120</xm:f>
          </x14:formula1>
          <xm:sqref>D10:H11</xm:sqref>
        </x14:dataValidation>
      </x14:dataValidations>
    </ext>
  </extLst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859AF-B4E5-4D6D-B783-1BE280051AEE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+PTO!#REF!</f>
        <v>#REF!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612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588</v>
      </c>
      <c r="B15" s="560"/>
      <c r="C15" s="560"/>
      <c r="D15" s="561"/>
      <c r="E15" s="60" t="str">
        <f>IF($A15=0,0,VLOOKUP($A15,INS!$A$2:$E$137,2,FALSE))</f>
        <v>CANECA</v>
      </c>
      <c r="F15" s="409">
        <f>1/(5*10)</f>
        <v>0.02</v>
      </c>
      <c r="G15" s="60">
        <f>IF($A15=0,0,_xlfn.XLOOKUP($A15,INS[DESCRIPCIÓN],INS[PROMEDIO]))</f>
        <v>299900</v>
      </c>
      <c r="H15" s="25">
        <f t="shared" ref="H15:H21" si="0">+F15*G15</f>
        <v>5998</v>
      </c>
    </row>
    <row r="16" spans="1:8">
      <c r="A16" s="553" t="s">
        <v>455</v>
      </c>
      <c r="B16" s="554"/>
      <c r="C16" s="554"/>
      <c r="D16" s="555"/>
      <c r="E16" s="149" t="str">
        <f>IF($A16=0,0,VLOOKUP($A16,INS!$A$2:$E$137,2,FALSE))</f>
        <v>UND</v>
      </c>
      <c r="F16" s="375">
        <v>0.1</v>
      </c>
      <c r="G16" s="60">
        <f>IF($A16=0,0,_xlfn.XLOOKUP($A16,INS[DESCRIPCIÓN],INS[PROMEDIO]))</f>
        <v>13900</v>
      </c>
      <c r="H16" s="25">
        <f t="shared" si="0"/>
        <v>1390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13387.500000000002</v>
      </c>
      <c r="H22" s="25">
        <f>F22*G22</f>
        <v>669.37500000000011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8057.375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IF($A27=0,0,_xlfn.XLOOKUP($A27,EQUI[DESCRIPCIÓN],EQUI[VALOR]))</f>
        <v>10000</v>
      </c>
      <c r="G27" s="120">
        <f>IF($A27=0,0,_xlfn.XLOOKUP($A27,EQUI[DESCRIPCIÓN],EQUI[RENDIMIENTO]))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597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0.02</v>
      </c>
      <c r="G35" s="123">
        <f>IF($A$35=0,0,VLOOKUP($A$35,TRANS!$A$2:$D$38,4,FALSE))</f>
        <v>120</v>
      </c>
      <c r="H35" s="25">
        <f>+E35*F35*G35*D35</f>
        <v>468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468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0.34</v>
      </c>
      <c r="H43" s="49">
        <f>F43*G43</f>
        <v>8429.1666666666679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0.34</v>
      </c>
      <c r="H44" s="49">
        <f t="shared" ref="H44:H45" si="1">F44*G44</f>
        <v>4958.3333333333339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13387.500000000002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22913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4B48D98-C5FC-4C0A-A873-5875CC85DEFF}">
          <x14:formula1>
            <xm:f>EQUI!$A$2:$A$38</xm:f>
          </x14:formula1>
          <xm:sqref>A27:C28</xm:sqref>
        </x14:dataValidation>
        <x14:dataValidation type="list" showInputMessage="1" showErrorMessage="1" xr:uid="{1D472696-4CDE-4DBE-AE11-4DCC7937BAEA}">
          <x14:formula1>
            <xm:f>TRANS!$A$2:$A$20</xm:f>
          </x14:formula1>
          <xm:sqref>A35:C35</xm:sqref>
        </x14:dataValidation>
        <x14:dataValidation type="list" showInputMessage="1" showErrorMessage="1" xr:uid="{846968A2-9217-40B9-B956-4495224FF0E2}">
          <x14:formula1>
            <xm:f>INS!$A$2:$A$137</xm:f>
          </x14:formula1>
          <xm:sqref>A15:D21</xm:sqref>
        </x14:dataValidation>
        <x14:dataValidation type="list" showInputMessage="1" showErrorMessage="1" xr:uid="{F9E47D3D-7A87-4BCE-A248-81A52A11964B}">
          <x14:formula1>
            <xm:f>LIST!$B$3:$B$120</xm:f>
          </x14:formula1>
          <xm:sqref>D10:H11</xm:sqref>
        </x14:dataValidation>
      </x14:dataValidations>
    </ext>
  </extLst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EB59F-512C-4AC8-941A-C5760F3D1EBF}">
  <sheetPr>
    <tabColor rgb="FF002060"/>
  </sheetPr>
  <dimension ref="A1:J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  <col min="10" max="10" width="12.21875" bestFit="1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604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57</v>
      </c>
      <c r="B15" s="560"/>
      <c r="C15" s="560"/>
      <c r="D15" s="561"/>
      <c r="E15" s="60" t="str">
        <f>IF($A15=0,0,VLOOKUP($A15,INS!$A$2:$E$137,2,FALSE))</f>
        <v>BLT</v>
      </c>
      <c r="F15" s="375">
        <v>0.15</v>
      </c>
      <c r="G15" s="60">
        <f>IF($A15=0,0,_xlfn.XLOOKUP($A15,INS[DESCRIPCIÓN],INS[PROMEDIO]))</f>
        <v>37000</v>
      </c>
      <c r="H15" s="25">
        <f t="shared" ref="H15:H21" si="0">+F15*G15</f>
        <v>5550</v>
      </c>
    </row>
    <row r="16" spans="1:8">
      <c r="A16" s="553" t="s">
        <v>53</v>
      </c>
      <c r="B16" s="554"/>
      <c r="C16" s="554"/>
      <c r="D16" s="555"/>
      <c r="E16" s="149" t="str">
        <f>IF($A16=0,0,VLOOKUP($A16,INS!$A$2:$E$137,2,FALSE))</f>
        <v>M3</v>
      </c>
      <c r="F16" s="375">
        <v>0.02</v>
      </c>
      <c r="G16" s="60">
        <f>IF($A16=0,0,_xlfn.XLOOKUP($A16,INS[DESCRIPCIÓN],INS[PROMEDIO]))</f>
        <v>90000</v>
      </c>
      <c r="H16" s="25">
        <f t="shared" si="0"/>
        <v>1800</v>
      </c>
    </row>
    <row r="17" spans="1:8" ht="17.399999999999999" customHeight="1">
      <c r="A17" s="559" t="s">
        <v>54</v>
      </c>
      <c r="B17" s="560"/>
      <c r="C17" s="560"/>
      <c r="D17" s="561"/>
      <c r="E17" s="149" t="str">
        <f>IF($A17=0,0,VLOOKUP($A17,INS!$A$2:$E$137,2,FALSE))</f>
        <v>LT</v>
      </c>
      <c r="F17" s="120">
        <v>3.6</v>
      </c>
      <c r="G17" s="60">
        <f>IF($A17=0,0,_xlfn.XLOOKUP($A17,INS[DESCRIPCIÓN],INS[PROMEDIO]))</f>
        <v>35</v>
      </c>
      <c r="H17" s="25">
        <f t="shared" si="0"/>
        <v>126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22837.5</v>
      </c>
      <c r="H22" s="25">
        <f>F22*G22</f>
        <v>2283.75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9759.75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IF($A27=0,0,_xlfn.XLOOKUP($A27,EQUI[DESCRIPCIÓN],EQUI[VALOR]))</f>
        <v>0</v>
      </c>
      <c r="G27" s="389">
        <f>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IF($A28=0,0,_xlfn.XLOOKUP($A28,EQUI[DESCRIPCIÓN],EQUI[VALOR]))</f>
        <v>0</v>
      </c>
      <c r="G28" s="389">
        <f>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10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10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10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IF($A$35=0,0,VLOOKUP(A35,TRANS!$A$2:$D$39,3,FALSE))</f>
        <v>0</v>
      </c>
      <c r="F35" s="147"/>
      <c r="G35" s="123">
        <f>IF($A$35=0,0,VLOOKUP(A35,TRANS!$A$2:$D$38,4,FALSE))</f>
        <v>0</v>
      </c>
      <c r="H35" s="25">
        <f>+E35*F35*G35*D35</f>
        <v>0</v>
      </c>
      <c r="J35" s="208"/>
    </row>
    <row r="36" spans="1:10">
      <c r="A36" s="571"/>
      <c r="B36" s="571"/>
      <c r="C36" s="571"/>
      <c r="D36" s="124">
        <f>IF($A$35=0,0,VLOOKUP($A$35,TRANS!$A$2:$F$38,5,FALSE))</f>
        <v>0</v>
      </c>
      <c r="E36" s="42">
        <f>IF($A$35=0,0,VLOOKUP(A36,TRANS!$A$2:$D$39,3,FALSE))</f>
        <v>0</v>
      </c>
      <c r="F36" s="147"/>
      <c r="G36" s="123">
        <f>IF($A$35=0,0,VLOOKUP(A36,TRANS!$A$2:$D$38,4,FALSE))</f>
        <v>0</v>
      </c>
      <c r="H36" s="25">
        <f>+E36*F36*G36*D36</f>
        <v>0</v>
      </c>
    </row>
    <row r="37" spans="1:10">
      <c r="A37" s="566"/>
      <c r="B37" s="567"/>
      <c r="C37" s="567"/>
      <c r="D37" s="44"/>
      <c r="E37" s="19"/>
      <c r="F37" s="19"/>
      <c r="G37" s="45"/>
      <c r="H37" s="25"/>
    </row>
    <row r="38" spans="1:10">
      <c r="A38" s="566"/>
      <c r="B38" s="567"/>
      <c r="C38" s="567"/>
      <c r="D38" s="36"/>
      <c r="E38" s="36"/>
      <c r="F38" s="36"/>
      <c r="G38" s="36"/>
      <c r="H38" s="37"/>
    </row>
    <row r="39" spans="1:10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10">
      <c r="A40" s="16"/>
      <c r="B40" s="17"/>
      <c r="C40" s="17"/>
      <c r="D40" s="17"/>
      <c r="E40" s="17"/>
      <c r="F40" s="17"/>
      <c r="G40" s="39"/>
      <c r="H40" s="40"/>
    </row>
    <row r="41" spans="1:10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10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10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0.57999999999999996</v>
      </c>
      <c r="H43" s="49">
        <f>F43*G43</f>
        <v>14379.166666666666</v>
      </c>
    </row>
    <row r="44" spans="1:10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0.57999999999999996</v>
      </c>
      <c r="H44" s="49">
        <f t="shared" ref="H44:H45" si="1">F44*G44</f>
        <v>8458.3333333333339</v>
      </c>
    </row>
    <row r="45" spans="1:10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10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22837.5</v>
      </c>
    </row>
    <row r="47" spans="1:10">
      <c r="A47" s="16"/>
      <c r="B47" s="17"/>
      <c r="C47" s="17"/>
      <c r="D47" s="17"/>
      <c r="E47" s="17"/>
      <c r="F47" s="17"/>
      <c r="G47" s="17"/>
      <c r="H47" s="18"/>
    </row>
    <row r="48" spans="1:10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32597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96569693-CF74-4DD2-965E-1A547A827382}">
          <x14:formula1>
            <xm:f>TRANS!$A$2:$A$20</xm:f>
          </x14:formula1>
          <xm:sqref>A35:C36</xm:sqref>
        </x14:dataValidation>
        <x14:dataValidation type="list" allowBlank="1" showInputMessage="1" showErrorMessage="1" xr:uid="{49F4A44B-33C6-43BB-AC68-2E48D226BC26}">
          <x14:formula1>
            <xm:f>EQUI!$A$2:$A$38</xm:f>
          </x14:formula1>
          <xm:sqref>A27:C28</xm:sqref>
        </x14:dataValidation>
        <x14:dataValidation type="list" showInputMessage="1" showErrorMessage="1" xr:uid="{7542EDE5-4215-4057-8D3D-AA1896385077}">
          <x14:formula1>
            <xm:f>INS!$A$2:$A$137</xm:f>
          </x14:formula1>
          <xm:sqref>A15:D21</xm:sqref>
        </x14:dataValidation>
        <x14:dataValidation type="list" showInputMessage="1" showErrorMessage="1" xr:uid="{8EB8917A-4F90-4624-8FF6-505CFF428C63}">
          <x14:formula1>
            <xm:f>LIST!$B$3:$B$120</xm:f>
          </x14:formula1>
          <xm:sqref>D10:H11</xm:sqref>
        </x14:dataValidation>
      </x14:dataValidations>
    </ext>
  </extLst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F2A0-8B20-4D04-80FA-6687B33113A0}">
  <sheetPr>
    <tabColor rgb="FF002060"/>
  </sheetPr>
  <dimension ref="A1:J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  <col min="10" max="10" width="12.21875" bestFit="1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602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610</v>
      </c>
      <c r="B15" s="560"/>
      <c r="C15" s="560"/>
      <c r="D15" s="561"/>
      <c r="E15" s="60" t="str">
        <f>IF($A15=0,0,VLOOKUP($A15,INS!$A$2:$E$137,2,FALSE))</f>
        <v>UND</v>
      </c>
      <c r="F15" s="375">
        <v>47</v>
      </c>
      <c r="G15" s="60">
        <f>IF($A15=0,0,_xlfn.XLOOKUP($A15,INS[DESCRIPCIÓN],INS[PROMEDIO]))</f>
        <v>900</v>
      </c>
      <c r="H15" s="25">
        <f t="shared" ref="H15:H21" si="0">+F15*G15</f>
        <v>42300</v>
      </c>
    </row>
    <row r="16" spans="1:8">
      <c r="A16" s="553" t="s">
        <v>57</v>
      </c>
      <c r="B16" s="554"/>
      <c r="C16" s="554"/>
      <c r="D16" s="555"/>
      <c r="E16" s="149" t="str">
        <f>IF($A16=0,0,VLOOKUP($A16,INS!$A$2:$E$137,2,FALSE))</f>
        <v>BLT</v>
      </c>
      <c r="F16" s="375">
        <v>0.3</v>
      </c>
      <c r="G16" s="60">
        <f>IF($A16=0,0,_xlfn.XLOOKUP($A16,INS[DESCRIPCIÓN],INS[PROMEDIO]))</f>
        <v>37000</v>
      </c>
      <c r="H16" s="25">
        <f t="shared" si="0"/>
        <v>11100</v>
      </c>
    </row>
    <row r="17" spans="1:8" ht="17.399999999999999" customHeight="1">
      <c r="A17" s="559" t="s">
        <v>53</v>
      </c>
      <c r="B17" s="560"/>
      <c r="C17" s="560"/>
      <c r="D17" s="561"/>
      <c r="E17" s="149" t="str">
        <f>IF($A17=0,0,VLOOKUP($A17,INS!$A$2:$E$137,2,FALSE))</f>
        <v>M3</v>
      </c>
      <c r="F17" s="120">
        <v>0.05</v>
      </c>
      <c r="G17" s="60">
        <f>IF($A17=0,0,_xlfn.XLOOKUP($A17,INS[DESCRIPCIÓN],INS[PROMEDIO]))</f>
        <v>90000</v>
      </c>
      <c r="H17" s="25">
        <f t="shared" si="0"/>
        <v>4500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25593.75</v>
      </c>
      <c r="H22" s="25">
        <f>F22*G22</f>
        <v>2559.375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60459.375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IF($A27=0,0,_xlfn.XLOOKUP($A27,EQUI[DESCRIPCIÓN],EQUI[VALOR]))</f>
        <v>0</v>
      </c>
      <c r="G27" s="389">
        <f>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IF($A28=0,0,_xlfn.XLOOKUP($A28,EQUI[DESCRIPCIÓN],EQUI[VALOR]))</f>
        <v>0</v>
      </c>
      <c r="G28" s="389">
        <f>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10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10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10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IF($A$35=0,0,VLOOKUP(A35,TRANS!$A$2:$D$39,3,FALSE))</f>
        <v>0</v>
      </c>
      <c r="F35" s="147"/>
      <c r="G35" s="123">
        <f>IF($A$35=0,0,VLOOKUP(A35,TRANS!$A$2:$D$38,4,FALSE))</f>
        <v>0</v>
      </c>
      <c r="H35" s="25">
        <f>+E35*F35*G35*D35</f>
        <v>0</v>
      </c>
      <c r="J35" s="208"/>
    </row>
    <row r="36" spans="1:10">
      <c r="A36" s="571"/>
      <c r="B36" s="571"/>
      <c r="C36" s="571"/>
      <c r="D36" s="124">
        <f>IF($A$35=0,0,VLOOKUP($A$35,TRANS!$A$2:$F$38,5,FALSE))</f>
        <v>0</v>
      </c>
      <c r="E36" s="42">
        <f>IF($A$35=0,0,VLOOKUP(A36,TRANS!$A$2:$D$39,3,FALSE))</f>
        <v>0</v>
      </c>
      <c r="F36" s="147"/>
      <c r="G36" s="123">
        <f>IF($A$35=0,0,VLOOKUP(A36,TRANS!$A$2:$D$38,4,FALSE))</f>
        <v>0</v>
      </c>
      <c r="H36" s="25">
        <f>+E36*F36*G36*D36</f>
        <v>0</v>
      </c>
    </row>
    <row r="37" spans="1:10">
      <c r="A37" s="566"/>
      <c r="B37" s="567"/>
      <c r="C37" s="567"/>
      <c r="D37" s="44"/>
      <c r="E37" s="19"/>
      <c r="F37" s="19"/>
      <c r="G37" s="45"/>
      <c r="H37" s="25"/>
    </row>
    <row r="38" spans="1:10">
      <c r="A38" s="566"/>
      <c r="B38" s="567"/>
      <c r="C38" s="567"/>
      <c r="D38" s="36"/>
      <c r="E38" s="36"/>
      <c r="F38" s="36"/>
      <c r="G38" s="36"/>
      <c r="H38" s="37"/>
    </row>
    <row r="39" spans="1:10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10">
      <c r="A40" s="16"/>
      <c r="B40" s="17"/>
      <c r="C40" s="17"/>
      <c r="D40" s="17"/>
      <c r="E40" s="17"/>
      <c r="F40" s="17"/>
      <c r="G40" s="39"/>
      <c r="H40" s="40"/>
    </row>
    <row r="41" spans="1:10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10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10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3" s="49">
        <f>F43*G43</f>
        <v>16114.583333333334</v>
      </c>
    </row>
    <row r="44" spans="1:10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4" s="49">
        <f t="shared" ref="H44:H45" si="1">F44*G44</f>
        <v>9479.1666666666679</v>
      </c>
    </row>
    <row r="45" spans="1:10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10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25593.75</v>
      </c>
    </row>
    <row r="47" spans="1:10">
      <c r="A47" s="16"/>
      <c r="B47" s="17"/>
      <c r="C47" s="17"/>
      <c r="D47" s="17"/>
      <c r="E47" s="17"/>
      <c r="F47" s="17"/>
      <c r="G47" s="17"/>
      <c r="H47" s="18"/>
    </row>
    <row r="48" spans="1:10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86053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EA3FC91-8560-4DAE-A4C1-B85D73798F31}">
          <x14:formula1>
            <xm:f>EQUI!$A$2:$A$38</xm:f>
          </x14:formula1>
          <xm:sqref>A27:C28</xm:sqref>
        </x14:dataValidation>
        <x14:dataValidation type="list" showInputMessage="1" showErrorMessage="1" xr:uid="{CC01DF8F-1B4C-4990-94EA-1AAD61BECE21}">
          <x14:formula1>
            <xm:f>TRANS!$A$2:$A$20</xm:f>
          </x14:formula1>
          <xm:sqref>A35:C36</xm:sqref>
        </x14:dataValidation>
        <x14:dataValidation type="list" showInputMessage="1" showErrorMessage="1" xr:uid="{859DB2DC-8BD2-4A72-8147-499B5971DA36}">
          <x14:formula1>
            <xm:f>INS!$A$2:$A$137</xm:f>
          </x14:formula1>
          <xm:sqref>A15:D21</xm:sqref>
        </x14:dataValidation>
        <x14:dataValidation type="list" showInputMessage="1" showErrorMessage="1" xr:uid="{63CAA9D2-3628-4F96-BC74-D8BF23DAD53B}">
          <x14:formula1>
            <xm:f>LIST!$B$3:$B$120</xm:f>
          </x14:formula1>
          <xm:sqref>D10:H11</xm:sqref>
        </x14:dataValidation>
      </x14:dataValidations>
    </ext>
  </extLst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771DF-FA00-451A-B8B0-D962699D9E89}">
  <sheetPr>
    <tabColor rgb="FF002060"/>
  </sheetPr>
  <dimension ref="A1:J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  <col min="10" max="10" width="12.21875" bestFit="1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609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607</v>
      </c>
      <c r="B15" s="560"/>
      <c r="C15" s="560"/>
      <c r="D15" s="561"/>
      <c r="E15" s="60" t="str">
        <f>IF($A15=0,0,VLOOKUP($A15,INS!$A$2:$E$137,2,FALSE))</f>
        <v>CANECA</v>
      </c>
      <c r="F15" s="375">
        <f>1/(15*5)</f>
        <v>1.3333333333333334E-2</v>
      </c>
      <c r="G15" s="60">
        <f>IF($A15=0,0,_xlfn.XLOOKUP($A15,INS[DESCRIPCIÓN],INS[PROMEDIO]))</f>
        <v>757812</v>
      </c>
      <c r="H15" s="25">
        <f t="shared" ref="H15:H21" si="0">+F15*G15</f>
        <v>10104.16</v>
      </c>
    </row>
    <row r="16" spans="1:8">
      <c r="A16" s="553" t="s">
        <v>605</v>
      </c>
      <c r="B16" s="554"/>
      <c r="C16" s="554"/>
      <c r="D16" s="555"/>
      <c r="E16" s="149" t="str">
        <f>IF($A16=0,0,VLOOKUP($A16,INS!$A$2:$E$137,2,FALSE))</f>
        <v>GLN</v>
      </c>
      <c r="F16" s="375">
        <v>5.5555555555555552E-2</v>
      </c>
      <c r="G16" s="60">
        <f>IF($A16=0,0,_xlfn.XLOOKUP($A16,INS[DESCRIPCIÓN],INS[PROMEDIO]))</f>
        <v>219900</v>
      </c>
      <c r="H16" s="25">
        <f t="shared" si="0"/>
        <v>12216.666666666666</v>
      </c>
    </row>
    <row r="17" spans="1:8" ht="17.399999999999999" customHeight="1">
      <c r="A17" s="559" t="s">
        <v>455</v>
      </c>
      <c r="B17" s="560"/>
      <c r="C17" s="560"/>
      <c r="D17" s="561"/>
      <c r="E17" s="149" t="str">
        <f>IF($A17=0,0,VLOOKUP($A17,INS!$A$2:$E$137,2,FALSE))</f>
        <v>UND</v>
      </c>
      <c r="F17" s="120">
        <v>0.05</v>
      </c>
      <c r="G17" s="60">
        <f>IF($A17=0,0,_xlfn.XLOOKUP($A17,INS[DESCRIPCIÓN],INS[PROMEDIO]))</f>
        <v>13900</v>
      </c>
      <c r="H17" s="25">
        <f t="shared" si="0"/>
        <v>695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13781.25</v>
      </c>
      <c r="H22" s="25">
        <f>F22*G22</f>
        <v>1378.125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24393.951666666668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IF($A27=0,0,_xlfn.XLOOKUP($A27,EQUI[DESCRIPCIÓN],EQUI[VALOR]))</f>
        <v>0</v>
      </c>
      <c r="G27" s="389">
        <f>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IF($A28=0,0,_xlfn.XLOOKUP($A28,EQUI[DESCRIPCIÓN],EQUI[VALOR]))</f>
        <v>0</v>
      </c>
      <c r="G28" s="389">
        <f>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10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10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10" ht="27.6" customHeight="1">
      <c r="A35" s="571" t="s">
        <v>597</v>
      </c>
      <c r="B35" s="571"/>
      <c r="C35" s="571"/>
      <c r="D35" s="124">
        <f>IF($A$35=0,0,VLOOKUP($A$35,TRANS!$A$2:$F$38,5,FALSE))</f>
        <v>1</v>
      </c>
      <c r="E35" s="42">
        <f>IF($A$35=0,0,VLOOKUP(A35,TRANS!$A$2:$D$39,3,FALSE))</f>
        <v>195</v>
      </c>
      <c r="F35" s="147">
        <f>+F15</f>
        <v>1.3333333333333334E-2</v>
      </c>
      <c r="G35" s="123">
        <f>IF($A$35=0,0,VLOOKUP(A35,TRANS!$A$2:$D$38,4,FALSE))</f>
        <v>120</v>
      </c>
      <c r="H35" s="25">
        <f>+E35*F35*G35*D35</f>
        <v>312</v>
      </c>
      <c r="J35" s="208"/>
    </row>
    <row r="36" spans="1:10">
      <c r="A36" s="571" t="s">
        <v>598</v>
      </c>
      <c r="B36" s="571"/>
      <c r="C36" s="571"/>
      <c r="D36" s="124">
        <f>IF($A$35=0,0,VLOOKUP($A$35,TRANS!$A$2:$F$38,5,FALSE))</f>
        <v>1</v>
      </c>
      <c r="E36" s="42">
        <f>IF($A$35=0,0,VLOOKUP(A36,TRANS!$A$2:$D$39,3,FALSE))</f>
        <v>195</v>
      </c>
      <c r="F36" s="147">
        <f>+F16</f>
        <v>5.5555555555555552E-2</v>
      </c>
      <c r="G36" s="123">
        <f>IF($A$35=0,0,VLOOKUP(A36,TRANS!$A$2:$D$38,4,FALSE))</f>
        <v>40</v>
      </c>
      <c r="H36" s="25">
        <f>+E36*F36*G36*D36</f>
        <v>433.33333333333326</v>
      </c>
    </row>
    <row r="37" spans="1:10">
      <c r="A37" s="566"/>
      <c r="B37" s="567"/>
      <c r="C37" s="567"/>
      <c r="D37" s="44"/>
      <c r="E37" s="19"/>
      <c r="F37" s="19"/>
      <c r="G37" s="45"/>
      <c r="H37" s="25"/>
    </row>
    <row r="38" spans="1:10">
      <c r="A38" s="566"/>
      <c r="B38" s="567"/>
      <c r="C38" s="567"/>
      <c r="D38" s="36"/>
      <c r="E38" s="36"/>
      <c r="F38" s="36"/>
      <c r="G38" s="36"/>
      <c r="H38" s="37"/>
    </row>
    <row r="39" spans="1:10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745.33333333333326</v>
      </c>
    </row>
    <row r="40" spans="1:10">
      <c r="A40" s="16"/>
      <c r="B40" s="17"/>
      <c r="C40" s="17"/>
      <c r="D40" s="17"/>
      <c r="E40" s="17"/>
      <c r="F40" s="17"/>
      <c r="G40" s="39"/>
      <c r="H40" s="40"/>
    </row>
    <row r="41" spans="1:10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10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10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3" s="49">
        <f>F43*G43</f>
        <v>8677.0833333333339</v>
      </c>
    </row>
    <row r="44" spans="1:10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4" s="49">
        <f t="shared" ref="H44:H45" si="1">F44*G44</f>
        <v>5104.166666666667</v>
      </c>
    </row>
    <row r="45" spans="1:10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10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13781.25</v>
      </c>
    </row>
    <row r="47" spans="1:10">
      <c r="A47" s="16"/>
      <c r="B47" s="17"/>
      <c r="C47" s="17"/>
      <c r="D47" s="17"/>
      <c r="E47" s="17"/>
      <c r="F47" s="17"/>
      <c r="G47" s="17"/>
      <c r="H47" s="18"/>
    </row>
    <row r="48" spans="1:10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38921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7C1243F3-B05C-46A8-BEE3-2AD424DC79E4}">
          <x14:formula1>
            <xm:f>TRANS!$A$2:$A$20</xm:f>
          </x14:formula1>
          <xm:sqref>A35:C36</xm:sqref>
        </x14:dataValidation>
        <x14:dataValidation type="list" allowBlank="1" showInputMessage="1" showErrorMessage="1" xr:uid="{209E83CE-E10C-4CCA-8AE0-F4D5E72741CC}">
          <x14:formula1>
            <xm:f>EQUI!$A$2:$A$38</xm:f>
          </x14:formula1>
          <xm:sqref>A27:C28</xm:sqref>
        </x14:dataValidation>
        <x14:dataValidation type="list" showInputMessage="1" showErrorMessage="1" xr:uid="{5CFD5E14-801F-496B-B146-48B270FFB2A9}">
          <x14:formula1>
            <xm:f>INS!$A$2:$A$137</xm:f>
          </x14:formula1>
          <xm:sqref>A15:D21</xm:sqref>
        </x14:dataValidation>
        <x14:dataValidation type="list" showInputMessage="1" showErrorMessage="1" xr:uid="{C1E04AD0-CB04-444A-832D-7D9577419416}">
          <x14:formula1>
            <xm:f>LIST!$B$3:$B$120</xm:f>
          </x14:formula1>
          <xm:sqref>D10:H11</xm:sqref>
        </x14:dataValidation>
      </x14:dataValidations>
    </ext>
  </extLst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C918A-EE64-4036-B39C-675A38797147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564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566</v>
      </c>
      <c r="B15" s="560"/>
      <c r="C15" s="560"/>
      <c r="D15" s="561"/>
      <c r="E15" s="60" t="str">
        <f>IF($A15=0,0,VLOOKUP($A15,INS!$A$2:$E$137,2,FALSE))</f>
        <v>M2</v>
      </c>
      <c r="F15" s="374">
        <v>1</v>
      </c>
      <c r="G15" s="60">
        <f>IF($A15=0,0,_xlfn.XLOOKUP($A15,INS[DESCRIPCIÓN],INS[PROMEDIO]))</f>
        <v>75000</v>
      </c>
      <c r="H15" s="25">
        <f t="shared" ref="H15:H21" si="0">+F15*G15</f>
        <v>75000</v>
      </c>
    </row>
    <row r="16" spans="1:8">
      <c r="A16" s="553"/>
      <c r="B16" s="554"/>
      <c r="C16" s="554"/>
      <c r="D16" s="555"/>
      <c r="E16" s="149">
        <f>IF($A16=0,0,VLOOKUP($A16,INS!$A$2:$E$137,2,FALSE))</f>
        <v>0</v>
      </c>
      <c r="F16" s="375"/>
      <c r="G16" s="60">
        <f>IF($A16=0,0,_xlfn.XLOOKUP($A16,INS[DESCRIPCIÓN],INS[PROMEDIO]))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39375</v>
      </c>
      <c r="H22" s="25">
        <f>F22*G22</f>
        <v>3937.5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78937.5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IF($A27=0,0,_xlfn.XLOOKUP($A27,EQUI[DESCRIPCIÓN],EQUI[VALOR]))</f>
        <v>0</v>
      </c>
      <c r="G27" s="389">
        <f>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IF($A28=0,0,_xlfn.XLOOKUP($A28,EQUI[DESCRIPCIÓN],EQUI[VALOR]))</f>
        <v>0</v>
      </c>
      <c r="G28" s="389">
        <f>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39375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118313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51D61A5-9B29-42F2-80BF-F86D74D33EB9}">
          <x14:formula1>
            <xm:f>EQUI!$A$2:$A$38</xm:f>
          </x14:formula1>
          <xm:sqref>A27:C28</xm:sqref>
        </x14:dataValidation>
        <x14:dataValidation type="list" showInputMessage="1" showErrorMessage="1" xr:uid="{77E3C956-0698-45F7-B958-278FBB331F45}">
          <x14:formula1>
            <xm:f>TRANS!$A$2:$A$20</xm:f>
          </x14:formula1>
          <xm:sqref>A35:C35</xm:sqref>
        </x14:dataValidation>
        <x14:dataValidation type="list" showInputMessage="1" showErrorMessage="1" xr:uid="{A5630522-80EC-4B5F-AA1D-0D2E86D2F847}">
          <x14:formula1>
            <xm:f>INS!$A$2:$A$137</xm:f>
          </x14:formula1>
          <xm:sqref>A15:D21</xm:sqref>
        </x14:dataValidation>
        <x14:dataValidation type="list" showInputMessage="1" showErrorMessage="1" xr:uid="{75DBE7FA-8E71-4CC2-82FE-4B9895B6D720}">
          <x14:formula1>
            <xm:f>LIST!$B$3:$B$120</xm:f>
          </x14:formula1>
          <xm:sqref>D10:H11</xm:sqref>
        </x14:dataValidation>
      </x14:dataValidations>
    </ext>
  </extLst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05FA5-404C-4BC7-BC01-290D0F311595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540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588</v>
      </c>
      <c r="B15" s="560"/>
      <c r="C15" s="560"/>
      <c r="D15" s="561"/>
      <c r="E15" s="60" t="str">
        <f>IF($A15=0,0,VLOOKUP($A15,INS!$A$2:$E$137,2,FALSE))</f>
        <v>CANECA</v>
      </c>
      <c r="F15" s="374">
        <v>0.1</v>
      </c>
      <c r="G15" s="60">
        <f>IF($A15=0,0,_xlfn.XLOOKUP($A15,INS[DESCRIPCIÓN],INS[PROMEDIO]))</f>
        <v>299900</v>
      </c>
      <c r="H15" s="25">
        <f t="shared" ref="H15:H21" si="0">+F15*G15</f>
        <v>29990</v>
      </c>
    </row>
    <row r="16" spans="1:8">
      <c r="A16" s="553" t="s">
        <v>455</v>
      </c>
      <c r="B16" s="554"/>
      <c r="C16" s="554"/>
      <c r="D16" s="555"/>
      <c r="E16" s="149" t="str">
        <f>IF($A16=0,0,VLOOKUP($A16,INS!$A$2:$E$137,2,FALSE))</f>
        <v>UND</v>
      </c>
      <c r="F16" s="375">
        <v>7.0000000000000001E-3</v>
      </c>
      <c r="G16" s="60">
        <f>IF($A16=0,0,_xlfn.XLOOKUP($A16,INS[DESCRIPCIÓN],INS[PROMEDIO]))</f>
        <v>13900</v>
      </c>
      <c r="H16" s="25">
        <f t="shared" si="0"/>
        <v>97.3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19687.5</v>
      </c>
      <c r="H22" s="25">
        <f>F22*G22</f>
        <v>1968.75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32056.05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IF($A27=0,0,_xlfn.XLOOKUP($A27,EQUI[DESCRIPCIÓN],EQUI[VALOR]))</f>
        <v>0</v>
      </c>
      <c r="G27" s="389">
        <f>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IF($A28=0,0,_xlfn.XLOOKUP($A28,EQUI[DESCRIPCIÓN],EQUI[VALOR]))</f>
        <v>0</v>
      </c>
      <c r="G28" s="389">
        <f>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597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0.1</v>
      </c>
      <c r="G35" s="123">
        <f>IF($A$35=0,0,VLOOKUP($A$35,TRANS!$A$2:$D$38,4,FALSE))</f>
        <v>120</v>
      </c>
      <c r="H35" s="25">
        <f>+E35*F35*G35*D35</f>
        <v>2340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2340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1">F44*G44</f>
        <v>7291.666666666667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19687.5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54084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CA117CCA-5926-4CB7-9C20-32F7E25CC288}">
          <x14:formula1>
            <xm:f>TRANS!$A$2:$A$20</xm:f>
          </x14:formula1>
          <xm:sqref>A35:C35</xm:sqref>
        </x14:dataValidation>
        <x14:dataValidation type="list" allowBlank="1" showInputMessage="1" showErrorMessage="1" xr:uid="{A34CF980-C151-41EC-A119-F500AC63906B}">
          <x14:formula1>
            <xm:f>EQUI!$A$2:$A$38</xm:f>
          </x14:formula1>
          <xm:sqref>A27:C28</xm:sqref>
        </x14:dataValidation>
        <x14:dataValidation type="list" showInputMessage="1" showErrorMessage="1" xr:uid="{6A6B28E5-0401-4088-BAA9-D745BBF64D90}">
          <x14:formula1>
            <xm:f>INS!$A$2:$A$137</xm:f>
          </x14:formula1>
          <xm:sqref>A15:D21</xm:sqref>
        </x14:dataValidation>
        <x14:dataValidation type="list" showInputMessage="1" showErrorMessage="1" xr:uid="{6F69E11F-C192-44EA-A275-BFB8AC810FFD}">
          <x14:formula1>
            <xm:f>LIST!$B$3:$B$120</xm:f>
          </x14:formula1>
          <xm:sqref>D10:H11</xm:sqref>
        </x14:dataValidation>
      </x14:dataValidations>
    </ext>
  </extLst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1066A-1220-488A-962A-6AA1CEB2AFA3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525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587</v>
      </c>
      <c r="B15" s="560"/>
      <c r="C15" s="560"/>
      <c r="D15" s="561"/>
      <c r="E15" s="60" t="str">
        <f>IF($A15=0,0,VLOOKUP($A15,INS!$A$2:$E$137,2,FALSE))</f>
        <v>GLN</v>
      </c>
      <c r="F15" s="374">
        <v>0.04</v>
      </c>
      <c r="G15" s="60">
        <f>IF($A15=0,0,_xlfn.XLOOKUP($A15,INS[DESCRIPCIÓN],INS[PROMEDIO]))</f>
        <v>136900</v>
      </c>
      <c r="H15" s="25">
        <f t="shared" ref="H15:H21" si="0">+F15*G15</f>
        <v>5476</v>
      </c>
    </row>
    <row r="16" spans="1:8">
      <c r="A16" s="553" t="s">
        <v>522</v>
      </c>
      <c r="B16" s="554"/>
      <c r="C16" s="554"/>
      <c r="D16" s="555"/>
      <c r="E16" s="149" t="str">
        <f>IF($A16=0,0,VLOOKUP($A16,INS!$A$2:$E$137,2,FALSE))</f>
        <v>GLN</v>
      </c>
      <c r="F16" s="375">
        <v>7.0000000000000001E-3</v>
      </c>
      <c r="G16" s="60">
        <f>IF($A16=0,0,_xlfn.XLOOKUP($A16,INS[DESCRIPCIÓN],INS[PROMEDIO]))</f>
        <v>40000</v>
      </c>
      <c r="H16" s="25">
        <f t="shared" si="0"/>
        <v>280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7087.5</v>
      </c>
      <c r="H22" s="25">
        <f>F22*G22</f>
        <v>708.75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6464.75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523</v>
      </c>
      <c r="B27" s="565"/>
      <c r="C27" s="565"/>
      <c r="D27" s="61"/>
      <c r="E27" s="19"/>
      <c r="F27" s="60">
        <f>IF($A27=0,0,_xlfn.XLOOKUP($A27,EQUI[DESCRIPCIÓN],EQUI[VALOR]))</f>
        <v>55000</v>
      </c>
      <c r="G27" s="389">
        <f>IF($A27=0,0,_xlfn.XLOOKUP($A27,EQUI[DESCRIPCIÓN],EQUI[RENDIMIENTO]))</f>
        <v>0.01</v>
      </c>
      <c r="H27" s="25">
        <f>F27*G27</f>
        <v>550</v>
      </c>
    </row>
    <row r="28" spans="1:8">
      <c r="A28" s="565"/>
      <c r="B28" s="565"/>
      <c r="C28" s="565"/>
      <c r="D28" s="61"/>
      <c r="E28" s="19"/>
      <c r="F28" s="60">
        <f>IF($A28=0,0,_xlfn.XLOOKUP($A28,EQUI[DESCRIPCIÓN],EQUI[VALOR]))</f>
        <v>0</v>
      </c>
      <c r="G28" s="389">
        <f>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550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0.04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3" s="49">
        <f>F43*G43</f>
        <v>4462.5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0.18</v>
      </c>
      <c r="H44" s="49">
        <f t="shared" ref="H44:H45" si="1">F44*G44</f>
        <v>2625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7087.5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14102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04F97B5-88DB-4B5C-A60F-EEF6314E58C2}">
          <x14:formula1>
            <xm:f>EQUI!$A$2:$A$38</xm:f>
          </x14:formula1>
          <xm:sqref>A27:C28</xm:sqref>
        </x14:dataValidation>
        <x14:dataValidation type="list" showInputMessage="1" showErrorMessage="1" xr:uid="{20A4BD6E-2A6F-494F-AB05-DF57A5D2D8E0}">
          <x14:formula1>
            <xm:f>TRANS!$A$2:$A$20</xm:f>
          </x14:formula1>
          <xm:sqref>A35:C35</xm:sqref>
        </x14:dataValidation>
        <x14:dataValidation type="list" showInputMessage="1" showErrorMessage="1" xr:uid="{82771354-6847-40F3-9025-4148684D1608}">
          <x14:formula1>
            <xm:f>INS!$A$2:$A$137</xm:f>
          </x14:formula1>
          <xm:sqref>A15:D21</xm:sqref>
        </x14:dataValidation>
        <x14:dataValidation type="list" showInputMessage="1" showErrorMessage="1" xr:uid="{521CE21B-633E-4B14-AF7D-B335AB80000A}">
          <x14:formula1>
            <xm:f>LIST!$B$3:$B$120</xm:f>
          </x14:formula1>
          <xm:sqref>D10:H11</xm:sqref>
        </x14:dataValidation>
      </x14:dataValidations>
    </ext>
  </extLst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4829D-45E9-4CA5-86C6-B4BF6BA2BD0A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524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587</v>
      </c>
      <c r="B15" s="560"/>
      <c r="C15" s="560"/>
      <c r="D15" s="561"/>
      <c r="E15" s="60" t="str">
        <f>IF($A15=0,0,VLOOKUP($A15,INS!$A$2:$E$137,2,FALSE))</f>
        <v>GLN</v>
      </c>
      <c r="F15" s="374">
        <v>0.06</v>
      </c>
      <c r="G15" s="60">
        <f>IF($A15=0,0,_xlfn.XLOOKUP($A15,INS[DESCRIPCIÓN],INS[PROMEDIO]))</f>
        <v>136900</v>
      </c>
      <c r="H15" s="25">
        <f t="shared" ref="H15:H21" si="0">+F15*G15</f>
        <v>8214</v>
      </c>
    </row>
    <row r="16" spans="1:8">
      <c r="A16" s="553" t="s">
        <v>522</v>
      </c>
      <c r="B16" s="554"/>
      <c r="C16" s="554"/>
      <c r="D16" s="555"/>
      <c r="E16" s="149" t="str">
        <f>IF($A16=0,0,VLOOKUP($A16,INS!$A$2:$E$137,2,FALSE))</f>
        <v>GLN</v>
      </c>
      <c r="F16" s="375">
        <v>0.01</v>
      </c>
      <c r="G16" s="60">
        <f>IF($A16=0,0,_xlfn.XLOOKUP($A16,INS[DESCRIPCIÓN],INS[PROMEDIO]))</f>
        <v>40000</v>
      </c>
      <c r="H16" s="25">
        <f t="shared" si="0"/>
        <v>400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8662.5</v>
      </c>
      <c r="H22" s="25">
        <f>F22*G22</f>
        <v>866.25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9480.25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523</v>
      </c>
      <c r="B27" s="565"/>
      <c r="C27" s="565"/>
      <c r="D27" s="61"/>
      <c r="E27" s="19"/>
      <c r="F27" s="60">
        <f>IF($A27=0,0,_xlfn.XLOOKUP($A27,EQUI[DESCRIPCIÓN],EQUI[VALOR]))</f>
        <v>55000</v>
      </c>
      <c r="G27" s="389">
        <f>IF($A27=0,0,_xlfn.XLOOKUP($A27,EQUI[DESCRIPCIÓN],EQUI[RENDIMIENTO]))</f>
        <v>0.01</v>
      </c>
      <c r="H27" s="25">
        <f>F27*G27</f>
        <v>550</v>
      </c>
    </row>
    <row r="28" spans="1:8">
      <c r="A28" s="565" t="s">
        <v>429</v>
      </c>
      <c r="B28" s="565"/>
      <c r="C28" s="565"/>
      <c r="D28" s="61"/>
      <c r="E28" s="19"/>
      <c r="F28" s="60">
        <f>IF($A28=0,0,_xlfn.XLOOKUP($A28,EQUI[DESCRIPCIÓN],EQUI[VALOR]))</f>
        <v>10000</v>
      </c>
      <c r="G28" s="389">
        <f>IF($A28=0,0,_xlfn.XLOOKUP($A28,EQUI[DESCRIPCIÓN],EQUI[RENDIMIENTO]))</f>
        <v>0.1</v>
      </c>
      <c r="H28" s="25">
        <f>F28*G28</f>
        <v>1000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1550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598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0.06</v>
      </c>
      <c r="G35" s="123">
        <f>IF($A$35=0,0,VLOOKUP($A$35,TRANS!$A$2:$D$38,4,FALSE))</f>
        <v>40</v>
      </c>
      <c r="H35" s="25">
        <f>+E35*F35*G35*D35</f>
        <v>468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468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0.22</v>
      </c>
      <c r="H43" s="49">
        <f>F43*G43</f>
        <v>5454.166666666667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0.22</v>
      </c>
      <c r="H44" s="49">
        <f t="shared" ref="H44:H45" si="1">F44*G44</f>
        <v>3208.3333333333335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8662.5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20161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145CC4A8-8F91-4A79-835A-23E49F230F3E}">
          <x14:formula1>
            <xm:f>TRANS!$A$2:$A$20</xm:f>
          </x14:formula1>
          <xm:sqref>A35:C35</xm:sqref>
        </x14:dataValidation>
        <x14:dataValidation type="list" allowBlank="1" showInputMessage="1" showErrorMessage="1" xr:uid="{FACE6B8E-D920-4111-A9E8-0FA1D3BCF074}">
          <x14:formula1>
            <xm:f>EQUI!$A$2:$A$38</xm:f>
          </x14:formula1>
          <xm:sqref>A27:C28</xm:sqref>
        </x14:dataValidation>
        <x14:dataValidation type="list" showInputMessage="1" showErrorMessage="1" xr:uid="{B7926C42-9E7E-4E95-9098-0C533B148A06}">
          <x14:formula1>
            <xm:f>INS!$A$2:$A$137</xm:f>
          </x14:formula1>
          <xm:sqref>A15:D21</xm:sqref>
        </x14:dataValidation>
        <x14:dataValidation type="list" showInputMessage="1" showErrorMessage="1" xr:uid="{AF9FC0F3-8451-42CF-8A7B-7EFD608A224B}">
          <x14:formula1>
            <xm:f>LIST!$B$3:$B$120</xm:f>
          </x14:formula1>
          <xm:sqref>D10:H11</xm:sqref>
        </x14:dataValidation>
      </x14:dataValidations>
    </ext>
  </extLst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CE82-CDDC-453E-8DF4-3918E2FAD825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516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575</v>
      </c>
      <c r="B15" s="560"/>
      <c r="C15" s="560"/>
      <c r="D15" s="561"/>
      <c r="E15" s="60" t="str">
        <f>IF($A15=0,0,VLOOKUP($A15,INS!$A$2:$E$137,2,FALSE))</f>
        <v>M2</v>
      </c>
      <c r="F15" s="374">
        <v>1.1000000000000001</v>
      </c>
      <c r="G15" s="60">
        <f>IF($A15=0,0,_xlfn.XLOOKUP($A15,INS[DESCRIPCIÓN],INS[PROMEDIO]))</f>
        <v>29950</v>
      </c>
      <c r="H15" s="25">
        <f t="shared" ref="H15:H21" si="0">+F15*G15</f>
        <v>32945</v>
      </c>
    </row>
    <row r="16" spans="1:8">
      <c r="A16" s="553" t="s">
        <v>472</v>
      </c>
      <c r="B16" s="554"/>
      <c r="C16" s="554"/>
      <c r="D16" s="555"/>
      <c r="E16" s="149" t="str">
        <f>IF($A16=0,0,VLOOKUP($A16,INS!$A$2:$E$137,2,FALSE))</f>
        <v>UND</v>
      </c>
      <c r="F16" s="375">
        <v>0.1</v>
      </c>
      <c r="G16" s="60">
        <f>IF($A16=0,0,_xlfn.XLOOKUP($A16,INS[DESCRIPCIÓN],INS[PROMEDIO]))</f>
        <v>37400</v>
      </c>
      <c r="H16" s="25">
        <f t="shared" si="0"/>
        <v>3740</v>
      </c>
    </row>
    <row r="17" spans="1:8" ht="17.399999999999999" customHeight="1">
      <c r="A17" s="559" t="s">
        <v>520</v>
      </c>
      <c r="B17" s="560"/>
      <c r="C17" s="560"/>
      <c r="D17" s="561"/>
      <c r="E17" s="149" t="str">
        <f>IF($A17=0,0,VLOOKUP($A17,INS!$A$2:$E$137,2,FALSE))</f>
        <v>UND</v>
      </c>
      <c r="F17" s="120">
        <v>10</v>
      </c>
      <c r="G17" s="60">
        <f>IF($A17=0,0,_xlfn.XLOOKUP($A17,INS[DESCRIPCIÓN],INS[PROMEDIO]))</f>
        <v>105</v>
      </c>
      <c r="H17" s="25">
        <f t="shared" si="0"/>
        <v>1050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31500.000000000004</v>
      </c>
      <c r="H22" s="25">
        <f>F22*G22</f>
        <v>3150.0000000000005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40885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519</v>
      </c>
      <c r="B27" s="565"/>
      <c r="C27" s="565"/>
      <c r="D27" s="61"/>
      <c r="E27" s="19"/>
      <c r="F27" s="60">
        <f>IF($A27=0,0,_xlfn.XLOOKUP($A27,EQUI[DESCRIPCIÓN],EQUI[VALOR]))</f>
        <v>35000</v>
      </c>
      <c r="G27" s="389">
        <f>IF($A27=0,0,_xlfn.XLOOKUP($A27,EQUI[DESCRIPCIÓN],EQUI[RENDIMIENTO]))</f>
        <v>7.0000000000000007E-2</v>
      </c>
      <c r="H27" s="25">
        <f>F27*G27</f>
        <v>2450.0000000000005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2450.0000000000005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517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1.1000000000000001</v>
      </c>
      <c r="G35" s="123">
        <f>IF($A$35=0,0,VLOOKUP($A$35,TRANS!$A$2:$D$38,4,FALSE))</f>
        <v>70</v>
      </c>
      <c r="H35" s="25">
        <f>+E35*F35*G35*D35</f>
        <v>15015.000000000002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15015.000000000002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3" s="49">
        <f>F43*G43</f>
        <v>19833.333333333336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0.8</v>
      </c>
      <c r="H44" s="49">
        <f t="shared" ref="H44:H45" si="1">F44*G44</f>
        <v>11666.666666666668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31500.000000000004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89850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8B1F213-EC41-4BF8-8711-41DBADB7CD77}">
          <x14:formula1>
            <xm:f>EQUI!$A$2:$A$38</xm:f>
          </x14:formula1>
          <xm:sqref>A27:C28</xm:sqref>
        </x14:dataValidation>
        <x14:dataValidation type="list" showInputMessage="1" showErrorMessage="1" xr:uid="{B66FBF42-3E37-4763-AB44-2A32C99191E2}">
          <x14:formula1>
            <xm:f>TRANS!$A$2:$A$20</xm:f>
          </x14:formula1>
          <xm:sqref>A35:C35</xm:sqref>
        </x14:dataValidation>
        <x14:dataValidation type="list" showInputMessage="1" showErrorMessage="1" xr:uid="{41464AE2-8396-4664-97C9-32017F551975}">
          <x14:formula1>
            <xm:f>INS!$A$2:$A$137</xm:f>
          </x14:formula1>
          <xm:sqref>A15:D21</xm:sqref>
        </x14:dataValidation>
        <x14:dataValidation type="list" showInputMessage="1" showErrorMessage="1" xr:uid="{8F3CBA50-70A0-4DF9-8B92-C0285166D51A}">
          <x14:formula1>
            <xm:f>LIST!$B$3:$B$120</xm:f>
          </x14:formula1>
          <xm:sqref>D10:H11</xm:sqref>
        </x14:dataValidation>
      </x14:dataValidations>
    </ext>
  </extLst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514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513</v>
      </c>
      <c r="B15" s="560"/>
      <c r="C15" s="560"/>
      <c r="D15" s="561"/>
      <c r="E15" s="60" t="str">
        <f>IF($A15=0,0,VLOOKUP($A15,INS!$A$2:$E$137,2,FALSE))</f>
        <v>M2</v>
      </c>
      <c r="F15" s="374">
        <v>1</v>
      </c>
      <c r="G15" s="60">
        <f>IF($A15=0,0,_xlfn.XLOOKUP($A15,INS[DESCRIPCIÓN],INS[PROMEDIO]))</f>
        <v>62458</v>
      </c>
      <c r="H15" s="25">
        <f t="shared" ref="H15:H21" si="0">+F15*G15</f>
        <v>62458</v>
      </c>
    </row>
    <row r="16" spans="1:8">
      <c r="A16" s="553"/>
      <c r="B16" s="554"/>
      <c r="C16" s="554"/>
      <c r="D16" s="555"/>
      <c r="E16" s="149">
        <f>IF($A16=0,0,VLOOKUP($A16,INS!$A$2:$E$137,2,FALSE))</f>
        <v>0</v>
      </c>
      <c r="F16" s="375"/>
      <c r="G16" s="60">
        <f>IF($A16=0,0,_xlfn.XLOOKUP($A16,INS[DESCRIPCIÓN],INS[PROMEDIO]))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0.1</v>
      </c>
      <c r="G22" s="32">
        <f>H46</f>
        <v>25593.75</v>
      </c>
      <c r="H22" s="25">
        <f>F22*G22</f>
        <v>2559.375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65017.375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IF($A27=0,0,_xlfn.XLOOKUP($A27,EQUI[DESCRIPCIÓN],EQUI[VALOR]))</f>
        <v>10000</v>
      </c>
      <c r="G27" s="389">
        <f>IF($A27=0,0,_xlfn.XLOOKUP($A27,EQUI[DESCRIPCIÓN],EQUI[RENDIMIENTO]))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3" s="49">
        <f>F43*G43</f>
        <v>16114.583333333334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4" s="49">
        <f t="shared" ref="H44:H45" si="1">F44*G44</f>
        <v>9479.1666666666679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25593.75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91611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CD520AF-C50A-4BF2-A8AF-8C4AE4986CF9}">
          <x14:formula1>
            <xm:f>TRANS!$A$2:$A$20</xm:f>
          </x14:formula1>
          <xm:sqref>A35:C35</xm:sqref>
        </x14:dataValidation>
        <x14:dataValidation type="list" allowBlank="1" showInputMessage="1" showErrorMessage="1" xr:uid="{4BC8F75C-FBD1-40E6-9B96-0434B7D3B9D9}">
          <x14:formula1>
            <xm:f>EQUI!$A$2:$A$38</xm:f>
          </x14:formula1>
          <xm:sqref>A27:C28</xm:sqref>
        </x14:dataValidation>
        <x14:dataValidation type="list" showInputMessage="1" showErrorMessage="1" xr:uid="{81B11A04-FCF3-4C65-9989-0B6EC7AB2F94}">
          <x14:formula1>
            <xm:f>INS!$A$2:$A$137</xm:f>
          </x14:formula1>
          <xm:sqref>A15:D21</xm:sqref>
        </x14:dataValidation>
        <x14:dataValidation type="list" showInputMessage="1" showErrorMessage="1" xr:uid="{89FE6E1E-1E56-4922-B737-D759249C8D2D}">
          <x14:formula1>
            <xm:f>LIST!$B$3:$B$120</xm:f>
          </x14:formula1>
          <xm:sqref>D10:H11</xm:sqref>
        </x14:dataValidation>
      </x14:dataValidations>
    </ext>
  </extLst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16E0C-773A-4481-85CB-21ACD9C10382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+_xlfn.XLOOKUP($D$10,LIST[DESCRIPCIÓN],LIST[UNIDAD])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511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278</v>
      </c>
      <c r="B15" s="560"/>
      <c r="C15" s="560"/>
      <c r="D15" s="561"/>
      <c r="E15" s="60" t="str">
        <f>IF($A15=0,0,VLOOKUP($A15,INS!$A$2:$E$137,2,FALSE))</f>
        <v>GLN</v>
      </c>
      <c r="F15" s="374">
        <f>1/20</f>
        <v>0.05</v>
      </c>
      <c r="G15" s="60">
        <f>IF($A15=0,0,_xlfn.XLOOKUP($A15,INS[DESCRIPCIÓN],INS[PROMEDIO]))</f>
        <v>133300</v>
      </c>
      <c r="H15" s="25">
        <f t="shared" ref="H15:H21" si="0">+F15*G15</f>
        <v>6665</v>
      </c>
    </row>
    <row r="16" spans="1:8">
      <c r="A16" s="553" t="s">
        <v>455</v>
      </c>
      <c r="B16" s="554"/>
      <c r="C16" s="554"/>
      <c r="D16" s="555"/>
      <c r="E16" s="149" t="str">
        <f>IF($A16=0,0,VLOOKUP($A16,INS!$A$2:$E$137,2,FALSE))</f>
        <v>UND</v>
      </c>
      <c r="F16" s="375">
        <v>0.1</v>
      </c>
      <c r="G16" s="60">
        <f>IF($A16=0,0,_xlfn.XLOOKUP($A16,INS[DESCRIPCIÓN],INS[PROMEDIO]))</f>
        <v>13900</v>
      </c>
      <c r="H16" s="25">
        <f t="shared" si="0"/>
        <v>1390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11812.5</v>
      </c>
      <c r="H22" s="25">
        <f>F22*G22</f>
        <v>590.625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8645.625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IF($A27=0,0,_xlfn.XLOOKUP($A27,EQUI[DESCRIPCIÓN],EQUI[VALOR]))</f>
        <v>10000</v>
      </c>
      <c r="G27" s="389">
        <f>IF($A27=0,0,_xlfn.XLOOKUP($A27,EQUI[DESCRIPCIÓN],EQUI[RENDIMIENTO]))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598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0.05</v>
      </c>
      <c r="G35" s="123">
        <f>IF($A$35=0,0,VLOOKUP($A$35,TRANS!$A$2:$D$38,4,FALSE))</f>
        <v>40</v>
      </c>
      <c r="H35" s="25">
        <f>+E35*F35*G35*D35</f>
        <v>390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390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1">F44*G44</f>
        <v>4375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21848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32F524-7D46-42A2-B32B-BE25993FC3EA}">
          <x14:formula1>
            <xm:f>EQUI!$A$2:$A$38</xm:f>
          </x14:formula1>
          <xm:sqref>A27:C28</xm:sqref>
        </x14:dataValidation>
        <x14:dataValidation type="list" showInputMessage="1" showErrorMessage="1" xr:uid="{3B8F879A-F84E-4605-9783-432C71004E9B}">
          <x14:formula1>
            <xm:f>TRANS!$A$2:$A$20</xm:f>
          </x14:formula1>
          <xm:sqref>A35:C35</xm:sqref>
        </x14:dataValidation>
        <x14:dataValidation type="list" showInputMessage="1" showErrorMessage="1" xr:uid="{551623EA-D028-47F4-80A5-94474584A144}">
          <x14:formula1>
            <xm:f>INS!$A$2:$A$137</xm:f>
          </x14:formula1>
          <xm:sqref>A15:D21</xm:sqref>
        </x14:dataValidation>
        <x14:dataValidation type="list" showInputMessage="1" showErrorMessage="1" xr:uid="{F2CE4BEC-0CC1-4551-8A5B-F9B33FBFD4DE}">
          <x14:formula1>
            <xm:f>LIST!$B$3:$B$120</xm:f>
          </x14:formula1>
          <xm:sqref>D10:H11</xm:sqref>
        </x14:dataValidation>
      </x14:dataValidations>
    </ext>
  </extLst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5103B-991F-4CE5-9FF0-BB7BFA32B499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+PTO!#REF!</f>
        <v>#REF!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480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580</v>
      </c>
      <c r="B15" s="560"/>
      <c r="C15" s="560"/>
      <c r="D15" s="561"/>
      <c r="E15" s="60" t="str">
        <f>IF($A15=0,0,VLOOKUP($A15,INS!$A$2:$E$137,2,FALSE))</f>
        <v>CANECA</v>
      </c>
      <c r="F15" s="374">
        <f>1/(5*15)</f>
        <v>1.3333333333333334E-2</v>
      </c>
      <c r="G15" s="60">
        <f>IF($A15=0,0,_xlfn.XLOOKUP($A15,INS[DESCRIPCIÓN],INS[PROMEDIO]))</f>
        <v>120000</v>
      </c>
      <c r="H15" s="25">
        <f t="shared" ref="H15:H21" si="0">+F15*G15</f>
        <v>1600</v>
      </c>
    </row>
    <row r="16" spans="1:8">
      <c r="A16" s="553" t="s">
        <v>481</v>
      </c>
      <c r="B16" s="554"/>
      <c r="C16" s="554"/>
      <c r="D16" s="555"/>
      <c r="E16" s="149" t="str">
        <f>IF($A16=0,0,VLOOKUP($A16,INS!$A$2:$E$137,2,FALSE))</f>
        <v>UND</v>
      </c>
      <c r="F16" s="375">
        <v>0.08</v>
      </c>
      <c r="G16" s="60">
        <f>IF($A16=0,0,_xlfn.XLOOKUP($A16,INS[DESCRIPCIÓN],INS[PROMEDIO]))</f>
        <v>13500</v>
      </c>
      <c r="H16" s="25">
        <f t="shared" si="0"/>
        <v>1080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11812.5</v>
      </c>
      <c r="H22" s="25">
        <f>F22*G22</f>
        <v>590.625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3270.625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IF($A27=0,0,_xlfn.XLOOKUP($A27,EQUI[DESCRIPCIÓN],EQUI[VALOR]))</f>
        <v>10000</v>
      </c>
      <c r="G27" s="120">
        <f>IF($A27=0,0,_xlfn.XLOOKUP($A27,EQUI[DESCRIPCIÓN],EQUI[RENDIMIENTO]))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597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1.3333333333333334E-2</v>
      </c>
      <c r="G35" s="123">
        <f>IF($A$35=0,0,VLOOKUP($A$35,TRANS!$A$2:$D$38,4,FALSE))</f>
        <v>120</v>
      </c>
      <c r="H35" s="25">
        <f>+E35*F35*G35*D35</f>
        <v>312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312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1">F44*G44</f>
        <v>4375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11812.5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16395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5F05C82-5673-4457-B195-268D3A01D0A5}">
          <x14:formula1>
            <xm:f>EQUI!$A$2:$A$38</xm:f>
          </x14:formula1>
          <xm:sqref>A27:C28</xm:sqref>
        </x14:dataValidation>
        <x14:dataValidation type="list" showInputMessage="1" showErrorMessage="1" xr:uid="{0FA06CAA-1ED7-4574-B85D-126E12301DBF}">
          <x14:formula1>
            <xm:f>TRANS!$A$2:$A$20</xm:f>
          </x14:formula1>
          <xm:sqref>A35:C35</xm:sqref>
        </x14:dataValidation>
        <x14:dataValidation type="list" showInputMessage="1" showErrorMessage="1" xr:uid="{DD21E42E-B62D-4A81-B429-975085B9F5AF}">
          <x14:formula1>
            <xm:f>INS!$A$2:$A$137</xm:f>
          </x14:formula1>
          <xm:sqref>A15:D21</xm:sqref>
        </x14:dataValidation>
        <x14:dataValidation type="list" showInputMessage="1" showErrorMessage="1" xr:uid="{4F4767E4-E5EB-4486-B809-0E5910B243E9}">
          <x14:formula1>
            <xm:f>LIST!$B$3:$B$120</xm:f>
          </x14:formula1>
          <xm:sqref>D10:H11</xm:sqref>
        </x14:dataValidation>
      </x14:dataValidations>
    </ext>
  </extLst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E84D6-4E4F-4F5B-B36C-40716B4AEED1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+PTO!#REF!</f>
        <v>#REF!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478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588</v>
      </c>
      <c r="B15" s="560"/>
      <c r="C15" s="560"/>
      <c r="D15" s="561"/>
      <c r="E15" s="60" t="str">
        <f>IF($A15=0,0,VLOOKUP($A15,INS!$A$2:$E$137,2,FALSE))</f>
        <v>CANECA</v>
      </c>
      <c r="F15" s="409">
        <f>1/(5*20)</f>
        <v>0.01</v>
      </c>
      <c r="G15" s="60">
        <f>IF($A15=0,0,_xlfn.XLOOKUP($A15,INS[DESCRIPCIÓN],INS[PROMEDIO]))</f>
        <v>299900</v>
      </c>
      <c r="H15" s="25">
        <f t="shared" ref="H15:H21" si="0">+F15*G15</f>
        <v>2999</v>
      </c>
    </row>
    <row r="16" spans="1:8">
      <c r="A16" s="553" t="s">
        <v>455</v>
      </c>
      <c r="B16" s="554"/>
      <c r="C16" s="554"/>
      <c r="D16" s="555"/>
      <c r="E16" s="149" t="str">
        <f>IF($A16=0,0,VLOOKUP($A16,INS!$A$2:$E$137,2,FALSE))</f>
        <v>UND</v>
      </c>
      <c r="F16" s="375">
        <v>0.1</v>
      </c>
      <c r="G16" s="60">
        <f>IF($A16=0,0,_xlfn.XLOOKUP($A16,INS[DESCRIPCIÓN],INS[PROMEDIO]))</f>
        <v>13900</v>
      </c>
      <c r="H16" s="25">
        <f t="shared" si="0"/>
        <v>1390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IF($A17=0,0,_xlfn.XLOOKUP($A17,INS[DESCRIPCIÓN],INS[PROMEDIO]))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IF($A18=0,0,_xlfn.XLOOKUP($A18,INS[DESCRIPCIÓN],INS[PROMEDIO]))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10237.5</v>
      </c>
      <c r="H22" s="25">
        <f>F22*G22</f>
        <v>511.875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4900.875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9"/>
      <c r="F27" s="60">
        <f>IF($A27=0,0,_xlfn.XLOOKUP($A27,EQUI[DESCRIPCIÓN],EQUI[VALOR]))</f>
        <v>10000</v>
      </c>
      <c r="G27" s="120">
        <f>IF($A27=0,0,_xlfn.XLOOKUP($A27,EQUI[DESCRIPCIÓN],EQUI[RENDIMIENTO]))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597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0.01</v>
      </c>
      <c r="G35" s="123">
        <f>IF($A$35=0,0,VLOOKUP($A$35,TRANS!$A$2:$D$38,4,FALSE))</f>
        <v>120</v>
      </c>
      <c r="H35" s="25">
        <f>+E35*F35*G35*D35</f>
        <v>234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234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0.26</v>
      </c>
      <c r="H43" s="49">
        <f>F43*G43</f>
        <v>6445.8333333333339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0.26</v>
      </c>
      <c r="H44" s="49">
        <f t="shared" ref="H44:H45" si="1">F44*G44</f>
        <v>3791.666666666667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10237.5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16372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D661AAFB-96C5-46F3-B7D9-A17E7FF2E301}">
          <x14:formula1>
            <xm:f>TRANS!$A$2:$A$20</xm:f>
          </x14:formula1>
          <xm:sqref>A35:C35</xm:sqref>
        </x14:dataValidation>
        <x14:dataValidation type="list" allowBlank="1" showInputMessage="1" showErrorMessage="1" xr:uid="{6127D4EA-6381-41CA-A95D-633F42ADDB29}">
          <x14:formula1>
            <xm:f>EQUI!$A$2:$A$38</xm:f>
          </x14:formula1>
          <xm:sqref>A27:C28</xm:sqref>
        </x14:dataValidation>
        <x14:dataValidation type="list" showInputMessage="1" showErrorMessage="1" xr:uid="{12713CF5-12E9-415B-B5DA-C4B454369612}">
          <x14:formula1>
            <xm:f>INS!$A$2:$A$137</xm:f>
          </x14:formula1>
          <xm:sqref>A15:D21</xm:sqref>
        </x14:dataValidation>
        <x14:dataValidation type="list" showInputMessage="1" showErrorMessage="1" xr:uid="{567A40CA-B147-4883-A3E7-79BB67DCF6D2}">
          <x14:formula1>
            <xm:f>LIST!$B$3:$B$120</xm:f>
          </x14:formula1>
          <xm:sqref>D10:H11</xm:sqref>
        </x14:dataValidation>
      </x14:dataValidations>
    </ext>
  </extLst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6DDD4-4FCE-4AAC-A69B-ED116E452EC7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470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471</v>
      </c>
      <c r="B15" s="560"/>
      <c r="C15" s="560"/>
      <c r="D15" s="561"/>
      <c r="E15" s="60" t="str">
        <f>IF($A15=0,0,VLOOKUP($A15,INS!$A$2:$E$137,2,FALSE))</f>
        <v>M2</v>
      </c>
      <c r="F15" s="120">
        <v>1</v>
      </c>
      <c r="G15" s="60">
        <f>IF($A15=0,0,_xlfn.XLOOKUP($A15,INS[DESCRIPCIÓN],INS[PROMEDIO]))</f>
        <v>68500</v>
      </c>
      <c r="H15" s="25">
        <f t="shared" ref="H15:H21" si="0">+F15*G15</f>
        <v>68500</v>
      </c>
    </row>
    <row r="16" spans="1:8">
      <c r="A16" s="553" t="s">
        <v>472</v>
      </c>
      <c r="B16" s="554"/>
      <c r="C16" s="554"/>
      <c r="D16" s="555"/>
      <c r="E16" s="149" t="str">
        <f>IF($A16=0,0,VLOOKUP($A16,INS!$A$2:$E$137,2,FALSE))</f>
        <v>UND</v>
      </c>
      <c r="F16" s="120">
        <v>0.25</v>
      </c>
      <c r="G16" s="60">
        <f>IF($A16=0,0,_xlfn.XLOOKUP($A16,INS[DESCRIPCIÓN],INS[PROMEDIO]))</f>
        <v>37400</v>
      </c>
      <c r="H16" s="25">
        <f t="shared" si="0"/>
        <v>9350</v>
      </c>
    </row>
    <row r="17" spans="1:8" ht="17.399999999999999" customHeight="1">
      <c r="A17" s="559" t="s">
        <v>57</v>
      </c>
      <c r="B17" s="560"/>
      <c r="C17" s="560"/>
      <c r="D17" s="561"/>
      <c r="E17" s="149" t="str">
        <f>IF($A17=0,0,VLOOKUP($A17,INS!$A$2:$E$137,2,FALSE))</f>
        <v>BLT</v>
      </c>
      <c r="F17" s="120">
        <v>0.2</v>
      </c>
      <c r="G17" s="60">
        <f>IF($A17=0,0,_xlfn.XLOOKUP($A17,INS[DESCRIPCIÓN],INS[PROMEDIO]))</f>
        <v>37000</v>
      </c>
      <c r="H17" s="25">
        <f t="shared" si="0"/>
        <v>7400</v>
      </c>
    </row>
    <row r="18" spans="1:8">
      <c r="A18" s="553" t="s">
        <v>53</v>
      </c>
      <c r="B18" s="554"/>
      <c r="C18" s="554"/>
      <c r="D18" s="555"/>
      <c r="E18" s="149" t="str">
        <f>IF($A18=0,0,VLOOKUP($A18,INS!$A$2:$E$137,2,FALSE))</f>
        <v>M3</v>
      </c>
      <c r="F18" s="120">
        <v>0.03</v>
      </c>
      <c r="G18" s="60">
        <f>IF($A18=0,0,_xlfn.XLOOKUP($A18,INS[DESCRIPCIÓN],INS[PROMEDIO]))</f>
        <v>90000</v>
      </c>
      <c r="H18" s="25">
        <f t="shared" si="0"/>
        <v>2700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39375</v>
      </c>
      <c r="H22" s="25">
        <f>F22*G22</f>
        <v>1968.75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89918.75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39375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129294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2B82B58-A8A7-42B4-AA91-BC349455C6AA}">
          <x14:formula1>
            <xm:f>EQUI!$A$2:$A$38</xm:f>
          </x14:formula1>
          <xm:sqref>A27:C28</xm:sqref>
        </x14:dataValidation>
        <x14:dataValidation type="list" showInputMessage="1" showErrorMessage="1" xr:uid="{4D7957B0-D5CD-4302-8EA0-A13723918202}">
          <x14:formula1>
            <xm:f>TRANS!$A$2:$A$20</xm:f>
          </x14:formula1>
          <xm:sqref>A35:C35</xm:sqref>
        </x14:dataValidation>
        <x14:dataValidation type="list" showInputMessage="1" showErrorMessage="1" xr:uid="{903C15CE-1087-4711-84DE-B03A0C0210EF}">
          <x14:formula1>
            <xm:f>INS!$A$2:$A$137</xm:f>
          </x14:formula1>
          <xm:sqref>A15:D21</xm:sqref>
        </x14:dataValidation>
        <x14:dataValidation type="list" showInputMessage="1" showErrorMessage="1" xr:uid="{1FD2E8A0-C601-4C2F-93CE-B231BB9216E4}">
          <x14:formula1>
            <xm:f>LIST!$B$3:$B$120</xm:f>
          </x14:formula1>
          <xm:sqref>D10:H11</xm:sqref>
        </x14:dataValidation>
      </x14:dataValidations>
    </ext>
  </extLst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6D8E9-1BFB-433E-85A2-C7928A82FB1C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449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 t="s">
        <v>451</v>
      </c>
      <c r="B15" s="560"/>
      <c r="C15" s="560"/>
      <c r="D15" s="561"/>
      <c r="E15" s="60" t="str">
        <f>IF($A15=0,0,VLOOKUP($A15,INS!$A$2:$E$137,2,FALSE))</f>
        <v>M2</v>
      </c>
      <c r="F15" s="120">
        <v>1</v>
      </c>
      <c r="G15" s="60">
        <f>IF($A15=0,0,VLOOKUP($A15,INS!$A$2:$G$137,6,FALSE))</f>
        <v>30000</v>
      </c>
      <c r="H15" s="25">
        <f t="shared" ref="H15:H21" si="0">+F15*G15</f>
        <v>30000</v>
      </c>
    </row>
    <row r="16" spans="1:8">
      <c r="A16" s="553"/>
      <c r="B16" s="554"/>
      <c r="C16" s="554"/>
      <c r="D16" s="555"/>
      <c r="E16" s="149">
        <f>IF($A16=0,0,VLOOKUP($A16,INS!$A$2:$E$137,2,FALSE))</f>
        <v>0</v>
      </c>
      <c r="F16" s="120"/>
      <c r="G16" s="60">
        <f>IF($A16=0,0,VLOOKUP($A16,INS!$A$2:$G$137,6,FALSE))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149">
        <f>IF($A21=0,0,VLOOKUP($A21,INS!$A$2:$E$137,2,FALSE))</f>
        <v>0</v>
      </c>
      <c r="F21" s="120"/>
      <c r="G21" s="60">
        <f>IF($A21=0,0,VLOOKUP($A21,INS!$A$2:$G$137,6,FALSE))</f>
        <v>0</v>
      </c>
      <c r="H21" s="25">
        <f t="shared" si="0"/>
        <v>0</v>
      </c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39375</v>
      </c>
      <c r="H22" s="25">
        <f>F22*G22</f>
        <v>1968.75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31968.75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IF($A27=0,0,VLOOKUP($A27,EQUI!$A$2:$E$6,3,FALSE))</f>
        <v>0</v>
      </c>
      <c r="G27" s="120">
        <f>+IF($A27=0,0,VLOOKUP($A27,EQUI!$A$2:$E$6,5,FALSE))</f>
        <v>0</v>
      </c>
      <c r="H27" s="25">
        <f>F27*G27</f>
        <v>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1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3" s="49">
        <f>F43*G43</f>
        <v>24791.666666666668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</v>
      </c>
      <c r="H44" s="49">
        <f t="shared" ref="H44:H45" si="1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39375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71344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42:C42"/>
    <mergeCell ref="A43:C43"/>
    <mergeCell ref="A44:C44"/>
    <mergeCell ref="A45:C45"/>
    <mergeCell ref="A48:G48"/>
    <mergeCell ref="A54:D54"/>
    <mergeCell ref="F54:H54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B290FAB7-E86D-4CD6-A096-B830591109E3}">
          <x14:formula1>
            <xm:f>TRANS!$A$2:$A$20</xm:f>
          </x14:formula1>
          <xm:sqref>A35:C35</xm:sqref>
        </x14:dataValidation>
        <x14:dataValidation type="list" allowBlank="1" showInputMessage="1" showErrorMessage="1" xr:uid="{02A0138B-1F00-430B-9E7F-DBCC81F43345}">
          <x14:formula1>
            <xm:f>EQUI!$A$2:$A$38</xm:f>
          </x14:formula1>
          <xm:sqref>A27:C28</xm:sqref>
        </x14:dataValidation>
        <x14:dataValidation type="list" showInputMessage="1" showErrorMessage="1" xr:uid="{48B62F2C-FFC0-4C44-8FFD-EDC07A146DB8}">
          <x14:formula1>
            <xm:f>INS!$A$2:$A$137</xm:f>
          </x14:formula1>
          <xm:sqref>A15:D21</xm:sqref>
        </x14:dataValidation>
        <x14:dataValidation type="list" showInputMessage="1" showErrorMessage="1" xr:uid="{319BEC83-36D5-4127-B7CF-0FAD87B2D9A5}">
          <x14:formula1>
            <xm:f>LIST!$B$3:$B$120</xm:f>
          </x14:formula1>
          <xm:sqref>D10:H11</xm:sqref>
        </x14:dataValidation>
      </x14:dataValidations>
    </ext>
  </extLst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BB212-2E07-49ED-B3B8-F58BD432E9C4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272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 ht="30.6" customHeight="1">
      <c r="A15" s="559" t="s">
        <v>287</v>
      </c>
      <c r="B15" s="560"/>
      <c r="C15" s="560"/>
      <c r="D15" s="561"/>
      <c r="E15" s="60" t="str">
        <f>IF($A15=0,0,VLOOKUP($A15,INS!$A$2:$E$137,2,FALSE))</f>
        <v>UND</v>
      </c>
      <c r="F15" s="120">
        <v>1</v>
      </c>
      <c r="G15" s="60">
        <f>IF($A15=0,0,VLOOKUP($A15,INS!$A$2:$G$137,6,FALSE))</f>
        <v>34500</v>
      </c>
      <c r="H15" s="25">
        <f>+F15*G15</f>
        <v>34500</v>
      </c>
    </row>
    <row r="16" spans="1:8">
      <c r="A16" s="553" t="s">
        <v>57</v>
      </c>
      <c r="B16" s="554"/>
      <c r="C16" s="554"/>
      <c r="D16" s="555"/>
      <c r="E16" s="60" t="str">
        <f>IF($A16=0,0,VLOOKUP($A16,INS!$A$2:$E$137,2,FALSE))</f>
        <v>BLT</v>
      </c>
      <c r="F16" s="120">
        <v>0.1</v>
      </c>
      <c r="G16" s="60">
        <f>IF($A16=0,0,VLOOKUP($A16,INS!$A$2:$G$137,6,FALSE))</f>
        <v>37000</v>
      </c>
      <c r="H16" s="25">
        <f>+F16*G16</f>
        <v>3700</v>
      </c>
    </row>
    <row r="17" spans="1:8" ht="17.399999999999999" customHeight="1">
      <c r="A17" s="559" t="s">
        <v>53</v>
      </c>
      <c r="B17" s="560"/>
      <c r="C17" s="560"/>
      <c r="D17" s="561"/>
      <c r="E17" s="60" t="str">
        <f>IF($A17=0,0,VLOOKUP($A17,INS!$A$2:$E$137,2,FALSE))</f>
        <v>M3</v>
      </c>
      <c r="F17" s="120">
        <v>0.01</v>
      </c>
      <c r="G17" s="60">
        <f>IF($A17=0,0,VLOOKUP($A17,INS!$A$2:$G$137,6,FALSE))</f>
        <v>90000</v>
      </c>
      <c r="H17" s="25">
        <f>+F17*G17</f>
        <v>900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>+F18*G18</f>
        <v>0</v>
      </c>
    </row>
    <row r="19" spans="1:8">
      <c r="A19" s="553"/>
      <c r="B19" s="554"/>
      <c r="C19" s="554"/>
      <c r="D19" s="555"/>
      <c r="E19" s="27"/>
      <c r="F19" s="28"/>
      <c r="G19" s="29"/>
      <c r="H19" s="25"/>
    </row>
    <row r="20" spans="1:8">
      <c r="A20" s="553"/>
      <c r="B20" s="554"/>
      <c r="C20" s="554"/>
      <c r="D20" s="555"/>
      <c r="E20" s="27"/>
      <c r="F20" s="28"/>
      <c r="G20" s="29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27562.5</v>
      </c>
      <c r="H22" s="25">
        <f>F22*G22</f>
        <v>1378.125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40478.125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8">
      <c r="A28" s="566"/>
      <c r="B28" s="567"/>
      <c r="C28" s="567"/>
      <c r="D28" s="23"/>
      <c r="E28" s="19"/>
      <c r="F28" s="19"/>
      <c r="G28" s="35"/>
      <c r="H28" s="25"/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286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</v>
      </c>
      <c r="G35" s="123">
        <v>20</v>
      </c>
      <c r="H35" s="25">
        <f>+E35*F35*G35*D35</f>
        <v>3900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3900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0.7</v>
      </c>
      <c r="H43" s="49">
        <f>F43*G43</f>
        <v>17354.166666666668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0.7</v>
      </c>
      <c r="H44" s="49">
        <f t="shared" ref="H44:H45" si="0">F44*G44</f>
        <v>10208.333333333334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27562.5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71941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45:C45"/>
    <mergeCell ref="A48:G48"/>
    <mergeCell ref="A54:D54"/>
    <mergeCell ref="F54:H54"/>
    <mergeCell ref="A55:D55"/>
    <mergeCell ref="F55:H55"/>
    <mergeCell ref="A44:C44"/>
    <mergeCell ref="A27:C27"/>
    <mergeCell ref="A29:C29"/>
    <mergeCell ref="A33:H33"/>
    <mergeCell ref="A34:C34"/>
    <mergeCell ref="A35:C35"/>
    <mergeCell ref="A36:C36"/>
    <mergeCell ref="A37:C37"/>
    <mergeCell ref="A38:C38"/>
    <mergeCell ref="A41:H41"/>
    <mergeCell ref="A42:C42"/>
    <mergeCell ref="A43:C43"/>
    <mergeCell ref="A28:C28"/>
    <mergeCell ref="A26:C26"/>
    <mergeCell ref="A10:C11"/>
    <mergeCell ref="D10:H11"/>
    <mergeCell ref="A13:H13"/>
    <mergeCell ref="A14:D14"/>
    <mergeCell ref="A15:D15"/>
    <mergeCell ref="A16:D16"/>
    <mergeCell ref="A17:D17"/>
    <mergeCell ref="A18:D18"/>
    <mergeCell ref="A21:D21"/>
    <mergeCell ref="A22:D22"/>
    <mergeCell ref="A25:H25"/>
    <mergeCell ref="A19:D19"/>
    <mergeCell ref="A20:D20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8BC0CE4-77B8-4FD2-9C67-8AC3CF7961AA}">
          <x14:formula1>
            <xm:f>TRANS!$A$2:$A$20</xm:f>
          </x14:formula1>
          <xm:sqref>A35:C35</xm:sqref>
        </x14:dataValidation>
        <x14:dataValidation type="list" allowBlank="1" showInputMessage="1" showErrorMessage="1" xr:uid="{E4C9B770-07EE-4D44-8040-A424F0600CD6}">
          <x14:formula1>
            <xm:f>EQUI!$A$2:$A$38</xm:f>
          </x14:formula1>
          <xm:sqref>A27:C27</xm:sqref>
        </x14:dataValidation>
        <x14:dataValidation type="list" showInputMessage="1" showErrorMessage="1" xr:uid="{0C924EFB-86E2-4143-97E1-7145AD3A7DAA}">
          <x14:formula1>
            <xm:f>INS!$A$2:$A$137</xm:f>
          </x14:formula1>
          <xm:sqref>A15:D18</xm:sqref>
        </x14:dataValidation>
        <x14:dataValidation type="list" showInputMessage="1" showErrorMessage="1" xr:uid="{8765DB79-53B6-42F2-9596-C4FD7D0B022A}">
          <x14:formula1>
            <xm:f>LIST!$B$3:$B$120</xm:f>
          </x14:formula1>
          <xm:sqref>D10:H11</xm:sqref>
        </x14:dataValidation>
      </x14:dataValidations>
    </ext>
  </extLst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6A6C-D896-463A-BB81-43BC3076FB5A}">
  <sheetPr>
    <tabColor rgb="FF00206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402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 ht="30.6" customHeight="1">
      <c r="A15" s="559" t="s">
        <v>284</v>
      </c>
      <c r="B15" s="560"/>
      <c r="C15" s="560"/>
      <c r="D15" s="561"/>
      <c r="E15" s="60" t="str">
        <f>IF($A15=0,0,VLOOKUP($A15,INS!$A$2:$E$137,2,FALSE))</f>
        <v>UND</v>
      </c>
      <c r="F15" s="120">
        <v>12</v>
      </c>
      <c r="G15" s="60">
        <f>IF($A15=0,0,VLOOKUP($A15,INS!$A$2:$G$137,6,FALSE))</f>
        <v>6000</v>
      </c>
      <c r="H15" s="25">
        <f>+F15*G15</f>
        <v>72000</v>
      </c>
    </row>
    <row r="16" spans="1:8">
      <c r="A16" s="553" t="s">
        <v>57</v>
      </c>
      <c r="B16" s="554"/>
      <c r="C16" s="554"/>
      <c r="D16" s="555"/>
      <c r="E16" s="60" t="str">
        <f>IF($A16=0,0,VLOOKUP($A16,INS!$A$2:$E$137,2,FALSE))</f>
        <v>BLT</v>
      </c>
      <c r="F16" s="120">
        <v>0.16</v>
      </c>
      <c r="G16" s="60">
        <f>IF($A16=0,0,VLOOKUP($A16,INS!$A$2:$G$137,6,FALSE))</f>
        <v>37000</v>
      </c>
      <c r="H16" s="25">
        <f>+F16*G16</f>
        <v>5920</v>
      </c>
    </row>
    <row r="17" spans="1:8" ht="17.399999999999999" customHeight="1">
      <c r="A17" s="559" t="s">
        <v>53</v>
      </c>
      <c r="B17" s="560"/>
      <c r="C17" s="560"/>
      <c r="D17" s="561"/>
      <c r="E17" s="60" t="str">
        <f>IF($A17=0,0,VLOOKUP($A17,INS!$A$2:$E$137,2,FALSE))</f>
        <v>M3</v>
      </c>
      <c r="F17" s="120">
        <v>0.02</v>
      </c>
      <c r="G17" s="60">
        <f>IF($A17=0,0,VLOOKUP($A17,INS!$A$2:$G$137,6,FALSE))</f>
        <v>90000</v>
      </c>
      <c r="H17" s="25">
        <f>+F17*G17</f>
        <v>1800</v>
      </c>
    </row>
    <row r="18" spans="1:8">
      <c r="A18" s="553" t="s">
        <v>77</v>
      </c>
      <c r="B18" s="554"/>
      <c r="C18" s="554"/>
      <c r="D18" s="555"/>
      <c r="E18" s="149" t="str">
        <f>IF($A18=0,0,VLOOKUP($A18,INS!$A$2:$E$137,2,FALSE))</f>
        <v>KG</v>
      </c>
      <c r="F18" s="120">
        <v>1.1200000000000001</v>
      </c>
      <c r="G18" s="60">
        <f>IF($A18=0,0,VLOOKUP($A18,INS!$A$2:$G$137,6,FALSE))</f>
        <v>5500</v>
      </c>
      <c r="H18" s="25">
        <f>+F18*G18</f>
        <v>6160.0000000000009</v>
      </c>
    </row>
    <row r="19" spans="1:8">
      <c r="A19" s="553"/>
      <c r="B19" s="554"/>
      <c r="C19" s="554"/>
      <c r="D19" s="555"/>
      <c r="E19" s="27"/>
      <c r="F19" s="28"/>
      <c r="G19" s="29"/>
      <c r="H19" s="25"/>
    </row>
    <row r="20" spans="1:8">
      <c r="A20" s="553"/>
      <c r="B20" s="554"/>
      <c r="C20" s="554"/>
      <c r="D20" s="555"/>
      <c r="E20" s="27"/>
      <c r="F20" s="28"/>
      <c r="G20" s="29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43312.5</v>
      </c>
      <c r="H22" s="25">
        <f>F22*G22</f>
        <v>2165.625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88045.625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8">
      <c r="A28" s="566"/>
      <c r="B28" s="567"/>
      <c r="C28" s="567"/>
      <c r="D28" s="23"/>
      <c r="E28" s="19"/>
      <c r="F28" s="19"/>
      <c r="G28" s="35"/>
      <c r="H28" s="25"/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286</v>
      </c>
      <c r="B35" s="571"/>
      <c r="C35" s="571"/>
      <c r="D35" s="124">
        <f>IF($A$35=0,0,VLOOKUP($A$35,TRANS!$A$2:$F$38,5,FALSE))</f>
        <v>1</v>
      </c>
      <c r="E35" s="42">
        <f>IF($A$35=0,0,VLOOKUP($A$35,TRANS!$A$2:$D$39,3,FALSE))</f>
        <v>195</v>
      </c>
      <c r="F35" s="147">
        <f>+F15</f>
        <v>12</v>
      </c>
      <c r="G35" s="123">
        <f>IF($A$35=0,0,VLOOKUP($A$35,TRANS!$A$2:$D$38,4,FALSE))</f>
        <v>5</v>
      </c>
      <c r="H35" s="25">
        <f>+E35*F35*G35*D35</f>
        <v>11700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11700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3" s="49">
        <f>F43*G43</f>
        <v>27270.833333333336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4" s="49">
        <f t="shared" ref="H44:H45" si="0">F44*G44</f>
        <v>16041.666666666668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43312.5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143058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45:C45"/>
    <mergeCell ref="A48:G48"/>
    <mergeCell ref="A54:D54"/>
    <mergeCell ref="F54:H54"/>
    <mergeCell ref="A55:D55"/>
    <mergeCell ref="F55:H55"/>
    <mergeCell ref="A44:C44"/>
    <mergeCell ref="A27:C27"/>
    <mergeCell ref="A29:C29"/>
    <mergeCell ref="A33:H33"/>
    <mergeCell ref="A34:C34"/>
    <mergeCell ref="A35:C35"/>
    <mergeCell ref="A36:C36"/>
    <mergeCell ref="A37:C37"/>
    <mergeCell ref="A38:C38"/>
    <mergeCell ref="A41:H41"/>
    <mergeCell ref="A42:C42"/>
    <mergeCell ref="A43:C43"/>
    <mergeCell ref="A28:C28"/>
    <mergeCell ref="A26:C26"/>
    <mergeCell ref="A10:C11"/>
    <mergeCell ref="D10:H11"/>
    <mergeCell ref="A13:H13"/>
    <mergeCell ref="A14:D14"/>
    <mergeCell ref="A15:D15"/>
    <mergeCell ref="A16:D16"/>
    <mergeCell ref="A17:D17"/>
    <mergeCell ref="A18:D18"/>
    <mergeCell ref="A21:D21"/>
    <mergeCell ref="A22:D22"/>
    <mergeCell ref="A25:H25"/>
    <mergeCell ref="A19:D19"/>
    <mergeCell ref="A20:D20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64C7890-2A4E-4B35-8333-86B634FD6C78}">
          <x14:formula1>
            <xm:f>EQUI!$A$2:$A$38</xm:f>
          </x14:formula1>
          <xm:sqref>A27:C27</xm:sqref>
        </x14:dataValidation>
        <x14:dataValidation type="list" showInputMessage="1" showErrorMessage="1" xr:uid="{EF6ADFB9-04DA-4DF4-A60B-BC8499EE8EE6}">
          <x14:formula1>
            <xm:f>TRANS!$A$2:$A$20</xm:f>
          </x14:formula1>
          <xm:sqref>A35:C35</xm:sqref>
        </x14:dataValidation>
        <x14:dataValidation type="list" showInputMessage="1" showErrorMessage="1" xr:uid="{ACCF2C9F-F4AE-44E6-A4AE-953EA63EC4E9}">
          <x14:formula1>
            <xm:f>INS!$A$2:$A$137</xm:f>
          </x14:formula1>
          <xm:sqref>A15:D18</xm:sqref>
        </x14:dataValidation>
        <x14:dataValidation type="list" showInputMessage="1" showErrorMessage="1" xr:uid="{E2473DF4-FFEE-4AC3-AEB4-3ADA71F4A991}">
          <x14:formula1>
            <xm:f>LIST!$B$3:$B$120</xm:f>
          </x14:formula1>
          <xm:sqref>D10:H11</xm:sqref>
        </x14:dataValidation>
      </x14:dataValidations>
    </ext>
  </extLst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B8674-6FA7-4624-BEB3-7BC38A362A77}">
  <sheetPr>
    <tabColor rgb="FF002060"/>
  </sheetPr>
  <dimension ref="A1:M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13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3" ht="15" thickTop="1">
      <c r="A2" s="16"/>
      <c r="B2" s="17"/>
      <c r="C2" s="17"/>
      <c r="D2" s="17"/>
      <c r="E2" s="17"/>
      <c r="F2" s="17"/>
      <c r="G2" s="17"/>
      <c r="H2" s="18"/>
    </row>
    <row r="3" spans="1:13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3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3" ht="25.5" customHeight="1">
      <c r="A5" s="16"/>
      <c r="B5" s="17"/>
      <c r="C5" s="17"/>
      <c r="D5" s="17"/>
      <c r="E5" s="17"/>
      <c r="F5" s="17"/>
      <c r="G5" s="17"/>
      <c r="H5" s="18"/>
    </row>
    <row r="6" spans="1:13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3" ht="24.75" customHeight="1">
      <c r="A7" s="551"/>
      <c r="B7" s="552"/>
      <c r="C7" s="552"/>
      <c r="D7" s="552"/>
      <c r="E7" s="552"/>
      <c r="F7" s="552"/>
      <c r="G7" s="552"/>
      <c r="H7" s="552"/>
    </row>
    <row r="8" spans="1:13">
      <c r="A8" s="16"/>
      <c r="B8" s="17"/>
      <c r="C8" s="17"/>
      <c r="D8" s="17"/>
      <c r="E8" s="17"/>
      <c r="F8" s="17"/>
      <c r="G8" s="17"/>
      <c r="H8" s="18"/>
    </row>
    <row r="9" spans="1:13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13">
      <c r="A10" s="556" t="s">
        <v>4</v>
      </c>
      <c r="B10" s="556"/>
      <c r="C10" s="556"/>
      <c r="D10" s="557" t="s">
        <v>334</v>
      </c>
      <c r="E10" s="557"/>
      <c r="F10" s="557"/>
      <c r="G10" s="557"/>
      <c r="H10" s="557"/>
    </row>
    <row r="11" spans="1:13">
      <c r="A11" s="556"/>
      <c r="B11" s="556"/>
      <c r="C11" s="556"/>
      <c r="D11" s="557"/>
      <c r="E11" s="557"/>
      <c r="F11" s="557"/>
      <c r="G11" s="557"/>
      <c r="H11" s="557"/>
    </row>
    <row r="12" spans="1:13">
      <c r="A12" s="16"/>
      <c r="B12" s="17"/>
      <c r="C12" s="17"/>
      <c r="D12" s="17"/>
      <c r="E12" s="17"/>
      <c r="F12" s="17"/>
      <c r="G12" s="17"/>
      <c r="H12" s="18"/>
    </row>
    <row r="13" spans="1:13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3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3" ht="30.6" customHeight="1">
      <c r="A15" s="559" t="s">
        <v>278</v>
      </c>
      <c r="B15" s="560"/>
      <c r="C15" s="560"/>
      <c r="D15" s="561"/>
      <c r="E15" s="60" t="str">
        <f>IF($A15=0,0,VLOOKUP($A15,INS!$A$2:$E$137,2,FALSE))</f>
        <v>GLN</v>
      </c>
      <c r="F15" s="120">
        <v>0.06</v>
      </c>
      <c r="G15" s="60">
        <f>IF($A15=0,0,VLOOKUP($A15,INS!$A$2:$G$137,6,FALSE))</f>
        <v>133300</v>
      </c>
      <c r="H15" s="25">
        <f>+F15*G15</f>
        <v>7998</v>
      </c>
      <c r="J15">
        <f>0.3*0.6</f>
        <v>0.18</v>
      </c>
      <c r="K15">
        <f>0.3*0.4*2</f>
        <v>0.24</v>
      </c>
      <c r="L15">
        <f>0.6*0.4*2</f>
        <v>0.48</v>
      </c>
      <c r="M15">
        <f>+J15+K15+L15</f>
        <v>0.89999999999999991</v>
      </c>
    </row>
    <row r="16" spans="1:13">
      <c r="A16" s="553" t="s">
        <v>279</v>
      </c>
      <c r="B16" s="554"/>
      <c r="C16" s="554"/>
      <c r="D16" s="555"/>
      <c r="E16" s="60" t="str">
        <f>IF($A16=0,0,VLOOKUP($A16,INS!$A$2:$E$137,2,FALSE))</f>
        <v>UND</v>
      </c>
      <c r="F16" s="120">
        <v>0.1</v>
      </c>
      <c r="G16" s="60">
        <f>IF($A16=0,0,VLOOKUP($A16,INS!$A$2:$G$137,6,FALSE))</f>
        <v>15450</v>
      </c>
      <c r="H16" s="25">
        <f>+F16*G16</f>
        <v>1545</v>
      </c>
      <c r="J16">
        <f>2*PI()*0.25</f>
        <v>1.5707963267948966</v>
      </c>
      <c r="K16">
        <f>+J16*0.6</f>
        <v>0.94247779607693793</v>
      </c>
    </row>
    <row r="17" spans="1:12" ht="26.4" customHeight="1">
      <c r="A17" s="559" t="s">
        <v>280</v>
      </c>
      <c r="B17" s="560"/>
      <c r="C17" s="560"/>
      <c r="D17" s="561"/>
      <c r="E17" s="60" t="str">
        <f>IF($A17=0,0,VLOOKUP($A17,INS!$A$2:$E$137,2,FALSE))</f>
        <v>CANECA</v>
      </c>
      <c r="F17" s="120">
        <v>0.12</v>
      </c>
      <c r="G17" s="60">
        <f>IF($A17=0,0,VLOOKUP($A17,INS!$A$2:$G$137,6,FALSE))</f>
        <v>259900</v>
      </c>
      <c r="H17" s="25">
        <f>+F17*G17</f>
        <v>31188</v>
      </c>
      <c r="K17">
        <f>+J15+K16</f>
        <v>1.1224777960769379</v>
      </c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>+F18*G18</f>
        <v>0</v>
      </c>
      <c r="K18">
        <v>0.9</v>
      </c>
      <c r="L18">
        <f>+K18/K19</f>
        <v>4.4999999999999998E-2</v>
      </c>
    </row>
    <row r="19" spans="1:12">
      <c r="A19" s="553"/>
      <c r="B19" s="554"/>
      <c r="C19" s="554"/>
      <c r="D19" s="555"/>
      <c r="E19" s="27"/>
      <c r="F19" s="28"/>
      <c r="G19" s="29"/>
      <c r="H19" s="25"/>
      <c r="K19">
        <v>20</v>
      </c>
      <c r="L19">
        <v>1</v>
      </c>
    </row>
    <row r="20" spans="1:12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>+F20*G20</f>
        <v>0</v>
      </c>
      <c r="K20">
        <v>0.9</v>
      </c>
      <c r="L20">
        <f>+K20/K21</f>
        <v>4.4999999999999998E-2</v>
      </c>
    </row>
    <row r="21" spans="1:12">
      <c r="A21" s="553"/>
      <c r="B21" s="554"/>
      <c r="C21" s="554"/>
      <c r="D21" s="555"/>
      <c r="E21" s="27"/>
      <c r="F21" s="28"/>
      <c r="G21" s="29"/>
      <c r="H21" s="25"/>
      <c r="K21">
        <v>20</v>
      </c>
      <c r="L21">
        <v>1</v>
      </c>
    </row>
    <row r="22" spans="1:12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64750</v>
      </c>
      <c r="H22" s="25">
        <f>F22*G22</f>
        <v>3237.5</v>
      </c>
    </row>
    <row r="23" spans="1:12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43968.5</v>
      </c>
    </row>
    <row r="24" spans="1:12">
      <c r="A24" s="16"/>
      <c r="B24" s="17"/>
      <c r="C24" s="17"/>
      <c r="D24" s="17"/>
      <c r="E24" s="17"/>
      <c r="F24" s="17"/>
      <c r="G24" s="17"/>
      <c r="H24" s="18"/>
    </row>
    <row r="25" spans="1:12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12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12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12">
      <c r="A28" s="317"/>
      <c r="B28" s="318"/>
      <c r="C28" s="318"/>
      <c r="D28" s="61"/>
      <c r="E28" s="19"/>
      <c r="F28" s="60"/>
      <c r="G28" s="120"/>
      <c r="H28" s="25"/>
    </row>
    <row r="29" spans="1:12">
      <c r="A29" s="566"/>
      <c r="B29" s="567"/>
      <c r="C29" s="567"/>
      <c r="D29" s="23"/>
      <c r="E29" s="19"/>
      <c r="F29" s="19"/>
      <c r="G29" s="35"/>
      <c r="H29" s="25"/>
    </row>
    <row r="30" spans="1:12">
      <c r="D30" s="36"/>
      <c r="E30" s="36"/>
      <c r="F30" s="36"/>
      <c r="G30" s="36"/>
      <c r="H30" s="37"/>
    </row>
    <row r="31" spans="1:12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12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IF($A$35=0,0,VLOOKUP($A$35,TRANS!$A$2:$D$39,3,FALSE))</f>
        <v>0</v>
      </c>
      <c r="F35" s="147">
        <f>+F15</f>
        <v>0.06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3" s="49">
        <f>F43*G43</f>
        <v>29750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1.2</v>
      </c>
      <c r="H44" s="49">
        <f t="shared" ref="H44:H45" si="0">F44*G44</f>
        <v>35000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64750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108719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8">
    <mergeCell ref="A45:C45"/>
    <mergeCell ref="A48:G48"/>
    <mergeCell ref="A54:D54"/>
    <mergeCell ref="F54:H54"/>
    <mergeCell ref="A55:D55"/>
    <mergeCell ref="F55:H55"/>
    <mergeCell ref="A44:C44"/>
    <mergeCell ref="A27:C27"/>
    <mergeCell ref="A29:C29"/>
    <mergeCell ref="A33:H33"/>
    <mergeCell ref="A34:C34"/>
    <mergeCell ref="A35:C35"/>
    <mergeCell ref="A36:C36"/>
    <mergeCell ref="A37:C37"/>
    <mergeCell ref="A38:C38"/>
    <mergeCell ref="A41:H41"/>
    <mergeCell ref="A42:C42"/>
    <mergeCell ref="A43:C43"/>
    <mergeCell ref="A26:C26"/>
    <mergeCell ref="A10:C11"/>
    <mergeCell ref="D10:H11"/>
    <mergeCell ref="A13:H13"/>
    <mergeCell ref="A14:D14"/>
    <mergeCell ref="A15:D15"/>
    <mergeCell ref="A16:D16"/>
    <mergeCell ref="A17:D17"/>
    <mergeCell ref="A20:D20"/>
    <mergeCell ref="A21:D21"/>
    <mergeCell ref="A22:D22"/>
    <mergeCell ref="A25:H25"/>
    <mergeCell ref="A18:D18"/>
    <mergeCell ref="A19:D19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AE245AE-7FC2-45B4-8906-589171FA433A}">
          <x14:formula1>
            <xm:f>EQUI!$A$2:$A$38</xm:f>
          </x14:formula1>
          <xm:sqref>A27:C28</xm:sqref>
        </x14:dataValidation>
        <x14:dataValidation type="list" showInputMessage="1" showErrorMessage="1" xr:uid="{0F93C602-1CB0-4CEE-846A-19C4C9D0DCE0}">
          <x14:formula1>
            <xm:f>TRANS!$A$2:$A$20</xm:f>
          </x14:formula1>
          <xm:sqref>A35:C35</xm:sqref>
        </x14:dataValidation>
        <x14:dataValidation type="list" showInputMessage="1" showErrorMessage="1" xr:uid="{6778827E-E3E5-4D44-ACCC-16BAE923CD09}">
          <x14:formula1>
            <xm:f>INS!$A$2:$A$137</xm:f>
          </x14:formula1>
          <xm:sqref>A15:D18 A20:D20</xm:sqref>
        </x14:dataValidation>
        <x14:dataValidation type="list" showInputMessage="1" showErrorMessage="1" xr:uid="{808E0A47-7A4B-43F5-AE95-25102A870F6E}">
          <x14:formula1>
            <xm:f>LIST!$B$3:$B$120</xm:f>
          </x14:formula1>
          <xm:sqref>D10:H11</xm:sqref>
        </x14:dataValidation>
      </x14:dataValidations>
    </ext>
  </extLst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78A6-2E94-40D3-A14D-EE537F0054C3}">
  <sheetPr>
    <tabColor rgb="FF002060"/>
  </sheetPr>
  <dimension ref="A1:L53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11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11" ht="15" thickTop="1">
      <c r="A2" s="16"/>
      <c r="B2" s="17"/>
      <c r="C2" s="17"/>
      <c r="D2" s="17"/>
      <c r="E2" s="17"/>
      <c r="F2" s="17"/>
      <c r="G2" s="17"/>
      <c r="H2" s="18"/>
    </row>
    <row r="3" spans="1:11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11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11" ht="25.5" customHeight="1">
      <c r="A5" s="16"/>
      <c r="B5" s="17"/>
      <c r="C5" s="17"/>
      <c r="D5" s="17"/>
      <c r="E5" s="17"/>
      <c r="F5" s="17"/>
      <c r="G5" s="17"/>
      <c r="H5" s="18"/>
    </row>
    <row r="6" spans="1:11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11" ht="24.75" customHeight="1">
      <c r="A7" s="551"/>
      <c r="B7" s="552"/>
      <c r="C7" s="552"/>
      <c r="D7" s="552"/>
      <c r="E7" s="552"/>
      <c r="F7" s="552"/>
      <c r="G7" s="552"/>
      <c r="H7" s="552"/>
    </row>
    <row r="8" spans="1:11">
      <c r="A8" s="16"/>
      <c r="B8" s="17"/>
      <c r="C8" s="17"/>
      <c r="D8" s="17"/>
      <c r="E8" s="17"/>
      <c r="F8" s="17"/>
      <c r="G8" s="17"/>
      <c r="H8" s="18"/>
    </row>
    <row r="9" spans="1:11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11">
      <c r="A10" s="556" t="s">
        <v>4</v>
      </c>
      <c r="B10" s="556"/>
      <c r="C10" s="556"/>
      <c r="D10" s="557" t="s">
        <v>283</v>
      </c>
      <c r="E10" s="557"/>
      <c r="F10" s="557"/>
      <c r="G10" s="557"/>
      <c r="H10" s="557"/>
    </row>
    <row r="11" spans="1:11">
      <c r="A11" s="556"/>
      <c r="B11" s="556"/>
      <c r="C11" s="556"/>
      <c r="D11" s="557"/>
      <c r="E11" s="557"/>
      <c r="F11" s="557"/>
      <c r="G11" s="557"/>
      <c r="H11" s="557"/>
    </row>
    <row r="12" spans="1:11">
      <c r="A12" s="16"/>
      <c r="B12" s="17"/>
      <c r="C12" s="17"/>
      <c r="D12" s="17"/>
      <c r="E12" s="17"/>
      <c r="F12" s="17"/>
      <c r="G12" s="17"/>
      <c r="H12" s="18"/>
    </row>
    <row r="13" spans="1:11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11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11" ht="30.6" customHeight="1">
      <c r="A15" s="559" t="s">
        <v>278</v>
      </c>
      <c r="B15" s="560"/>
      <c r="C15" s="560"/>
      <c r="D15" s="561"/>
      <c r="E15" s="60" t="str">
        <f>IF($A15=0,0,VLOOKUP($A15,INS!$A$2:$E$137,2,FALSE))</f>
        <v>GLN</v>
      </c>
      <c r="F15" s="120">
        <v>0.05</v>
      </c>
      <c r="G15" s="60">
        <f>IF($A15=0,0,VLOOKUP($A15,INS!$A$2:$G$137,6,FALSE))</f>
        <v>133300</v>
      </c>
      <c r="H15" s="25">
        <f>+F15*G15</f>
        <v>6665</v>
      </c>
      <c r="J15">
        <f>+(PI()/4)*(0.5^2)</f>
        <v>0.19634954084936207</v>
      </c>
    </row>
    <row r="16" spans="1:11">
      <c r="A16" s="553" t="s">
        <v>279</v>
      </c>
      <c r="B16" s="554"/>
      <c r="C16" s="554"/>
      <c r="D16" s="555"/>
      <c r="E16" s="60" t="str">
        <f>IF($A16=0,0,VLOOKUP($A16,INS!$A$2:$E$137,2,FALSE))</f>
        <v>UND</v>
      </c>
      <c r="F16" s="120">
        <v>0.1</v>
      </c>
      <c r="G16" s="60">
        <f>IF($A16=0,0,VLOOKUP($A16,INS!$A$2:$G$137,6,FALSE))</f>
        <v>15450</v>
      </c>
      <c r="H16" s="25">
        <f>+F16*G16</f>
        <v>1545</v>
      </c>
      <c r="J16">
        <f>2*PI()*0.25</f>
        <v>1.5707963267948966</v>
      </c>
      <c r="K16">
        <f>+J16*0.6</f>
        <v>0.94247779607693793</v>
      </c>
    </row>
    <row r="17" spans="1:12" ht="26.4" customHeight="1">
      <c r="A17" s="559" t="s">
        <v>280</v>
      </c>
      <c r="B17" s="560"/>
      <c r="C17" s="560"/>
      <c r="D17" s="561"/>
      <c r="E17" s="60" t="str">
        <f>IF($A17=0,0,VLOOKUP($A17,INS!$A$2:$E$137,2,FALSE))</f>
        <v>CANECA</v>
      </c>
      <c r="F17" s="120">
        <v>0.1</v>
      </c>
      <c r="G17" s="60">
        <f>IF($A17=0,0,VLOOKUP($A17,INS!$A$2:$G$137,6,FALSE))</f>
        <v>259900</v>
      </c>
      <c r="H17" s="25">
        <f>+F17*G17</f>
        <v>25990</v>
      </c>
      <c r="K17">
        <f>+J15+K16</f>
        <v>1.1388273369263</v>
      </c>
    </row>
    <row r="18" spans="1:12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>+F18*G18</f>
        <v>0</v>
      </c>
      <c r="K18">
        <v>1.2</v>
      </c>
      <c r="L18">
        <f>+K18/K19</f>
        <v>0.19999999999999998</v>
      </c>
    </row>
    <row r="19" spans="1:12">
      <c r="A19" s="553"/>
      <c r="B19" s="554"/>
      <c r="C19" s="554"/>
      <c r="D19" s="555"/>
      <c r="E19" s="27"/>
      <c r="F19" s="28"/>
      <c r="G19" s="29"/>
      <c r="H19" s="25"/>
      <c r="K19">
        <v>6</v>
      </c>
      <c r="L19">
        <v>1</v>
      </c>
    </row>
    <row r="20" spans="1:12">
      <c r="A20" s="553" t="s">
        <v>31</v>
      </c>
      <c r="B20" s="554"/>
      <c r="C20" s="554"/>
      <c r="D20" s="555"/>
      <c r="E20" s="30" t="s">
        <v>32</v>
      </c>
      <c r="F20" s="31">
        <v>0.05</v>
      </c>
      <c r="G20" s="32">
        <f>H43</f>
        <v>64750</v>
      </c>
      <c r="H20" s="25">
        <f>F20*G20</f>
        <v>3237.5</v>
      </c>
    </row>
    <row r="21" spans="1:12">
      <c r="A21" s="16"/>
      <c r="B21" s="17"/>
      <c r="C21" s="17"/>
      <c r="D21" s="17"/>
      <c r="E21" s="17"/>
      <c r="F21" s="17"/>
      <c r="G21" s="33" t="s">
        <v>33</v>
      </c>
      <c r="H21" s="34">
        <f>SUM(H15:H20)</f>
        <v>37437.5</v>
      </c>
    </row>
    <row r="22" spans="1:12">
      <c r="A22" s="16"/>
      <c r="B22" s="17"/>
      <c r="C22" s="17"/>
      <c r="D22" s="17"/>
      <c r="E22" s="17"/>
      <c r="F22" s="17"/>
      <c r="G22" s="17"/>
      <c r="H22" s="18"/>
    </row>
    <row r="23" spans="1:12">
      <c r="A23" s="558" t="s">
        <v>34</v>
      </c>
      <c r="B23" s="558"/>
      <c r="C23" s="558"/>
      <c r="D23" s="558"/>
      <c r="E23" s="558"/>
      <c r="F23" s="558"/>
      <c r="G23" s="558"/>
      <c r="H23" s="558"/>
    </row>
    <row r="24" spans="1:12">
      <c r="A24" s="563" t="s">
        <v>4</v>
      </c>
      <c r="B24" s="564"/>
      <c r="C24" s="564"/>
      <c r="D24" s="20" t="s">
        <v>35</v>
      </c>
      <c r="E24" s="20" t="s">
        <v>5</v>
      </c>
      <c r="F24" s="20" t="s">
        <v>36</v>
      </c>
      <c r="G24" s="20" t="s">
        <v>37</v>
      </c>
      <c r="H24" s="22" t="s">
        <v>30</v>
      </c>
    </row>
    <row r="25" spans="1:12">
      <c r="A25" s="565"/>
      <c r="B25" s="565"/>
      <c r="C25" s="565"/>
      <c r="D25" s="61"/>
      <c r="E25" s="19"/>
      <c r="F25" s="60">
        <f>IF($A$25=0,0,VLOOKUP($A$25,EQUI!$A$2:$E$6,3,FALSE))</f>
        <v>0</v>
      </c>
      <c r="G25" s="120">
        <f>+IF($A$25=0,0,VLOOKUP($A$25,EQUI!$A$2:$E$6,5,FALSE))</f>
        <v>0</v>
      </c>
      <c r="H25" s="25">
        <f>F25*G25</f>
        <v>0</v>
      </c>
    </row>
    <row r="26" spans="1:12">
      <c r="A26" s="566"/>
      <c r="B26" s="567"/>
      <c r="C26" s="567"/>
      <c r="D26" s="23"/>
      <c r="E26" s="19"/>
      <c r="F26" s="19"/>
      <c r="G26" s="35"/>
      <c r="H26" s="25"/>
    </row>
    <row r="27" spans="1:12">
      <c r="D27" s="36"/>
      <c r="E27" s="36"/>
      <c r="F27" s="36"/>
      <c r="G27" s="36"/>
      <c r="H27" s="37"/>
    </row>
    <row r="28" spans="1:12">
      <c r="A28" s="16"/>
      <c r="B28" s="17"/>
      <c r="C28" s="17"/>
      <c r="D28" s="17"/>
      <c r="E28" s="17"/>
      <c r="F28" s="17"/>
      <c r="G28" s="38" t="s">
        <v>33</v>
      </c>
      <c r="H28" s="34">
        <f>SUM(H25:H27)</f>
        <v>0</v>
      </c>
    </row>
    <row r="29" spans="1:12">
      <c r="A29" s="16"/>
      <c r="B29" s="17"/>
      <c r="C29" s="17"/>
      <c r="D29" s="17"/>
      <c r="E29" s="17"/>
      <c r="F29" s="17"/>
      <c r="G29" s="39"/>
      <c r="H29" s="40"/>
    </row>
    <row r="30" spans="1:12">
      <c r="A30" s="568" t="s">
        <v>38</v>
      </c>
      <c r="B30" s="569"/>
      <c r="C30" s="569"/>
      <c r="D30" s="569"/>
      <c r="E30" s="569"/>
      <c r="F30" s="569"/>
      <c r="G30" s="569"/>
      <c r="H30" s="570"/>
    </row>
    <row r="31" spans="1:12">
      <c r="A31" s="563" t="s">
        <v>39</v>
      </c>
      <c r="B31" s="564"/>
      <c r="C31" s="564"/>
      <c r="D31" s="20" t="s">
        <v>262</v>
      </c>
      <c r="E31" s="20" t="s">
        <v>41</v>
      </c>
      <c r="F31" s="20" t="s">
        <v>42</v>
      </c>
      <c r="G31" s="20" t="s">
        <v>43</v>
      </c>
      <c r="H31" s="22" t="s">
        <v>30</v>
      </c>
    </row>
    <row r="32" spans="1:12" ht="27.6" customHeight="1">
      <c r="A32" s="571"/>
      <c r="B32" s="571"/>
      <c r="C32" s="571"/>
      <c r="D32" s="124">
        <f>IF($A$32=0,0,VLOOKUP($A$32,TRANS!$A$2:$F$38,5,FALSE))</f>
        <v>0</v>
      </c>
      <c r="E32" s="42">
        <f>IF($A$32=0,0,VLOOKUP($A$32,TRANS!$A$2:$D$39,3,FALSE))</f>
        <v>0</v>
      </c>
      <c r="F32" s="147">
        <f>+F15</f>
        <v>0.05</v>
      </c>
      <c r="G32" s="123">
        <f>IF($A$32=0,0,VLOOKUP($A$32,TRANS!$A$2:$D$38,4,FALSE))</f>
        <v>0</v>
      </c>
      <c r="H32" s="25">
        <f>+E32*F32*G32*D32</f>
        <v>0</v>
      </c>
    </row>
    <row r="33" spans="1:8">
      <c r="A33" s="572"/>
      <c r="B33" s="572"/>
      <c r="C33" s="572"/>
      <c r="D33" s="41"/>
      <c r="E33" s="19"/>
      <c r="F33" s="19"/>
      <c r="G33" s="43"/>
      <c r="H33" s="25"/>
    </row>
    <row r="34" spans="1:8">
      <c r="A34" s="566"/>
      <c r="B34" s="567"/>
      <c r="C34" s="567"/>
      <c r="D34" s="44"/>
      <c r="E34" s="19"/>
      <c r="F34" s="19"/>
      <c r="G34" s="45"/>
      <c r="H34" s="25"/>
    </row>
    <row r="35" spans="1:8">
      <c r="A35" s="566"/>
      <c r="B35" s="567"/>
      <c r="C35" s="567"/>
      <c r="D35" s="36"/>
      <c r="E35" s="36"/>
      <c r="F35" s="36"/>
      <c r="G35" s="36"/>
      <c r="H35" s="37"/>
    </row>
    <row r="36" spans="1:8">
      <c r="A36" s="16"/>
      <c r="B36" s="17"/>
      <c r="C36" s="17"/>
      <c r="D36" s="17"/>
      <c r="E36" s="17"/>
      <c r="F36" s="17"/>
      <c r="G36" s="46" t="s">
        <v>33</v>
      </c>
      <c r="H36" s="34">
        <f>SUM(H32:H35)</f>
        <v>0</v>
      </c>
    </row>
    <row r="37" spans="1:8">
      <c r="A37" s="16"/>
      <c r="B37" s="17"/>
      <c r="C37" s="17"/>
      <c r="D37" s="17"/>
      <c r="E37" s="17"/>
      <c r="F37" s="17"/>
      <c r="G37" s="39"/>
      <c r="H37" s="40"/>
    </row>
    <row r="38" spans="1:8">
      <c r="A38" s="558" t="s">
        <v>44</v>
      </c>
      <c r="B38" s="558"/>
      <c r="C38" s="558"/>
      <c r="D38" s="558"/>
      <c r="E38" s="558"/>
      <c r="F38" s="558"/>
      <c r="G38" s="562"/>
      <c r="H38" s="562"/>
    </row>
    <row r="39" spans="1:8" ht="27.6">
      <c r="A39" s="577" t="s">
        <v>4</v>
      </c>
      <c r="B39" s="578"/>
      <c r="C39" s="578"/>
      <c r="D39" s="47" t="s">
        <v>45</v>
      </c>
      <c r="E39" s="22" t="s">
        <v>20</v>
      </c>
      <c r="F39" s="22" t="s">
        <v>46</v>
      </c>
      <c r="G39" s="22" t="s">
        <v>47</v>
      </c>
      <c r="H39" s="22" t="s">
        <v>30</v>
      </c>
    </row>
    <row r="40" spans="1:8">
      <c r="A40" s="566" t="s">
        <v>48</v>
      </c>
      <c r="B40" s="567"/>
      <c r="C40" s="567"/>
      <c r="D40" s="48">
        <f>MO!F31/8</f>
        <v>24791.666666666668</v>
      </c>
      <c r="E40" s="19">
        <v>1</v>
      </c>
      <c r="F40" s="24">
        <f>D40*E40</f>
        <v>24791.666666666668</v>
      </c>
      <c r="G40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1.2</v>
      </c>
      <c r="H40" s="49">
        <f>F40*G40</f>
        <v>29750</v>
      </c>
    </row>
    <row r="41" spans="1:8">
      <c r="A41" s="566" t="s">
        <v>49</v>
      </c>
      <c r="B41" s="567"/>
      <c r="C41" s="567"/>
      <c r="D41" s="48">
        <f>MO!F14/8</f>
        <v>14583.333333333334</v>
      </c>
      <c r="E41" s="19">
        <v>2</v>
      </c>
      <c r="F41" s="24">
        <f>D41*E41</f>
        <v>29166.666666666668</v>
      </c>
      <c r="G41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1.2</v>
      </c>
      <c r="H41" s="49">
        <f t="shared" ref="H41:H42" si="0">F41*G41</f>
        <v>35000</v>
      </c>
    </row>
    <row r="42" spans="1:8">
      <c r="A42" s="566"/>
      <c r="B42" s="567"/>
      <c r="C42" s="567"/>
      <c r="D42" s="36"/>
      <c r="E42" s="36"/>
      <c r="F42" s="50"/>
      <c r="G42" s="36"/>
      <c r="H42" s="49">
        <f t="shared" si="0"/>
        <v>0</v>
      </c>
    </row>
    <row r="43" spans="1:8">
      <c r="A43" s="16"/>
      <c r="B43" s="17"/>
      <c r="C43" s="17"/>
      <c r="D43" s="17"/>
      <c r="E43" s="17"/>
      <c r="F43" s="17"/>
      <c r="G43" s="38" t="s">
        <v>33</v>
      </c>
      <c r="H43" s="49">
        <f>SUM(H40:H42)</f>
        <v>64750</v>
      </c>
    </row>
    <row r="44" spans="1:8">
      <c r="A44" s="16"/>
      <c r="B44" s="17"/>
      <c r="C44" s="17"/>
      <c r="D44" s="17"/>
      <c r="E44" s="17"/>
      <c r="F44" s="17"/>
      <c r="G44" s="17"/>
      <c r="H44" s="18"/>
    </row>
    <row r="45" spans="1:8">
      <c r="A45" s="545" t="s">
        <v>50</v>
      </c>
      <c r="B45" s="545"/>
      <c r="C45" s="545"/>
      <c r="D45" s="545"/>
      <c r="E45" s="545"/>
      <c r="F45" s="545"/>
      <c r="G45" s="545"/>
      <c r="H45" s="25">
        <f>ROUND(H21+H28+H36+H43,0)</f>
        <v>102188</v>
      </c>
    </row>
    <row r="46" spans="1:8">
      <c r="A46" s="51"/>
      <c r="B46" s="52"/>
      <c r="C46" s="52"/>
      <c r="D46" s="52"/>
      <c r="E46" s="52"/>
      <c r="F46" s="52"/>
      <c r="G46" s="52"/>
      <c r="H46" s="53"/>
    </row>
    <row r="47" spans="1:8">
      <c r="A47" s="51"/>
      <c r="B47" s="52"/>
      <c r="C47" s="52"/>
      <c r="D47" s="52"/>
      <c r="E47" s="52"/>
      <c r="F47" s="52"/>
      <c r="G47" s="52"/>
      <c r="H47" s="53"/>
    </row>
    <row r="48" spans="1:8">
      <c r="A48" s="51"/>
      <c r="B48" s="52"/>
      <c r="C48" s="52"/>
      <c r="D48" s="52"/>
      <c r="E48" s="52"/>
      <c r="F48" s="52"/>
      <c r="G48" s="52"/>
      <c r="H48" s="53"/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4"/>
      <c r="B50" s="55"/>
      <c r="C50" s="55"/>
      <c r="D50" s="55"/>
      <c r="E50" s="55"/>
      <c r="F50" s="55"/>
      <c r="G50" s="55"/>
      <c r="H50" s="56"/>
    </row>
    <row r="51" spans="1:8">
      <c r="A51" s="579" t="s">
        <v>248</v>
      </c>
      <c r="B51" s="580"/>
      <c r="C51" s="580"/>
      <c r="D51" s="580"/>
      <c r="E51" s="55"/>
      <c r="F51" s="580" t="s">
        <v>264</v>
      </c>
      <c r="G51" s="580"/>
      <c r="H51" s="581"/>
    </row>
    <row r="52" spans="1:8">
      <c r="A52" s="573" t="s">
        <v>247</v>
      </c>
      <c r="B52" s="574"/>
      <c r="C52" s="574"/>
      <c r="D52" s="574"/>
      <c r="E52" s="55"/>
      <c r="F52" s="575" t="s">
        <v>51</v>
      </c>
      <c r="G52" s="575"/>
      <c r="H52" s="576"/>
    </row>
    <row r="53" spans="1:8">
      <c r="A53" s="57"/>
      <c r="B53" s="58"/>
      <c r="C53" s="58"/>
      <c r="D53" s="58"/>
      <c r="E53" s="58"/>
      <c r="F53" s="58"/>
      <c r="G53" s="58"/>
      <c r="H53" s="59"/>
    </row>
  </sheetData>
  <mergeCells count="36">
    <mergeCell ref="A42:C42"/>
    <mergeCell ref="A45:G45"/>
    <mergeCell ref="A51:D51"/>
    <mergeCell ref="F51:H51"/>
    <mergeCell ref="A52:D52"/>
    <mergeCell ref="F52:H52"/>
    <mergeCell ref="A41:C41"/>
    <mergeCell ref="A25:C25"/>
    <mergeCell ref="A26:C26"/>
    <mergeCell ref="A30:H30"/>
    <mergeCell ref="A31:C31"/>
    <mergeCell ref="A32:C32"/>
    <mergeCell ref="A33:C33"/>
    <mergeCell ref="A34:C34"/>
    <mergeCell ref="A35:C35"/>
    <mergeCell ref="A38:H38"/>
    <mergeCell ref="A39:C39"/>
    <mergeCell ref="A40:C40"/>
    <mergeCell ref="A24:C24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3:H23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89416FA-6B24-4A6E-9CC0-BFAA290345DA}">
          <x14:formula1>
            <xm:f>TRANS!$A$2:$A$20</xm:f>
          </x14:formula1>
          <xm:sqref>A32:C32</xm:sqref>
        </x14:dataValidation>
        <x14:dataValidation type="list" allowBlank="1" showInputMessage="1" showErrorMessage="1" xr:uid="{5EA8C902-50C3-4D59-BD5E-3F23C3952088}">
          <x14:formula1>
            <xm:f>EQUI!$A$2:$A$38</xm:f>
          </x14:formula1>
          <xm:sqref>A25:C25</xm:sqref>
        </x14:dataValidation>
        <x14:dataValidation type="list" showInputMessage="1" showErrorMessage="1" xr:uid="{899ED576-D7B9-4631-8AF6-5B94D539CF56}">
          <x14:formula1>
            <xm:f>INS!$A$2:$A$137</xm:f>
          </x14:formula1>
          <xm:sqref>A15:D18</xm:sqref>
        </x14:dataValidation>
        <x14:dataValidation type="list" showInputMessage="1" showErrorMessage="1" xr:uid="{AC74D585-2AD0-4301-BDDC-5F390C13E66E}">
          <x14:formula1>
            <xm:f>LIST!$B$3:$B$120</xm:f>
          </x14:formula1>
          <xm:sqref>D10:H11</xm:sqref>
        </x14:dataValidation>
      </x14:dataValidations>
    </ext>
  </extLst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2A54-D3F9-4696-8323-140E1DD7C496}">
  <sheetPr>
    <tabColor rgb="FF002060"/>
  </sheetPr>
  <dimension ref="A1:H53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271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 ht="30.6" customHeight="1">
      <c r="A15" s="559" t="s">
        <v>271</v>
      </c>
      <c r="B15" s="560"/>
      <c r="C15" s="560"/>
      <c r="D15" s="561"/>
      <c r="E15" s="60" t="str">
        <f>IF($A15=0,0,VLOOKUP($A15,INS!$A$2:$E$137,2,FALSE))</f>
        <v>UND</v>
      </c>
      <c r="F15" s="120">
        <v>25</v>
      </c>
      <c r="G15" s="60">
        <f>IF($A15=0,0,VLOOKUP($A15,INS!$A$2:$G$137,6,FALSE))</f>
        <v>4169</v>
      </c>
      <c r="H15" s="25">
        <f>+F15*G15</f>
        <v>104225</v>
      </c>
    </row>
    <row r="16" spans="1:8">
      <c r="A16" s="553" t="s">
        <v>53</v>
      </c>
      <c r="B16" s="554"/>
      <c r="C16" s="554"/>
      <c r="D16" s="555"/>
      <c r="E16" s="60" t="str">
        <f>IF($A16=0,0,VLOOKUP($A16,INS!$A$2:$E$137,2,FALSE))</f>
        <v>M3</v>
      </c>
      <c r="F16" s="120">
        <v>0.04</v>
      </c>
      <c r="G16" s="60">
        <f>IF($A16=0,0,VLOOKUP($A16,INS!$A$2:$G$137,6,FALSE))</f>
        <v>90000</v>
      </c>
      <c r="H16" s="25">
        <f>+F16*G16</f>
        <v>3600</v>
      </c>
    </row>
    <row r="17" spans="1:8">
      <c r="A17" s="553" t="s">
        <v>57</v>
      </c>
      <c r="B17" s="554"/>
      <c r="C17" s="554"/>
      <c r="D17" s="555"/>
      <c r="E17" s="60" t="str">
        <f>IF($A17=0,0,VLOOKUP($A17,INS!$A$2:$E$137,2,FALSE))</f>
        <v>BLT</v>
      </c>
      <c r="F17" s="120">
        <v>0.28000000000000003</v>
      </c>
      <c r="G17" s="60">
        <f>IF($A17=0,0,VLOOKUP($A17,INS!$A$2:$G$137,6,FALSE))</f>
        <v>37000</v>
      </c>
      <c r="H17" s="25">
        <f>+F17*G17</f>
        <v>10360.000000000002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>+F18*G18</f>
        <v>0</v>
      </c>
    </row>
    <row r="19" spans="1:8">
      <c r="A19" s="553"/>
      <c r="B19" s="554"/>
      <c r="C19" s="554"/>
      <c r="D19" s="555"/>
      <c r="E19" s="27"/>
      <c r="F19" s="28"/>
      <c r="G19" s="29"/>
      <c r="H19" s="25"/>
    </row>
    <row r="20" spans="1:8">
      <c r="A20" s="553" t="s">
        <v>31</v>
      </c>
      <c r="B20" s="554"/>
      <c r="C20" s="554"/>
      <c r="D20" s="555"/>
      <c r="E20" s="30" t="s">
        <v>32</v>
      </c>
      <c r="F20" s="31">
        <v>0.05</v>
      </c>
      <c r="G20" s="32">
        <f>H43</f>
        <v>53958.333333333336</v>
      </c>
      <c r="H20" s="25">
        <f>F20*G20</f>
        <v>2697.916666666667</v>
      </c>
    </row>
    <row r="21" spans="1:8">
      <c r="A21" s="16"/>
      <c r="B21" s="17"/>
      <c r="C21" s="17"/>
      <c r="D21" s="17"/>
      <c r="E21" s="17"/>
      <c r="F21" s="17"/>
      <c r="G21" s="33" t="s">
        <v>33</v>
      </c>
      <c r="H21" s="34">
        <f>SUM(H15:H20)</f>
        <v>120882.91666666667</v>
      </c>
    </row>
    <row r="22" spans="1:8">
      <c r="A22" s="16"/>
      <c r="B22" s="17"/>
      <c r="C22" s="17"/>
      <c r="D22" s="17"/>
      <c r="E22" s="17"/>
      <c r="F22" s="17"/>
      <c r="G22" s="17"/>
      <c r="H22" s="18"/>
    </row>
    <row r="23" spans="1:8">
      <c r="A23" s="558" t="s">
        <v>34</v>
      </c>
      <c r="B23" s="558"/>
      <c r="C23" s="558"/>
      <c r="D23" s="558"/>
      <c r="E23" s="558"/>
      <c r="F23" s="558"/>
      <c r="G23" s="558"/>
      <c r="H23" s="558"/>
    </row>
    <row r="24" spans="1:8">
      <c r="A24" s="563" t="s">
        <v>4</v>
      </c>
      <c r="B24" s="564"/>
      <c r="C24" s="564"/>
      <c r="D24" s="20" t="s">
        <v>35</v>
      </c>
      <c r="E24" s="20" t="s">
        <v>5</v>
      </c>
      <c r="F24" s="20" t="s">
        <v>36</v>
      </c>
      <c r="G24" s="20" t="s">
        <v>37</v>
      </c>
      <c r="H24" s="22" t="s">
        <v>30</v>
      </c>
    </row>
    <row r="25" spans="1:8">
      <c r="A25" s="565"/>
      <c r="B25" s="565"/>
      <c r="C25" s="565"/>
      <c r="D25" s="61"/>
      <c r="E25" s="19"/>
      <c r="F25" s="60">
        <f>IF($A$25=0,0,VLOOKUP($A$25,EQUI!$A$2:$E$6,3,FALSE))</f>
        <v>0</v>
      </c>
      <c r="G25" s="120">
        <f>+IF($A$25=0,0,VLOOKUP($A$25,EQUI!$A$2:$E$6,5,FALSE))</f>
        <v>0</v>
      </c>
      <c r="H25" s="25">
        <f>F25*G25</f>
        <v>0</v>
      </c>
    </row>
    <row r="26" spans="1:8">
      <c r="A26" s="566"/>
      <c r="B26" s="567"/>
      <c r="C26" s="567"/>
      <c r="D26" s="23"/>
      <c r="E26" s="19"/>
      <c r="F26" s="19"/>
      <c r="G26" s="35"/>
      <c r="H26" s="25"/>
    </row>
    <row r="27" spans="1:8">
      <c r="D27" s="36"/>
      <c r="E27" s="36"/>
      <c r="F27" s="36"/>
      <c r="G27" s="36"/>
      <c r="H27" s="37"/>
    </row>
    <row r="28" spans="1:8">
      <c r="A28" s="16"/>
      <c r="B28" s="17"/>
      <c r="C28" s="17"/>
      <c r="D28" s="17"/>
      <c r="E28" s="17"/>
      <c r="F28" s="17"/>
      <c r="G28" s="38" t="s">
        <v>33</v>
      </c>
      <c r="H28" s="34">
        <f>SUM(H25:H27)</f>
        <v>0</v>
      </c>
    </row>
    <row r="29" spans="1:8">
      <c r="A29" s="16"/>
      <c r="B29" s="17"/>
      <c r="C29" s="17"/>
      <c r="D29" s="17"/>
      <c r="E29" s="17"/>
      <c r="F29" s="17"/>
      <c r="G29" s="39"/>
      <c r="H29" s="40"/>
    </row>
    <row r="30" spans="1:8">
      <c r="A30" s="568" t="s">
        <v>38</v>
      </c>
      <c r="B30" s="569"/>
      <c r="C30" s="569"/>
      <c r="D30" s="569"/>
      <c r="E30" s="569"/>
      <c r="F30" s="569"/>
      <c r="G30" s="569"/>
      <c r="H30" s="570"/>
    </row>
    <row r="31" spans="1:8">
      <c r="A31" s="563" t="s">
        <v>39</v>
      </c>
      <c r="B31" s="564"/>
      <c r="C31" s="564"/>
      <c r="D31" s="20" t="s">
        <v>262</v>
      </c>
      <c r="E31" s="20" t="s">
        <v>41</v>
      </c>
      <c r="F31" s="20" t="s">
        <v>42</v>
      </c>
      <c r="G31" s="20" t="s">
        <v>43</v>
      </c>
      <c r="H31" s="22" t="s">
        <v>30</v>
      </c>
    </row>
    <row r="32" spans="1:8" ht="27.6" customHeight="1">
      <c r="A32" s="571" t="s">
        <v>276</v>
      </c>
      <c r="B32" s="571"/>
      <c r="C32" s="571"/>
      <c r="D32" s="124">
        <f>IF($A$32=0,0,VLOOKUP($A$32,TRANS!$A$2:$F$38,5,FALSE))</f>
        <v>1</v>
      </c>
      <c r="E32" s="42">
        <f>IF($A$32=0,0,VLOOKUP($A$32,TRANS!$A$2:$D$39,3,FALSE))</f>
        <v>195</v>
      </c>
      <c r="F32" s="147">
        <f>+F15</f>
        <v>25</v>
      </c>
      <c r="G32" s="123">
        <f>IF($A$32=0,0,VLOOKUP($A$32,TRANS!$A$2:$D$38,4,FALSE))</f>
        <v>5</v>
      </c>
      <c r="H32" s="25">
        <f>+E32*F32*G32*D32</f>
        <v>24375</v>
      </c>
    </row>
    <row r="33" spans="1:8">
      <c r="A33" s="572"/>
      <c r="B33" s="572"/>
      <c r="C33" s="572"/>
      <c r="D33" s="41"/>
      <c r="E33" s="19"/>
      <c r="F33" s="19"/>
      <c r="G33" s="43"/>
      <c r="H33" s="25"/>
    </row>
    <row r="34" spans="1:8">
      <c r="A34" s="566"/>
      <c r="B34" s="567"/>
      <c r="C34" s="567"/>
      <c r="D34" s="44"/>
      <c r="E34" s="19"/>
      <c r="F34" s="19"/>
      <c r="G34" s="45"/>
      <c r="H34" s="25"/>
    </row>
    <row r="35" spans="1:8">
      <c r="A35" s="566"/>
      <c r="B35" s="567"/>
      <c r="C35" s="567"/>
      <c r="D35" s="36"/>
      <c r="E35" s="36"/>
      <c r="F35" s="36"/>
      <c r="G35" s="36"/>
      <c r="H35" s="37"/>
    </row>
    <row r="36" spans="1:8">
      <c r="A36" s="16"/>
      <c r="B36" s="17"/>
      <c r="C36" s="17"/>
      <c r="D36" s="17"/>
      <c r="E36" s="17"/>
      <c r="F36" s="17"/>
      <c r="G36" s="46" t="s">
        <v>33</v>
      </c>
      <c r="H36" s="34">
        <f>SUM(H32:H35)</f>
        <v>24375</v>
      </c>
    </row>
    <row r="37" spans="1:8">
      <c r="A37" s="16"/>
      <c r="B37" s="17"/>
      <c r="C37" s="17"/>
      <c r="D37" s="17"/>
      <c r="E37" s="17"/>
      <c r="F37" s="17"/>
      <c r="G37" s="39"/>
      <c r="H37" s="40"/>
    </row>
    <row r="38" spans="1:8">
      <c r="A38" s="558" t="s">
        <v>44</v>
      </c>
      <c r="B38" s="558"/>
      <c r="C38" s="558"/>
      <c r="D38" s="558"/>
      <c r="E38" s="558"/>
      <c r="F38" s="558"/>
      <c r="G38" s="562"/>
      <c r="H38" s="562"/>
    </row>
    <row r="39" spans="1:8" ht="27.6">
      <c r="A39" s="577" t="s">
        <v>4</v>
      </c>
      <c r="B39" s="578"/>
      <c r="C39" s="578"/>
      <c r="D39" s="47" t="s">
        <v>45</v>
      </c>
      <c r="E39" s="22" t="s">
        <v>20</v>
      </c>
      <c r="F39" s="22" t="s">
        <v>46</v>
      </c>
      <c r="G39" s="22" t="s">
        <v>47</v>
      </c>
      <c r="H39" s="22" t="s">
        <v>30</v>
      </c>
    </row>
    <row r="40" spans="1:8">
      <c r="A40" s="566" t="s">
        <v>48</v>
      </c>
      <c r="B40" s="567"/>
      <c r="C40" s="567"/>
      <c r="D40" s="48">
        <f>MO!F31/8</f>
        <v>24791.666666666668</v>
      </c>
      <c r="E40" s="19">
        <v>1</v>
      </c>
      <c r="F40" s="24">
        <f>D40*E40</f>
        <v>24791.666666666668</v>
      </c>
      <c r="G40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1</v>
      </c>
      <c r="H40" s="49">
        <f>F40*G40</f>
        <v>24791.666666666668</v>
      </c>
    </row>
    <row r="41" spans="1:8">
      <c r="A41" s="566" t="s">
        <v>49</v>
      </c>
      <c r="B41" s="567"/>
      <c r="C41" s="567"/>
      <c r="D41" s="48">
        <f>MO!F14/8</f>
        <v>14583.333333333334</v>
      </c>
      <c r="E41" s="19">
        <v>2</v>
      </c>
      <c r="F41" s="24">
        <f>D41*E41</f>
        <v>29166.666666666668</v>
      </c>
      <c r="G41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1</v>
      </c>
      <c r="H41" s="49">
        <f t="shared" ref="H41:H42" si="0">F41*G41</f>
        <v>29166.666666666668</v>
      </c>
    </row>
    <row r="42" spans="1:8">
      <c r="A42" s="566"/>
      <c r="B42" s="567"/>
      <c r="C42" s="567"/>
      <c r="D42" s="36"/>
      <c r="E42" s="36"/>
      <c r="F42" s="50"/>
      <c r="G42" s="36"/>
      <c r="H42" s="49">
        <f t="shared" si="0"/>
        <v>0</v>
      </c>
    </row>
    <row r="43" spans="1:8">
      <c r="A43" s="16"/>
      <c r="B43" s="17"/>
      <c r="C43" s="17"/>
      <c r="D43" s="17"/>
      <c r="E43" s="17"/>
      <c r="F43" s="17"/>
      <c r="G43" s="38" t="s">
        <v>33</v>
      </c>
      <c r="H43" s="49">
        <f>SUM(H40:H42)</f>
        <v>53958.333333333336</v>
      </c>
    </row>
    <row r="44" spans="1:8">
      <c r="A44" s="16"/>
      <c r="B44" s="17"/>
      <c r="C44" s="17"/>
      <c r="D44" s="17"/>
      <c r="E44" s="17"/>
      <c r="F44" s="17"/>
      <c r="G44" s="17"/>
      <c r="H44" s="18"/>
    </row>
    <row r="45" spans="1:8">
      <c r="A45" s="545" t="s">
        <v>50</v>
      </c>
      <c r="B45" s="545"/>
      <c r="C45" s="545"/>
      <c r="D45" s="545"/>
      <c r="E45" s="545"/>
      <c r="F45" s="545"/>
      <c r="G45" s="545"/>
      <c r="H45" s="25">
        <f>ROUND(H21+H28+H36+H43,0)</f>
        <v>199216</v>
      </c>
    </row>
    <row r="46" spans="1:8">
      <c r="A46" s="51"/>
      <c r="B46" s="52"/>
      <c r="C46" s="52"/>
      <c r="D46" s="52"/>
      <c r="E46" s="52"/>
      <c r="F46" s="52"/>
      <c r="G46" s="52"/>
      <c r="H46" s="53"/>
    </row>
    <row r="47" spans="1:8">
      <c r="A47" s="51"/>
      <c r="B47" s="52"/>
      <c r="C47" s="52"/>
      <c r="D47" s="52"/>
      <c r="E47" s="52"/>
      <c r="F47" s="52"/>
      <c r="G47" s="52"/>
      <c r="H47" s="53"/>
    </row>
    <row r="48" spans="1:8">
      <c r="A48" s="51"/>
      <c r="B48" s="52"/>
      <c r="C48" s="52"/>
      <c r="D48" s="52"/>
      <c r="E48" s="52"/>
      <c r="F48" s="52"/>
      <c r="G48" s="52"/>
      <c r="H48" s="53"/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4"/>
      <c r="B50" s="55"/>
      <c r="C50" s="55"/>
      <c r="D50" s="55"/>
      <c r="E50" s="55"/>
      <c r="F50" s="55"/>
      <c r="G50" s="55"/>
      <c r="H50" s="56"/>
    </row>
    <row r="51" spans="1:8">
      <c r="A51" s="579" t="s">
        <v>248</v>
      </c>
      <c r="B51" s="580"/>
      <c r="C51" s="580"/>
      <c r="D51" s="580"/>
      <c r="E51" s="55"/>
      <c r="F51" s="580" t="s">
        <v>264</v>
      </c>
      <c r="G51" s="580"/>
      <c r="H51" s="581"/>
    </row>
    <row r="52" spans="1:8">
      <c r="A52" s="573" t="s">
        <v>247</v>
      </c>
      <c r="B52" s="574"/>
      <c r="C52" s="574"/>
      <c r="D52" s="574"/>
      <c r="E52" s="55"/>
      <c r="F52" s="575" t="s">
        <v>51</v>
      </c>
      <c r="G52" s="575"/>
      <c r="H52" s="576"/>
    </row>
    <row r="53" spans="1:8">
      <c r="A53" s="57"/>
      <c r="B53" s="58"/>
      <c r="C53" s="58"/>
      <c r="D53" s="58"/>
      <c r="E53" s="58"/>
      <c r="F53" s="58"/>
      <c r="G53" s="58"/>
      <c r="H53" s="59"/>
    </row>
  </sheetData>
  <mergeCells count="36">
    <mergeCell ref="A42:C42"/>
    <mergeCell ref="A45:G45"/>
    <mergeCell ref="A51:D51"/>
    <mergeCell ref="F51:H51"/>
    <mergeCell ref="A52:D52"/>
    <mergeCell ref="F52:H52"/>
    <mergeCell ref="A41:C41"/>
    <mergeCell ref="A25:C25"/>
    <mergeCell ref="A26:C26"/>
    <mergeCell ref="A30:H30"/>
    <mergeCell ref="A31:C31"/>
    <mergeCell ref="A32:C32"/>
    <mergeCell ref="A33:C33"/>
    <mergeCell ref="A34:C34"/>
    <mergeCell ref="A35:C35"/>
    <mergeCell ref="A38:H38"/>
    <mergeCell ref="A39:C39"/>
    <mergeCell ref="A40:C40"/>
    <mergeCell ref="A24:C24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3:H23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85B2853-07C9-40D1-832C-A2AB5700A61F}">
          <x14:formula1>
            <xm:f>EQUI!$A$2:$A$38</xm:f>
          </x14:formula1>
          <xm:sqref>A25:C25</xm:sqref>
        </x14:dataValidation>
        <x14:dataValidation type="list" showInputMessage="1" showErrorMessage="1" xr:uid="{A368E0EB-21EF-4B68-953D-2137EC50D77B}">
          <x14:formula1>
            <xm:f>TRANS!$A$2:$A$20</xm:f>
          </x14:formula1>
          <xm:sqref>A32:C32</xm:sqref>
        </x14:dataValidation>
        <x14:dataValidation type="list" showInputMessage="1" showErrorMessage="1" xr:uid="{AB79359C-3A8A-41BA-96E0-DF6210A7BB77}">
          <x14:formula1>
            <xm:f>INS!$A$2:$A$137</xm:f>
          </x14:formula1>
          <xm:sqref>A15:D18</xm:sqref>
        </x14:dataValidation>
        <x14:dataValidation type="list" showInputMessage="1" showErrorMessage="1" xr:uid="{BFFFCBC2-F2E2-40A9-B2A7-6672D5825D2E}">
          <x14:formula1>
            <xm:f>LIST!$B$3:$B$120</xm:f>
          </x14:formula1>
          <xm:sqref>D10:H11</xm:sqref>
        </x14:dataValidation>
      </x14:dataValidations>
    </ext>
  </extLst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1D339-DE2A-47A9-BC38-AFE0580194AC}">
  <sheetPr>
    <tabColor rgb="FF002060"/>
  </sheetPr>
  <dimension ref="A1:H53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353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274</v>
      </c>
      <c r="B15" s="554"/>
      <c r="C15" s="554"/>
      <c r="D15" s="555"/>
      <c r="E15" s="60" t="str">
        <f>IF($A15=0,0,VLOOKUP($A15,INS!$A$2:$E$137,2,FALSE))</f>
        <v>UND</v>
      </c>
      <c r="F15" s="120">
        <v>50</v>
      </c>
      <c r="G15" s="60">
        <f>IF($A15=0,0,VLOOKUP($A15,INS!$A$2:$G$137,6,FALSE))</f>
        <v>1832</v>
      </c>
      <c r="H15" s="25">
        <f>+F15*G15</f>
        <v>91600</v>
      </c>
    </row>
    <row r="16" spans="1:8">
      <c r="A16" s="553" t="s">
        <v>53</v>
      </c>
      <c r="B16" s="554"/>
      <c r="C16" s="554"/>
      <c r="D16" s="555"/>
      <c r="E16" s="60" t="str">
        <f>IF($A16=0,0,VLOOKUP($A16,INS!$A$2:$E$137,2,FALSE))</f>
        <v>M3</v>
      </c>
      <c r="F16" s="120">
        <v>0.04</v>
      </c>
      <c r="G16" s="60">
        <f>IF($A16=0,0,VLOOKUP($A16,INS!$A$2:$G$137,6,FALSE))</f>
        <v>90000</v>
      </c>
      <c r="H16" s="25">
        <f>+F16*G16</f>
        <v>3600</v>
      </c>
    </row>
    <row r="17" spans="1:8">
      <c r="A17" s="553" t="s">
        <v>57</v>
      </c>
      <c r="B17" s="554"/>
      <c r="C17" s="554"/>
      <c r="D17" s="555"/>
      <c r="E17" s="60" t="str">
        <f>IF($A17=0,0,VLOOKUP($A17,INS!$A$2:$E$137,2,FALSE))</f>
        <v>BLT</v>
      </c>
      <c r="F17" s="120">
        <v>0.28000000000000003</v>
      </c>
      <c r="G17" s="60">
        <f>IF($A17=0,0,VLOOKUP($A17,INS!$A$2:$G$137,6,FALSE))</f>
        <v>37000</v>
      </c>
      <c r="H17" s="25">
        <f>+F17*G17</f>
        <v>10360.000000000002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>+F18*G18</f>
        <v>0</v>
      </c>
    </row>
    <row r="19" spans="1:8">
      <c r="A19" s="553"/>
      <c r="B19" s="554"/>
      <c r="C19" s="554"/>
      <c r="D19" s="555"/>
      <c r="E19" s="27"/>
      <c r="F19" s="28"/>
      <c r="G19" s="29"/>
      <c r="H19" s="25"/>
    </row>
    <row r="20" spans="1:8">
      <c r="A20" s="553" t="s">
        <v>31</v>
      </c>
      <c r="B20" s="554"/>
      <c r="C20" s="554"/>
      <c r="D20" s="555"/>
      <c r="E20" s="30" t="s">
        <v>32</v>
      </c>
      <c r="F20" s="31">
        <v>0.05</v>
      </c>
      <c r="G20" s="32">
        <f>H43</f>
        <v>53958.333333333336</v>
      </c>
      <c r="H20" s="25">
        <f>F20*G20</f>
        <v>2697.916666666667</v>
      </c>
    </row>
    <row r="21" spans="1:8">
      <c r="A21" s="16"/>
      <c r="B21" s="17"/>
      <c r="C21" s="17"/>
      <c r="D21" s="17"/>
      <c r="E21" s="17"/>
      <c r="F21" s="17"/>
      <c r="G21" s="33" t="s">
        <v>33</v>
      </c>
      <c r="H21" s="34">
        <f>SUM(H15:H20)</f>
        <v>108257.91666666667</v>
      </c>
    </row>
    <row r="22" spans="1:8">
      <c r="A22" s="16"/>
      <c r="B22" s="17"/>
      <c r="C22" s="17"/>
      <c r="D22" s="17"/>
      <c r="E22" s="17"/>
      <c r="F22" s="17"/>
      <c r="G22" s="17"/>
      <c r="H22" s="18"/>
    </row>
    <row r="23" spans="1:8">
      <c r="A23" s="558" t="s">
        <v>34</v>
      </c>
      <c r="B23" s="558"/>
      <c r="C23" s="558"/>
      <c r="D23" s="558"/>
      <c r="E23" s="558"/>
      <c r="F23" s="558"/>
      <c r="G23" s="558"/>
      <c r="H23" s="558"/>
    </row>
    <row r="24" spans="1:8">
      <c r="A24" s="563" t="s">
        <v>4</v>
      </c>
      <c r="B24" s="564"/>
      <c r="C24" s="564"/>
      <c r="D24" s="20" t="s">
        <v>35</v>
      </c>
      <c r="E24" s="20" t="s">
        <v>5</v>
      </c>
      <c r="F24" s="20" t="s">
        <v>36</v>
      </c>
      <c r="G24" s="20" t="s">
        <v>37</v>
      </c>
      <c r="H24" s="22" t="s">
        <v>30</v>
      </c>
    </row>
    <row r="25" spans="1:8">
      <c r="A25" s="565"/>
      <c r="B25" s="565"/>
      <c r="C25" s="565"/>
      <c r="D25" s="61"/>
      <c r="E25" s="19"/>
      <c r="F25" s="60">
        <f>IF($A$25=0,0,VLOOKUP($A$25,EQUI!$A$2:$E$6,3,FALSE))</f>
        <v>0</v>
      </c>
      <c r="G25" s="120">
        <f>+IF($A$25=0,0,VLOOKUP($A$25,EQUI!$A$2:$E$6,5,FALSE))</f>
        <v>0</v>
      </c>
      <c r="H25" s="25">
        <f>F25*G25</f>
        <v>0</v>
      </c>
    </row>
    <row r="26" spans="1:8">
      <c r="A26" s="566"/>
      <c r="B26" s="567"/>
      <c r="C26" s="567"/>
      <c r="D26" s="23"/>
      <c r="E26" s="19"/>
      <c r="F26" s="19"/>
      <c r="G26" s="35"/>
      <c r="H26" s="25"/>
    </row>
    <row r="27" spans="1:8">
      <c r="D27" s="36"/>
      <c r="E27" s="36"/>
      <c r="F27" s="36"/>
      <c r="G27" s="36"/>
      <c r="H27" s="37"/>
    </row>
    <row r="28" spans="1:8">
      <c r="A28" s="16"/>
      <c r="B28" s="17"/>
      <c r="C28" s="17"/>
      <c r="D28" s="17"/>
      <c r="E28" s="17"/>
      <c r="F28" s="17"/>
      <c r="G28" s="38" t="s">
        <v>33</v>
      </c>
      <c r="H28" s="34">
        <f>SUM(H25:H27)</f>
        <v>0</v>
      </c>
    </row>
    <row r="29" spans="1:8">
      <c r="A29" s="16"/>
      <c r="B29" s="17"/>
      <c r="C29" s="17"/>
      <c r="D29" s="17"/>
      <c r="E29" s="17"/>
      <c r="F29" s="17"/>
      <c r="G29" s="39"/>
      <c r="H29" s="40"/>
    </row>
    <row r="30" spans="1:8">
      <c r="A30" s="568" t="s">
        <v>38</v>
      </c>
      <c r="B30" s="569"/>
      <c r="C30" s="569"/>
      <c r="D30" s="569"/>
      <c r="E30" s="569"/>
      <c r="F30" s="569"/>
      <c r="G30" s="569"/>
      <c r="H30" s="570"/>
    </row>
    <row r="31" spans="1:8">
      <c r="A31" s="563" t="s">
        <v>39</v>
      </c>
      <c r="B31" s="564"/>
      <c r="C31" s="564"/>
      <c r="D31" s="20" t="s">
        <v>262</v>
      </c>
      <c r="E31" s="20" t="s">
        <v>41</v>
      </c>
      <c r="F31" s="20" t="s">
        <v>42</v>
      </c>
      <c r="G31" s="20" t="s">
        <v>43</v>
      </c>
      <c r="H31" s="22" t="s">
        <v>30</v>
      </c>
    </row>
    <row r="32" spans="1:8" ht="27.6" customHeight="1">
      <c r="A32" s="571" t="s">
        <v>276</v>
      </c>
      <c r="B32" s="571"/>
      <c r="C32" s="571"/>
      <c r="D32" s="124">
        <f>IF($A$32=0,0,VLOOKUP($A$32,TRANS!$A$2:$F$38,5,FALSE))</f>
        <v>1</v>
      </c>
      <c r="E32" s="42">
        <f>IF($A$32=0,0,VLOOKUP($A$32,TRANS!$A$2:$D$39,3,FALSE))</f>
        <v>195</v>
      </c>
      <c r="F32" s="147">
        <f>+F15</f>
        <v>50</v>
      </c>
      <c r="G32" s="123">
        <f>IF($A$32=0,0,VLOOKUP($A$32,TRANS!$A$2:$D$38,4,FALSE))</f>
        <v>5</v>
      </c>
      <c r="H32" s="25">
        <f>+E32*F32*G32*D32</f>
        <v>48750</v>
      </c>
    </row>
    <row r="33" spans="1:8">
      <c r="A33" s="572"/>
      <c r="B33" s="572"/>
      <c r="C33" s="572"/>
      <c r="D33" s="41"/>
      <c r="E33" s="19"/>
      <c r="F33" s="19"/>
      <c r="G33" s="43"/>
      <c r="H33" s="25"/>
    </row>
    <row r="34" spans="1:8">
      <c r="A34" s="566"/>
      <c r="B34" s="567"/>
      <c r="C34" s="567"/>
      <c r="D34" s="44"/>
      <c r="E34" s="19"/>
      <c r="F34" s="19"/>
      <c r="G34" s="45"/>
      <c r="H34" s="25"/>
    </row>
    <row r="35" spans="1:8">
      <c r="A35" s="566"/>
      <c r="B35" s="567"/>
      <c r="C35" s="567"/>
      <c r="D35" s="36"/>
      <c r="E35" s="36"/>
      <c r="F35" s="36"/>
      <c r="G35" s="36"/>
      <c r="H35" s="37"/>
    </row>
    <row r="36" spans="1:8">
      <c r="A36" s="16"/>
      <c r="B36" s="17"/>
      <c r="C36" s="17"/>
      <c r="D36" s="17"/>
      <c r="E36" s="17"/>
      <c r="F36" s="17"/>
      <c r="G36" s="46" t="s">
        <v>33</v>
      </c>
      <c r="H36" s="34">
        <f>SUM(H32:H35)</f>
        <v>48750</v>
      </c>
    </row>
    <row r="37" spans="1:8">
      <c r="A37" s="16"/>
      <c r="B37" s="17"/>
      <c r="C37" s="17"/>
      <c r="D37" s="17"/>
      <c r="E37" s="17"/>
      <c r="F37" s="17"/>
      <c r="G37" s="39"/>
      <c r="H37" s="40"/>
    </row>
    <row r="38" spans="1:8">
      <c r="A38" s="558" t="s">
        <v>44</v>
      </c>
      <c r="B38" s="558"/>
      <c r="C38" s="558"/>
      <c r="D38" s="558"/>
      <c r="E38" s="558"/>
      <c r="F38" s="558"/>
      <c r="G38" s="562"/>
      <c r="H38" s="562"/>
    </row>
    <row r="39" spans="1:8" ht="27.6">
      <c r="A39" s="577" t="s">
        <v>4</v>
      </c>
      <c r="B39" s="578"/>
      <c r="C39" s="578"/>
      <c r="D39" s="47" t="s">
        <v>45</v>
      </c>
      <c r="E39" s="22" t="s">
        <v>20</v>
      </c>
      <c r="F39" s="22" t="s">
        <v>46</v>
      </c>
      <c r="G39" s="22" t="s">
        <v>47</v>
      </c>
      <c r="H39" s="22" t="s">
        <v>30</v>
      </c>
    </row>
    <row r="40" spans="1:8">
      <c r="A40" s="566" t="s">
        <v>48</v>
      </c>
      <c r="B40" s="567"/>
      <c r="C40" s="567"/>
      <c r="D40" s="48">
        <f>MO!F31/8</f>
        <v>24791.666666666668</v>
      </c>
      <c r="E40" s="19">
        <v>1</v>
      </c>
      <c r="F40" s="24">
        <f>D40*E40</f>
        <v>24791.666666666668</v>
      </c>
      <c r="G40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1</v>
      </c>
      <c r="H40" s="49">
        <f>F40*G40</f>
        <v>24791.666666666668</v>
      </c>
    </row>
    <row r="41" spans="1:8">
      <c r="A41" s="566" t="s">
        <v>49</v>
      </c>
      <c r="B41" s="567"/>
      <c r="C41" s="567"/>
      <c r="D41" s="48">
        <f>MO!F14/8</f>
        <v>14583.333333333334</v>
      </c>
      <c r="E41" s="19">
        <v>2</v>
      </c>
      <c r="F41" s="24">
        <f>D41*E41</f>
        <v>29166.666666666668</v>
      </c>
      <c r="G41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1</v>
      </c>
      <c r="H41" s="49">
        <f t="shared" ref="H41:H42" si="0">F41*G41</f>
        <v>29166.666666666668</v>
      </c>
    </row>
    <row r="42" spans="1:8">
      <c r="A42" s="566"/>
      <c r="B42" s="567"/>
      <c r="C42" s="567"/>
      <c r="D42" s="36"/>
      <c r="E42" s="36"/>
      <c r="F42" s="50"/>
      <c r="G42" s="36"/>
      <c r="H42" s="49">
        <f t="shared" si="0"/>
        <v>0</v>
      </c>
    </row>
    <row r="43" spans="1:8">
      <c r="A43" s="16"/>
      <c r="B43" s="17"/>
      <c r="C43" s="17"/>
      <c r="D43" s="17"/>
      <c r="E43" s="17"/>
      <c r="F43" s="17"/>
      <c r="G43" s="38" t="s">
        <v>33</v>
      </c>
      <c r="H43" s="49">
        <f>SUM(H40:H42)</f>
        <v>53958.333333333336</v>
      </c>
    </row>
    <row r="44" spans="1:8">
      <c r="A44" s="16"/>
      <c r="B44" s="17"/>
      <c r="C44" s="17"/>
      <c r="D44" s="17"/>
      <c r="E44" s="17"/>
      <c r="F44" s="17"/>
      <c r="G44" s="17"/>
      <c r="H44" s="18"/>
    </row>
    <row r="45" spans="1:8">
      <c r="A45" s="545" t="s">
        <v>50</v>
      </c>
      <c r="B45" s="545"/>
      <c r="C45" s="545"/>
      <c r="D45" s="545"/>
      <c r="E45" s="545"/>
      <c r="F45" s="545"/>
      <c r="G45" s="545"/>
      <c r="H45" s="25">
        <f>ROUND(H21+H28+H36+H43,0)</f>
        <v>210966</v>
      </c>
    </row>
    <row r="46" spans="1:8">
      <c r="A46" s="51"/>
      <c r="B46" s="52"/>
      <c r="C46" s="52"/>
      <c r="D46" s="52"/>
      <c r="E46" s="52"/>
      <c r="F46" s="52"/>
      <c r="G46" s="52"/>
      <c r="H46" s="53"/>
    </row>
    <row r="47" spans="1:8">
      <c r="A47" s="51"/>
      <c r="B47" s="52"/>
      <c r="C47" s="52"/>
      <c r="D47" s="52"/>
      <c r="E47" s="52"/>
      <c r="F47" s="52"/>
      <c r="G47" s="52"/>
      <c r="H47" s="53"/>
    </row>
    <row r="48" spans="1:8">
      <c r="A48" s="51"/>
      <c r="B48" s="52"/>
      <c r="C48" s="52"/>
      <c r="D48" s="52"/>
      <c r="E48" s="52"/>
      <c r="F48" s="52"/>
      <c r="G48" s="52"/>
      <c r="H48" s="53"/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4"/>
      <c r="B50" s="55"/>
      <c r="C50" s="55"/>
      <c r="D50" s="55"/>
      <c r="E50" s="55"/>
      <c r="F50" s="55"/>
      <c r="G50" s="55"/>
      <c r="H50" s="56"/>
    </row>
    <row r="51" spans="1:8">
      <c r="A51" s="579" t="s">
        <v>248</v>
      </c>
      <c r="B51" s="580"/>
      <c r="C51" s="580"/>
      <c r="D51" s="580"/>
      <c r="E51" s="55"/>
      <c r="F51" s="580" t="s">
        <v>264</v>
      </c>
      <c r="G51" s="580"/>
      <c r="H51" s="581"/>
    </row>
    <row r="52" spans="1:8">
      <c r="A52" s="573" t="s">
        <v>247</v>
      </c>
      <c r="B52" s="574"/>
      <c r="C52" s="574"/>
      <c r="D52" s="574"/>
      <c r="E52" s="55"/>
      <c r="F52" s="575" t="s">
        <v>51</v>
      </c>
      <c r="G52" s="575"/>
      <c r="H52" s="576"/>
    </row>
    <row r="53" spans="1:8">
      <c r="A53" s="57"/>
      <c r="B53" s="58"/>
      <c r="C53" s="58"/>
      <c r="D53" s="58"/>
      <c r="E53" s="58"/>
      <c r="F53" s="58"/>
      <c r="G53" s="58"/>
      <c r="H53" s="59"/>
    </row>
  </sheetData>
  <mergeCells count="36">
    <mergeCell ref="A52:D52"/>
    <mergeCell ref="F52:H52"/>
    <mergeCell ref="A33:C33"/>
    <mergeCell ref="A34:C34"/>
    <mergeCell ref="A35:C35"/>
    <mergeCell ref="A38:H38"/>
    <mergeCell ref="A39:C39"/>
    <mergeCell ref="A40:C40"/>
    <mergeCell ref="A41:C41"/>
    <mergeCell ref="A42:C42"/>
    <mergeCell ref="A45:G45"/>
    <mergeCell ref="A51:D51"/>
    <mergeCell ref="F51:H51"/>
    <mergeCell ref="A25:C25"/>
    <mergeCell ref="A26:C26"/>
    <mergeCell ref="A30:H30"/>
    <mergeCell ref="A31:C31"/>
    <mergeCell ref="A32:C32"/>
    <mergeCell ref="A24:C24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3:H23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38CF5360-FCA3-4607-B213-268D87315C5E}">
          <x14:formula1>
            <xm:f>TRANS!$A$2:$A$20</xm:f>
          </x14:formula1>
          <xm:sqref>A32:C32</xm:sqref>
        </x14:dataValidation>
        <x14:dataValidation type="list" allowBlank="1" showInputMessage="1" showErrorMessage="1" xr:uid="{A79CC269-C053-4936-A517-D5BE11289A2E}">
          <x14:formula1>
            <xm:f>EQUI!$A$2:$A$38</xm:f>
          </x14:formula1>
          <xm:sqref>A25:C25</xm:sqref>
        </x14:dataValidation>
        <x14:dataValidation type="list" showInputMessage="1" showErrorMessage="1" xr:uid="{629FD3CE-0375-4F68-A81D-61A9F4F7A2FC}">
          <x14:formula1>
            <xm:f>INS!$A$2:$A$137</xm:f>
          </x14:formula1>
          <xm:sqref>A15:D18</xm:sqref>
        </x14:dataValidation>
        <x14:dataValidation type="list" showInputMessage="1" showErrorMessage="1" xr:uid="{1BBC82DD-ED9A-4906-8960-279CE4F12997}">
          <x14:formula1>
            <xm:f>LIST!$B$3:$B$120</xm:f>
          </x14:formula1>
          <xm:sqref>D10:H11</xm:sqref>
        </x14:dataValidation>
      </x14:dataValidations>
    </ext>
  </extLst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B4D0-EDC6-4131-9132-1BBFFFFD1912}">
  <sheetPr>
    <tabColor rgb="FF7030A0"/>
  </sheetPr>
  <dimension ref="A1:I61"/>
  <sheetViews>
    <sheetView topLeftCell="C35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>
        <f>+_xlfn.XLOOKUP(D10,PTO!$D$4:$D$39,PTO!$C$4:$C$39)</f>
        <v>1.05</v>
      </c>
      <c r="E9" s="20" t="s">
        <v>26</v>
      </c>
      <c r="F9" s="19" t="str">
        <f>+VLOOKUP($D$10,LIST!B3:C80,2,FALSE)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503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71</v>
      </c>
      <c r="B15" s="554"/>
      <c r="C15" s="554"/>
      <c r="D15" s="555"/>
      <c r="E15" s="60" t="str">
        <f>IF($A15=0,0,_xlfn.XLOOKUP($A15,INS[DESCRIPCIÓN],INS[UNIDAD]))</f>
        <v>M3</v>
      </c>
      <c r="F15" s="120">
        <v>1.3</v>
      </c>
      <c r="G15" s="60">
        <f>IF($A15=0,0,_xlfn.XLOOKUP($A15,INS[DESCRIPCIÓN],INS[PROMEDIO]))</f>
        <v>90000</v>
      </c>
      <c r="H15" s="25">
        <f>+F15*G15</f>
        <v>117000</v>
      </c>
    </row>
    <row r="16" spans="1:8">
      <c r="A16" s="553"/>
      <c r="B16" s="554"/>
      <c r="C16" s="554"/>
      <c r="D16" s="555"/>
      <c r="E16" s="60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10791.666666666668</v>
      </c>
      <c r="H22" s="25">
        <f>F22*G22</f>
        <v>539.58333333333337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117539.58333333333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504</v>
      </c>
      <c r="B27" s="565"/>
      <c r="C27" s="565"/>
      <c r="D27" s="61"/>
      <c r="E27" s="120" t="str">
        <f>+IF($A27=0,0,_xlfn.XLOOKUP($A27,EQUI[DESCRIPCIÓN],EQUI[UNIDAD]))</f>
        <v>DIA</v>
      </c>
      <c r="F27" s="120">
        <f>+IF($A27=0,0,_xlfn.XLOOKUP($A27,EQUI[DESCRIPCIÓN],EQUI[VALOR]))</f>
        <v>45000</v>
      </c>
      <c r="G27" s="120">
        <f>+IF($A27=0,0,_xlfn.XLOOKUP($A27,EQUI[DESCRIPCIÓN],EQUI[RENDIMIENTO]))</f>
        <v>0.15</v>
      </c>
      <c r="H27" s="25">
        <f>F27*G27</f>
        <v>6750</v>
      </c>
    </row>
    <row r="28" spans="1:8">
      <c r="A28" s="565"/>
      <c r="B28" s="565"/>
      <c r="C28" s="565"/>
      <c r="D28" s="61"/>
      <c r="E28" s="120">
        <f>+IF($A28=0,0,_xlfn.XLOOKUP($A28,EQUI[DESCRIPCIÓN],EQUI[UNIDAD]))</f>
        <v>0</v>
      </c>
      <c r="F28" s="120">
        <f>+IF($A28=0,0,_xlfn.XLOOKUP($A28,EQUI[DESCRIPCIÓN],EQUI[VALOR]))</f>
        <v>0</v>
      </c>
      <c r="G28" s="120">
        <f>+IF($A28=0,0,_xlfn.XLOOKUP($A28,EQUI[DESCRIPCIÓN],EQUI[RENDIMIENTO]))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6750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505</v>
      </c>
      <c r="B35" s="571"/>
      <c r="C35" s="571"/>
      <c r="D35" s="124">
        <f>IF($A$35=0,0,VLOOKUP($A$35,TRANS!$A$2:$F$38,5,FALSE))</f>
        <v>1.3</v>
      </c>
      <c r="E35" s="42">
        <f>IF($A$35=0,0,VLOOKUP($A$35,TRANS!$A$2:$D$38,3,FALSE))</f>
        <v>10</v>
      </c>
      <c r="F35" s="147">
        <v>1</v>
      </c>
      <c r="G35" s="123">
        <f>IF($A$35=0,0,VLOOKUP($A$35,TRANS!$A$2:$D$38,4,FALSE))</f>
        <v>1800</v>
      </c>
      <c r="H35" s="25">
        <f>+E35*F35*G35*D35</f>
        <v>23400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23400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</v>
      </c>
      <c r="H43" s="49">
        <f>F43*G43</f>
        <v>4958.3333333333339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</v>
      </c>
      <c r="H44" s="49">
        <f t="shared" ref="H44:H45" si="0">F44*G44</f>
        <v>5833.3333333333339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10791.666666666668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158481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41205.06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3169.62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6339.24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50713.919999999998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209194.92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5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9:D59"/>
    <mergeCell ref="F59:H59"/>
    <mergeCell ref="A60:D60"/>
    <mergeCell ref="F60:H60"/>
    <mergeCell ref="A41:H41"/>
    <mergeCell ref="A42:C42"/>
    <mergeCell ref="A43:C43"/>
    <mergeCell ref="A44:C44"/>
    <mergeCell ref="A45:C45"/>
    <mergeCell ref="A48:G48"/>
    <mergeCell ref="C49:F49"/>
    <mergeCell ref="C50:F50"/>
    <mergeCell ref="C51:F51"/>
    <mergeCell ref="C52:F52"/>
    <mergeCell ref="B53:G53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D1400BD-03EF-4976-8D0C-CE1A4D0AB8DA}">
          <x14:formula1>
            <xm:f>EQUI!$A$2:$A$38</xm:f>
          </x14:formula1>
          <xm:sqref>A27:C28</xm:sqref>
        </x14:dataValidation>
        <x14:dataValidation type="list" showInputMessage="1" showErrorMessage="1" xr:uid="{38B7C113-81FF-431B-A2D3-725CA8D55686}">
          <x14:formula1>
            <xm:f>TRANS!$A$2:$A$20</xm:f>
          </x14:formula1>
          <xm:sqref>A35:C35</xm:sqref>
        </x14:dataValidation>
        <x14:dataValidation type="list" showInputMessage="1" showErrorMessage="1" xr:uid="{9C2FD32E-3428-4973-B8D6-570F718E6318}">
          <x14:formula1>
            <xm:f>INS!$A$2:$A$137</xm:f>
          </x14:formula1>
          <xm:sqref>A15:D16</xm:sqref>
        </x14:dataValidation>
        <x14:dataValidation type="list" showInputMessage="1" showErrorMessage="1" xr:uid="{211F7CF2-9D28-4E06-B030-277C366DD193}">
          <x14:formula1>
            <xm:f>LIST!$B$3:$B$120</xm:f>
          </x14:formula1>
          <xm:sqref>D10:H11</xm:sqref>
        </x14:dataValidation>
      </x14:dataValidations>
    </ext>
  </extLst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B7034-2280-461F-BE9A-D33A886E6ECE}">
  <sheetPr>
    <tabColor rgb="FFFFFF00"/>
  </sheetPr>
  <dimension ref="A1:I61"/>
  <sheetViews>
    <sheetView topLeftCell="B35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6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>
        <f>+_xlfn.XLOOKUP(D10,PTO!$D$4:$D$15,PTO!$C$4:$C$15)</f>
        <v>1.04</v>
      </c>
      <c r="E9" s="20" t="s">
        <v>26</v>
      </c>
      <c r="F9" s="19" t="str">
        <f>+_xlfn.XLOOKUP($D$10,LIST[DESCRIPCIÓN],LIST[UNIDAD])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422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9"/>
      <c r="B15" s="560"/>
      <c r="C15" s="560"/>
      <c r="D15" s="561"/>
      <c r="E15" s="149">
        <f>IF($A15=0,0,VLOOKUP($A15,INS!$A$2:$E$137,2,FALSE))</f>
        <v>0</v>
      </c>
      <c r="F15" s="120"/>
      <c r="G15" s="60">
        <f>IF($A15=0,0,VLOOKUP($A15,INS!$A$2:$G$137,6,FALSE))</f>
        <v>0</v>
      </c>
      <c r="H15" s="25">
        <f t="shared" ref="H15:H20" si="0">+F15*G15</f>
        <v>0</v>
      </c>
    </row>
    <row r="16" spans="1:8">
      <c r="A16" s="553"/>
      <c r="B16" s="554"/>
      <c r="C16" s="554"/>
      <c r="D16" s="555"/>
      <c r="E16" s="149">
        <f>IF($A16=0,0,VLOOKUP($A16,INS!$A$2:$E$137,2,FALSE))</f>
        <v>0</v>
      </c>
      <c r="F16" s="120"/>
      <c r="G16" s="60">
        <f>IF($A16=0,0,VLOOKUP($A16,INS!$A$2:$G$137,6,FALSE))</f>
        <v>0</v>
      </c>
      <c r="H16" s="25">
        <f t="shared" si="0"/>
        <v>0</v>
      </c>
    </row>
    <row r="17" spans="1:8" ht="17.399999999999999" customHeight="1">
      <c r="A17" s="559"/>
      <c r="B17" s="560"/>
      <c r="C17" s="560"/>
      <c r="D17" s="561"/>
      <c r="E17" s="149">
        <f>IF($A17=0,0,VLOOKUP($A17,INS!$A$2:$E$137,2,FALSE))</f>
        <v>0</v>
      </c>
      <c r="F17" s="120"/>
      <c r="G17" s="60">
        <f>IF($A17=0,0,VLOOKUP($A17,INS!$A$2:$G$137,6,FALSE))</f>
        <v>0</v>
      </c>
      <c r="H17" s="25">
        <f t="shared" si="0"/>
        <v>0</v>
      </c>
    </row>
    <row r="18" spans="1:8">
      <c r="A18" s="553"/>
      <c r="B18" s="554"/>
      <c r="C18" s="554"/>
      <c r="D18" s="555"/>
      <c r="E18" s="149">
        <f>IF($A18=0,0,VLOOKUP($A18,INS!$A$2:$E$137,2,FALSE))</f>
        <v>0</v>
      </c>
      <c r="F18" s="120"/>
      <c r="G18" s="60">
        <f>IF($A18=0,0,VLOOKUP($A18,INS!$A$2:$G$137,6,FALSE))</f>
        <v>0</v>
      </c>
      <c r="H18" s="25">
        <f t="shared" si="0"/>
        <v>0</v>
      </c>
    </row>
    <row r="19" spans="1:8">
      <c r="A19" s="553"/>
      <c r="B19" s="554"/>
      <c r="C19" s="554"/>
      <c r="D19" s="555"/>
      <c r="E19" s="149">
        <f>IF($A19=0,0,VLOOKUP($A19,INS!$A$2:$E$137,2,FALSE))</f>
        <v>0</v>
      </c>
      <c r="F19" s="120"/>
      <c r="G19" s="60">
        <f>IF($A19=0,0,VLOOKUP($A19,INS!$A$2:$G$137,6,FALSE))</f>
        <v>0</v>
      </c>
      <c r="H19" s="25">
        <f t="shared" si="0"/>
        <v>0</v>
      </c>
    </row>
    <row r="20" spans="1:8">
      <c r="A20" s="553"/>
      <c r="B20" s="554"/>
      <c r="C20" s="554"/>
      <c r="D20" s="555"/>
      <c r="E20" s="149">
        <f>IF($A20=0,0,VLOOKUP($A20,INS!$A$2:$E$137,2,FALSE))</f>
        <v>0</v>
      </c>
      <c r="F20" s="120"/>
      <c r="G20" s="60">
        <f>IF($A20=0,0,VLOOKUP($A20,INS!$A$2:$G$137,6,FALSE))</f>
        <v>0</v>
      </c>
      <c r="H20" s="25">
        <f t="shared" si="0"/>
        <v>0</v>
      </c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2362.5</v>
      </c>
      <c r="H22" s="25">
        <f>F22*G22</f>
        <v>118.125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118.125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423</v>
      </c>
      <c r="B27" s="565"/>
      <c r="C27" s="565"/>
      <c r="D27" s="61"/>
      <c r="E27" s="19"/>
      <c r="F27" s="60">
        <f>IF($A27=0,0,VLOOKUP($A27,EQUI!$A$2:$E$38,3,FALSE))</f>
        <v>168000</v>
      </c>
      <c r="G27" s="120">
        <f>+IF($A27=0,0,VLOOKUP($A27,EQUI!$A$2:$E$38,5,FALSE))</f>
        <v>0.1</v>
      </c>
      <c r="H27" s="25">
        <f>F27*G27</f>
        <v>16800</v>
      </c>
    </row>
    <row r="28" spans="1:8">
      <c r="A28" s="565"/>
      <c r="B28" s="565"/>
      <c r="C28" s="565"/>
      <c r="D28" s="61"/>
      <c r="E28" s="19"/>
      <c r="F28" s="60">
        <f>IF($A28=0,0,VLOOKUP($A28,EQUI!$A$2:$E$6,3,FALSE))</f>
        <v>0</v>
      </c>
      <c r="G28" s="120">
        <f>+IF($A28=0,0,VLOOKUP($A28,EQUI!$A$2:$E$6,5,FALSE))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16800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263</v>
      </c>
      <c r="B35" s="571"/>
      <c r="C35" s="571"/>
      <c r="D35" s="124">
        <f>IF($A$35=0,0,VLOOKUP($A$35,TRANS!$A$2:$F$38,5,FALSE))</f>
        <v>1.3</v>
      </c>
      <c r="E35" s="42">
        <f>IF($A$35=0,0,VLOOKUP($A$35,TRANS!$A$2:$D$39,3,FALSE))</f>
        <v>5</v>
      </c>
      <c r="F35" s="147">
        <v>1</v>
      </c>
      <c r="G35" s="123">
        <f>IF($A$35=0,0,VLOOKUP($A$35,TRANS!$A$2:$D$38,4,FALSE))</f>
        <v>1800</v>
      </c>
      <c r="H35" s="25">
        <f>+E35*F35*G35*D35</f>
        <v>11700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11700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0.06</v>
      </c>
      <c r="H43" s="49">
        <f>F43*G43</f>
        <v>1487.5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0.06</v>
      </c>
      <c r="H44" s="49">
        <f t="shared" ref="H44:H45" si="1">F44*G44</f>
        <v>875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1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2362.5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30981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8055.06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619.62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1239.24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9913.92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40894.92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4">
    <mergeCell ref="A60:D60"/>
    <mergeCell ref="F60:H60"/>
    <mergeCell ref="A42:C42"/>
    <mergeCell ref="A43:C43"/>
    <mergeCell ref="A44:C44"/>
    <mergeCell ref="A45:C45"/>
    <mergeCell ref="A48:G48"/>
    <mergeCell ref="A59:D59"/>
    <mergeCell ref="F59:H59"/>
    <mergeCell ref="C50:F50"/>
    <mergeCell ref="C51:F51"/>
    <mergeCell ref="C52:F52"/>
    <mergeCell ref="C49:F49"/>
    <mergeCell ref="A19:D19"/>
    <mergeCell ref="A20:D20"/>
    <mergeCell ref="A21:D21"/>
    <mergeCell ref="A41:H41"/>
    <mergeCell ref="A25:H25"/>
    <mergeCell ref="A26:C26"/>
    <mergeCell ref="A27:C27"/>
    <mergeCell ref="A28:C28"/>
    <mergeCell ref="A29:C29"/>
    <mergeCell ref="A33:H33"/>
    <mergeCell ref="A34:C34"/>
    <mergeCell ref="A35:C35"/>
    <mergeCell ref="A36:C36"/>
    <mergeCell ref="A37:C37"/>
    <mergeCell ref="A38:C38"/>
    <mergeCell ref="B53:G53"/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C4E37B5-4C0B-4662-A784-54AD6CD0C011}">
          <x14:formula1>
            <xm:f>EQUI!$A$2:$A$38</xm:f>
          </x14:formula1>
          <xm:sqref>A27:C28</xm:sqref>
        </x14:dataValidation>
        <x14:dataValidation type="list" showInputMessage="1" showErrorMessage="1" xr:uid="{063268D4-A28D-431A-9177-E4BEFA5DE29B}">
          <x14:formula1>
            <xm:f>TRANS!$A$2:$A$20</xm:f>
          </x14:formula1>
          <xm:sqref>A35:C35</xm:sqref>
        </x14:dataValidation>
        <x14:dataValidation type="list" showInputMessage="1" showErrorMessage="1" xr:uid="{FEC540EC-4990-4FAE-BB3E-6E75C6DF7767}">
          <x14:formula1>
            <xm:f>INS!$A$2:$A$137</xm:f>
          </x14:formula1>
          <xm:sqref>A15:D20</xm:sqref>
        </x14:dataValidation>
        <x14:dataValidation type="list" showInputMessage="1" showErrorMessage="1" xr:uid="{7FD5EDDD-1BDC-46CB-866E-1A7B1AF6ADB4}">
          <x14:formula1>
            <xm:f>LIST!$B$3:$B$120</xm:f>
          </x14:formula1>
          <xm:sqref>D10:H11</xm:sqref>
        </x14:dataValidation>
      </x14:dataValidations>
    </ext>
  </extLst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8FC78-7EF6-4A6F-A0E5-F68D956E74B9}">
  <sheetPr>
    <tabColor rgb="FF7030A0"/>
  </sheetPr>
  <dimension ref="A1:I61"/>
  <sheetViews>
    <sheetView topLeftCell="C42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>
        <f>+_xlfn.XLOOKUP(D10,PTO!$D$4:$D$39,PTO!$C$4:$C$39)</f>
        <v>1.03</v>
      </c>
      <c r="E9" s="20" t="s">
        <v>26</v>
      </c>
      <c r="F9" s="19" t="str">
        <f>+VLOOKUP($D$10,LIST!B3:C80,2,FALSE)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500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60">
        <f>IF($A15=0,0,_xlfn.XLOOKUP($A15,INS[DESCRIPCIÓN],INS[UNIDAD]))</f>
        <v>0</v>
      </c>
      <c r="F15" s="120"/>
      <c r="G15" s="60">
        <f>IF($A15=0,0,_xlfn.XLOOKUP($A15,INS[DESCRIPCIÓN],INS[PROMEDIO]))</f>
        <v>0</v>
      </c>
      <c r="H15" s="25">
        <f>+F15*G15</f>
        <v>0</v>
      </c>
    </row>
    <row r="16" spans="1:8">
      <c r="A16" s="553"/>
      <c r="B16" s="554"/>
      <c r="C16" s="554"/>
      <c r="D16" s="555"/>
      <c r="E16" s="60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4725</v>
      </c>
      <c r="H22" s="25">
        <f>F22*G22</f>
        <v>236.25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236.25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501</v>
      </c>
      <c r="B27" s="565"/>
      <c r="C27" s="565"/>
      <c r="D27" s="61"/>
      <c r="E27" s="120" t="str">
        <f>+IF($A27=0,0,_xlfn.XLOOKUP($A27,EQUI[DESCRIPCIÓN],EQUI[UNIDAD]))</f>
        <v>HORA</v>
      </c>
      <c r="F27" s="120">
        <f>+IF($A27=0,0,_xlfn.XLOOKUP($A27,EQUI[DESCRIPCIÓN],EQUI[VALOR]))</f>
        <v>168000</v>
      </c>
      <c r="G27" s="120">
        <f>+IF($A27=0,0,_xlfn.XLOOKUP($A27,EQUI[DESCRIPCIÓN],EQUI[RENDIMIENTO]))</f>
        <v>0.15</v>
      </c>
      <c r="H27" s="25">
        <f>F27*G27</f>
        <v>25200</v>
      </c>
    </row>
    <row r="28" spans="1:8">
      <c r="A28" s="565"/>
      <c r="B28" s="565"/>
      <c r="C28" s="565"/>
      <c r="D28" s="61"/>
      <c r="E28" s="120">
        <f>+IF($A28=0,0,_xlfn.XLOOKUP($A28,EQUI[DESCRIPCIÓN],EQUI[UNIDAD]))</f>
        <v>0</v>
      </c>
      <c r="F28" s="120">
        <f>+IF($A28=0,0,_xlfn.XLOOKUP($A28,EQUI[DESCRIPCIÓN],EQUI[VALOR]))</f>
        <v>0</v>
      </c>
      <c r="G28" s="120">
        <f>+IF($A28=0,0,_xlfn.XLOOKUP($A28,EQUI[DESCRIPCIÓN],EQUI[RENDIMIENTO]))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25200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0.12</v>
      </c>
      <c r="H43" s="49">
        <f>F43*G43</f>
        <v>2975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0.12</v>
      </c>
      <c r="H44" s="49">
        <f t="shared" ref="H44:H45" si="0">F44*G44</f>
        <v>1750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4725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30161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7841.86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603.22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1206.44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9651.52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39812.519999999997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5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9:D59"/>
    <mergeCell ref="F59:H59"/>
    <mergeCell ref="A60:D60"/>
    <mergeCell ref="F60:H60"/>
    <mergeCell ref="A41:H41"/>
    <mergeCell ref="A42:C42"/>
    <mergeCell ref="A43:C43"/>
    <mergeCell ref="A44:C44"/>
    <mergeCell ref="A45:C45"/>
    <mergeCell ref="A48:G48"/>
    <mergeCell ref="C49:F49"/>
    <mergeCell ref="C50:F50"/>
    <mergeCell ref="C51:F51"/>
    <mergeCell ref="C52:F52"/>
    <mergeCell ref="B53:G53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84B915C9-7449-4826-9D8C-F12AC14F2F3E}">
          <x14:formula1>
            <xm:f>TRANS!$A$2:$A$20</xm:f>
          </x14:formula1>
          <xm:sqref>A35:C35</xm:sqref>
        </x14:dataValidation>
        <x14:dataValidation type="list" allowBlank="1" showInputMessage="1" showErrorMessage="1" xr:uid="{4785C4E5-E22D-4B43-9E26-C1C4C0D5B761}">
          <x14:formula1>
            <xm:f>EQUI!$A$2:$A$38</xm:f>
          </x14:formula1>
          <xm:sqref>A27:C28</xm:sqref>
        </x14:dataValidation>
        <x14:dataValidation type="list" showInputMessage="1" showErrorMessage="1" xr:uid="{21A4A59F-C7FC-4250-9B81-1FBD6AF5C729}">
          <x14:formula1>
            <xm:f>INS!$A$2:$A$137</xm:f>
          </x14:formula1>
          <xm:sqref>A15:D16</xm:sqref>
        </x14:dataValidation>
        <x14:dataValidation type="list" showInputMessage="1" showErrorMessage="1" xr:uid="{EA505B76-33D9-49A6-A8ED-3B97B99612CE}">
          <x14:formula1>
            <xm:f>LIST!$B$3:$B$120</xm:f>
          </x14:formula1>
          <xm:sqref>D10:H11</xm:sqref>
        </x14:dataValidation>
      </x14:dataValidations>
    </ext>
  </extLst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7B918-4E87-4530-B8A5-48BFD56F0183}">
  <sheetPr>
    <tabColor rgb="FF7030A0"/>
  </sheetPr>
  <dimension ref="A1:I61"/>
  <sheetViews>
    <sheetView topLeftCell="D35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>
        <f>+_xlfn.XLOOKUP(D10,PTO!$D$4:$D$39,PTO!$C$4:$C$39)</f>
        <v>1.02</v>
      </c>
      <c r="E9" s="20" t="s">
        <v>26</v>
      </c>
      <c r="F9" s="19" t="str">
        <f>+VLOOKUP($D$10,LIST!B3:C80,2,FALSE)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692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49">
        <f>IF($A15=0,0,_xlfn.XLOOKUP($A15,INS[DESCRIPCIÓN],INS[UNIDAD]))</f>
        <v>0</v>
      </c>
      <c r="F15" s="120"/>
      <c r="G15" s="60">
        <f>IF($A15=0,0,_xlfn.XLOOKUP($A15,INS[DESCRIPCIÓN],INS[PROMEDIO]))</f>
        <v>0</v>
      </c>
      <c r="H15" s="25">
        <f>+F15*G15</f>
        <v>0</v>
      </c>
    </row>
    <row r="16" spans="1:8">
      <c r="A16" s="553"/>
      <c r="B16" s="554"/>
      <c r="C16" s="554"/>
      <c r="D16" s="555"/>
      <c r="E16" s="149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49">
        <f>IF($A17=0,0,_xlfn.XLOOKUP($A17,INS[DESCRIPCIÓN],INS[UNIDAD]))</f>
        <v>0</v>
      </c>
      <c r="F17" s="120"/>
      <c r="G17" s="60">
        <f>IF($A17=0,0,_xlfn.XLOOKUP($A17,INS[DESCRIPCIÓN],INS[PROMEDIO]))</f>
        <v>0</v>
      </c>
      <c r="H17" s="25">
        <f>+F17*G17</f>
        <v>0</v>
      </c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13489.583333333334</v>
      </c>
      <c r="H22" s="25">
        <f>F22*G22</f>
        <v>674.47916666666674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674.47916666666674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69</v>
      </c>
      <c r="B27" s="565"/>
      <c r="C27" s="565"/>
      <c r="D27" s="61"/>
      <c r="E27" s="120" t="str">
        <f>+IF($A27=0,0,_xlfn.XLOOKUP($A27,EQUI[DESCRIPCIÓN],EQUI[UNIDAD]))</f>
        <v>HORA</v>
      </c>
      <c r="F27" s="120">
        <f>+IF($A27=0,0,_xlfn.XLOOKUP($A27,EQUI[DESCRIPCIÓN],EQUI[VALOR]))</f>
        <v>50000</v>
      </c>
      <c r="G27" s="120">
        <f>+IF($A27=0,0,_xlfn.XLOOKUP($A27,EQUI[DESCRIPCIÓN],EQUI[RENDIMIENTO]))</f>
        <v>0.2</v>
      </c>
      <c r="H27" s="25">
        <f>F27*G27</f>
        <v>10000</v>
      </c>
    </row>
    <row r="28" spans="1:8">
      <c r="A28" s="565" t="s">
        <v>423</v>
      </c>
      <c r="B28" s="565"/>
      <c r="C28" s="565"/>
      <c r="D28" s="61"/>
      <c r="E28" s="120" t="str">
        <f>+IF($A28=0,0,_xlfn.XLOOKUP($A28,EQUI[DESCRIPCIÓN],EQUI[UNIDAD]))</f>
        <v>HORA</v>
      </c>
      <c r="F28" s="120">
        <f>+IF($A28=0,0,_xlfn.XLOOKUP($A28,EQUI[DESCRIPCIÓN],EQUI[VALOR]))</f>
        <v>168000</v>
      </c>
      <c r="G28" s="120">
        <v>0.15</v>
      </c>
      <c r="H28" s="25">
        <f>F28*G28</f>
        <v>25200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35200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263</v>
      </c>
      <c r="B35" s="571"/>
      <c r="C35" s="571"/>
      <c r="D35" s="124">
        <f>IF($A$35=0,0,VLOOKUP($A$35,TRANS!$A$2:$F$38,5,FALSE))</f>
        <v>1.3</v>
      </c>
      <c r="E35" s="42">
        <f>IF($A$35=0,0,VLOOKUP($A$35,TRANS!$A$2:$D$38,3,FALSE))</f>
        <v>5</v>
      </c>
      <c r="F35" s="147">
        <f>1*0.2*1.3</f>
        <v>0.26</v>
      </c>
      <c r="G35" s="123">
        <f>IF($A$35=0,0,VLOOKUP($A$35,TRANS!$A$2:$D$38,4,FALSE))</f>
        <v>1800</v>
      </c>
      <c r="H35" s="25">
        <f>+E35*F35*G35*D35</f>
        <v>3042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3042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3" s="49">
        <f>F43*G43</f>
        <v>6197.916666666667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0.25</v>
      </c>
      <c r="H44" s="49">
        <f t="shared" ref="H44:H45" si="0">F44*G44</f>
        <v>7291.666666666667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13489.583333333334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52406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13625.56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1048.1199999999999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2096.2399999999998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16769.919999999998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69175.92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5">
    <mergeCell ref="A59:D59"/>
    <mergeCell ref="F59:H59"/>
    <mergeCell ref="A60:D60"/>
    <mergeCell ref="F60:H60"/>
    <mergeCell ref="A41:H41"/>
    <mergeCell ref="A42:C42"/>
    <mergeCell ref="A43:C43"/>
    <mergeCell ref="A44:C44"/>
    <mergeCell ref="A45:C45"/>
    <mergeCell ref="A48:G48"/>
    <mergeCell ref="C49:F49"/>
    <mergeCell ref="C50:F50"/>
    <mergeCell ref="C51:F51"/>
    <mergeCell ref="C52:F52"/>
    <mergeCell ref="B53:G53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E0AF3784-A0C4-41CC-9ADD-DCDC0ED42783}">
          <x14:formula1>
            <xm:f>INS!$A$2:$A$137</xm:f>
          </x14:formula1>
          <xm:sqref>A15:D17</xm:sqref>
        </x14:dataValidation>
        <x14:dataValidation type="list" showInputMessage="1" showErrorMessage="1" xr:uid="{06296DDF-69F9-4CD4-9DD9-76597741A4B3}">
          <x14:formula1>
            <xm:f>TRANS!$A$2:$A$20</xm:f>
          </x14:formula1>
          <xm:sqref>A35:C35</xm:sqref>
        </x14:dataValidation>
        <x14:dataValidation type="list" allowBlank="1" showInputMessage="1" showErrorMessage="1" xr:uid="{699976B8-319A-4C73-8D99-83A0BA7214B9}">
          <x14:formula1>
            <xm:f>EQUI!$A$2:$A$38</xm:f>
          </x14:formula1>
          <xm:sqref>A27:C28</xm:sqref>
        </x14:dataValidation>
        <x14:dataValidation type="list" showInputMessage="1" showErrorMessage="1" xr:uid="{F486404E-ACA1-4624-AE4B-64A56C3931EC}">
          <x14:formula1>
            <xm:f>LIST!$B$3:$B$120</xm:f>
          </x14:formula1>
          <xm:sqref>D10:H11</xm:sqref>
        </x14:dataValidation>
      </x14:dataValidations>
    </ext>
  </extLst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E29B0-C02D-4B56-B6AD-07B9A7F9ECA2}">
  <sheetPr>
    <tabColor rgb="FF7030A0"/>
  </sheetPr>
  <dimension ref="A1:I61"/>
  <sheetViews>
    <sheetView topLeftCell="D35" workbookViewId="0">
      <selection activeCell="H52" sqref="H52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>
        <f>+_xlfn.XLOOKUP(D10,PTO!$D$4:$D$39,PTO!$C$4:$C$39)</f>
        <v>1.01</v>
      </c>
      <c r="E9" s="20" t="s">
        <v>26</v>
      </c>
      <c r="F9" s="19" t="str">
        <f>+VLOOKUP($D$10,LIST!B3:C80,2,FALSE)</f>
        <v>M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672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674</v>
      </c>
      <c r="B15" s="554"/>
      <c r="C15" s="554"/>
      <c r="D15" s="555"/>
      <c r="E15" s="149" t="str">
        <f>IF($A15=0,0,_xlfn.XLOOKUP($A15,INS[DESCRIPCIÓN],INS[UNIDAD]))</f>
        <v>UND</v>
      </c>
      <c r="F15" s="120">
        <v>0.5</v>
      </c>
      <c r="G15" s="60">
        <f>IF($A15=0,0,_xlfn.XLOOKUP($A15,INS[DESCRIPCIÓN],INS[PROMEDIO]))</f>
        <v>13000</v>
      </c>
      <c r="H15" s="25">
        <f>+F15*G15</f>
        <v>6500</v>
      </c>
    </row>
    <row r="16" spans="1:8">
      <c r="A16" s="553" t="s">
        <v>675</v>
      </c>
      <c r="B16" s="554"/>
      <c r="C16" s="554"/>
      <c r="D16" s="555"/>
      <c r="E16" s="149" t="str">
        <f>IF($A16=0,0,_xlfn.XLOOKUP($A16,INS[DESCRIPCIÓN],INS[UNIDAD]))</f>
        <v>M2</v>
      </c>
      <c r="F16" s="120">
        <v>1</v>
      </c>
      <c r="G16" s="60">
        <f>IF($A16=0,0,_xlfn.XLOOKUP($A16,INS[DESCRIPCIÓN],INS[PROMEDIO]))</f>
        <v>1385</v>
      </c>
      <c r="H16" s="25">
        <f>+F16*G16</f>
        <v>1385</v>
      </c>
    </row>
    <row r="17" spans="1:8">
      <c r="A17" s="553" t="s">
        <v>676</v>
      </c>
      <c r="B17" s="554"/>
      <c r="C17" s="554"/>
      <c r="D17" s="555"/>
      <c r="E17" s="149" t="str">
        <f>IF($A17=0,0,_xlfn.XLOOKUP($A17,INS[DESCRIPCIÓN],INS[UNIDAD]))</f>
        <v>LB</v>
      </c>
      <c r="F17" s="120">
        <v>0.05</v>
      </c>
      <c r="G17" s="60">
        <f>IF($A17=0,0,_xlfn.XLOOKUP($A17,INS[DESCRIPCIÓN],INS[PROMEDIO]))</f>
        <v>5800</v>
      </c>
      <c r="H17" s="25">
        <f>+F17*G17</f>
        <v>290</v>
      </c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4316.666666666667</v>
      </c>
      <c r="H22" s="25">
        <f>F22*G22</f>
        <v>215.83333333333337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8390.8333333333339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20">
        <f>+IF($A27=0,0,_xlfn.XLOOKUP($A27,EQUI[DESCRIPCIÓN],EQUI[UNIDAD]))</f>
        <v>0</v>
      </c>
      <c r="F27" s="120">
        <f>+IF($A27=0,0,_xlfn.XLOOKUP($A27,EQUI[DESCRIPCIÓN],EQUI[VALOR]))</f>
        <v>0</v>
      </c>
      <c r="G27" s="120">
        <f>+IF($A27=0,0,_xlfn.XLOOKUP($A27,EQUI[DESCRIPCIÓN],EQUI[RENDIMIENTO]))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20">
        <f>+IF($A28=0,0,_xlfn.XLOOKUP($A28,EQUI[DESCRIPCIÓN],EQUI[UNIDAD]))</f>
        <v>0</v>
      </c>
      <c r="F28" s="120">
        <f>+IF($A28=0,0,_xlfn.XLOOKUP($A28,EQUI[DESCRIPCIÓN],EQUI[VALOR]))</f>
        <v>0</v>
      </c>
      <c r="G28" s="120">
        <f>+IF($A28=0,0,_xlfn.XLOOKUP($A28,EQUI[DESCRIPCIÓN],EQUI[RENDIMIENTO]))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3" s="49">
        <f>F43*G43</f>
        <v>1983.3333333333335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0.08</v>
      </c>
      <c r="H44" s="49">
        <f t="shared" ref="H44:H45" si="0">F44*G44</f>
        <v>2333.3333333333335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4316.666666666667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710</v>
      </c>
      <c r="B48" s="545"/>
      <c r="C48" s="545"/>
      <c r="D48" s="545"/>
      <c r="E48" s="545"/>
      <c r="F48" s="545"/>
      <c r="G48" s="545"/>
      <c r="H48" s="25">
        <f>ROUND(H23+H31+H39+H46,0)</f>
        <v>12708</v>
      </c>
    </row>
    <row r="49" spans="1:9">
      <c r="B49" s="433"/>
      <c r="C49" s="453" t="s">
        <v>61</v>
      </c>
      <c r="D49" s="454"/>
      <c r="E49" s="454"/>
      <c r="F49" s="455"/>
      <c r="G49" s="63">
        <v>0.26</v>
      </c>
      <c r="H49" s="442">
        <f>ROUND($H$48*G49,2)</f>
        <v>3304.08</v>
      </c>
    </row>
    <row r="50" spans="1:9">
      <c r="B50" s="433"/>
      <c r="C50" s="453" t="s">
        <v>62</v>
      </c>
      <c r="D50" s="454"/>
      <c r="E50" s="454"/>
      <c r="F50" s="455"/>
      <c r="G50" s="63">
        <v>0.02</v>
      </c>
      <c r="H50" s="442">
        <f>ROUND($H$48*G50,2)</f>
        <v>254.16</v>
      </c>
    </row>
    <row r="51" spans="1:9">
      <c r="B51" s="433"/>
      <c r="C51" s="453" t="s">
        <v>63</v>
      </c>
      <c r="D51" s="454"/>
      <c r="E51" s="454"/>
      <c r="F51" s="455"/>
      <c r="G51" s="63">
        <v>0.04</v>
      </c>
      <c r="H51" s="442">
        <f>ROUND($H$48*G51,2)</f>
        <v>508.32</v>
      </c>
    </row>
    <row r="52" spans="1:9">
      <c r="B52" s="433"/>
      <c r="C52" s="453" t="s">
        <v>64</v>
      </c>
      <c r="D52" s="454"/>
      <c r="E52" s="454"/>
      <c r="F52" s="455"/>
      <c r="G52" s="63">
        <f>SUM(G49:G51)</f>
        <v>0.32</v>
      </c>
      <c r="H52" s="64">
        <f>SUM(H49:H51)</f>
        <v>4066.56</v>
      </c>
      <c r="I52" s="109"/>
    </row>
    <row r="53" spans="1:9">
      <c r="B53" s="447" t="s">
        <v>50</v>
      </c>
      <c r="C53" s="448"/>
      <c r="D53" s="448"/>
      <c r="E53" s="448"/>
      <c r="F53" s="448"/>
      <c r="G53" s="449"/>
      <c r="H53" s="434">
        <f>ROUND(H52+H48,2)</f>
        <v>16774.560000000001</v>
      </c>
      <c r="I53" s="218"/>
    </row>
    <row r="54" spans="1:9">
      <c r="A54" s="51"/>
      <c r="B54" s="52"/>
      <c r="C54" s="52"/>
      <c r="D54" s="52"/>
      <c r="E54" s="52"/>
      <c r="F54" s="52"/>
      <c r="G54" s="52"/>
      <c r="H54" s="53"/>
    </row>
    <row r="55" spans="1:9">
      <c r="A55" s="51"/>
      <c r="B55" s="52"/>
      <c r="C55" s="52"/>
      <c r="D55" s="52"/>
      <c r="E55" s="52"/>
      <c r="F55" s="52"/>
      <c r="G55" s="52"/>
      <c r="H55" s="53"/>
    </row>
    <row r="56" spans="1:9">
      <c r="A56" s="51"/>
      <c r="B56" s="52"/>
      <c r="C56" s="52"/>
      <c r="D56" s="52"/>
      <c r="E56" s="52"/>
      <c r="F56" s="52"/>
      <c r="G56" s="52"/>
      <c r="H56" s="53"/>
    </row>
    <row r="57" spans="1:9">
      <c r="A57" s="51"/>
      <c r="B57" s="52"/>
      <c r="C57" s="52"/>
      <c r="D57" s="52"/>
      <c r="E57" s="52"/>
      <c r="F57" s="52"/>
      <c r="G57" s="52"/>
      <c r="H57" s="53"/>
    </row>
    <row r="58" spans="1:9">
      <c r="A58" s="54"/>
      <c r="B58" s="55"/>
      <c r="C58" s="55"/>
      <c r="D58" s="55"/>
      <c r="E58" s="55"/>
      <c r="F58" s="55"/>
      <c r="G58" s="55"/>
      <c r="H58" s="56"/>
    </row>
    <row r="59" spans="1:9">
      <c r="A59" s="579" t="s">
        <v>248</v>
      </c>
      <c r="B59" s="580"/>
      <c r="C59" s="580"/>
      <c r="D59" s="580"/>
      <c r="E59" s="55"/>
      <c r="F59" s="580" t="s">
        <v>264</v>
      </c>
      <c r="G59" s="580"/>
      <c r="H59" s="581"/>
    </row>
    <row r="60" spans="1:9">
      <c r="A60" s="573" t="s">
        <v>247</v>
      </c>
      <c r="B60" s="574"/>
      <c r="C60" s="574"/>
      <c r="D60" s="574"/>
      <c r="E60" s="55"/>
      <c r="F60" s="575" t="s">
        <v>51</v>
      </c>
      <c r="G60" s="575"/>
      <c r="H60" s="576"/>
    </row>
    <row r="61" spans="1:9">
      <c r="A61" s="57"/>
      <c r="B61" s="58"/>
      <c r="C61" s="58"/>
      <c r="D61" s="58"/>
      <c r="E61" s="58"/>
      <c r="F61" s="58"/>
      <c r="G61" s="58"/>
      <c r="H61" s="59"/>
    </row>
  </sheetData>
  <mergeCells count="45">
    <mergeCell ref="A59:D59"/>
    <mergeCell ref="F59:H59"/>
    <mergeCell ref="A60:D60"/>
    <mergeCell ref="F60:H60"/>
    <mergeCell ref="A41:H41"/>
    <mergeCell ref="A42:C42"/>
    <mergeCell ref="A43:C43"/>
    <mergeCell ref="A44:C44"/>
    <mergeCell ref="A45:C45"/>
    <mergeCell ref="A48:G48"/>
    <mergeCell ref="C49:F49"/>
    <mergeCell ref="C50:F50"/>
    <mergeCell ref="C51:F51"/>
    <mergeCell ref="C52:F52"/>
    <mergeCell ref="B53:G53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93FAA06-5457-46B4-B588-D1815D79EBB4}">
          <x14:formula1>
            <xm:f>EQUI!$A$2:$A$38</xm:f>
          </x14:formula1>
          <xm:sqref>A27:C28</xm:sqref>
        </x14:dataValidation>
        <x14:dataValidation type="list" showInputMessage="1" showErrorMessage="1" xr:uid="{D47F5263-74BD-4D27-9E5E-06F218044103}">
          <x14:formula1>
            <xm:f>TRANS!$A$2:$A$20</xm:f>
          </x14:formula1>
          <xm:sqref>A35:C35</xm:sqref>
        </x14:dataValidation>
        <x14:dataValidation type="list" showInputMessage="1" showErrorMessage="1" xr:uid="{A808ADFF-2A6D-4CBB-8E9D-7263A3B995AA}">
          <x14:formula1>
            <xm:f>INS!$A$2:$A$137</xm:f>
          </x14:formula1>
          <xm:sqref>A15:D17</xm:sqref>
        </x14:dataValidation>
        <x14:dataValidation type="list" showInputMessage="1" showErrorMessage="1" xr:uid="{44D23F75-A77F-4E6A-B011-3C662749FF92}">
          <x14:formula1>
            <xm:f>LIST!$B$3:$B$120</xm:f>
          </x14:formula1>
          <xm:sqref>D10:H11</xm:sqref>
        </x14:dataValidation>
      </x14:dataValidations>
    </ext>
  </extLst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9E046-5849-4A98-B67D-F8D34C645A56}">
  <sheetPr>
    <tabColor rgb="FF7030A0"/>
  </sheetPr>
  <dimension ref="A1:H56"/>
  <sheetViews>
    <sheetView topLeftCell="A5"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+_xlfn.XLOOKUP(D10,PTO!$D$4:$D$39,PTO!$C$4:$C$39)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626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628</v>
      </c>
      <c r="B15" s="554"/>
      <c r="C15" s="554"/>
      <c r="D15" s="555"/>
      <c r="E15" s="149" t="str">
        <f>IF($A15=0,0,_xlfn.XLOOKUP($A15,INS[DESCRIPCIÓN],INS[UNIDAD]))</f>
        <v>UND</v>
      </c>
      <c r="F15" s="120">
        <v>0.05</v>
      </c>
      <c r="G15" s="60">
        <f>IF($A15=0,0,_xlfn.XLOOKUP($A15,INS[DESCRIPCIÓN],INS[PROMEDIO]))</f>
        <v>24900</v>
      </c>
      <c r="H15" s="25">
        <f>+F15*G15</f>
        <v>1245</v>
      </c>
    </row>
    <row r="16" spans="1:8">
      <c r="A16" s="553" t="s">
        <v>54</v>
      </c>
      <c r="B16" s="554"/>
      <c r="C16" s="554"/>
      <c r="D16" s="555"/>
      <c r="E16" s="149" t="str">
        <f>IF($A16=0,0,_xlfn.XLOOKUP($A16,INS[DESCRIPCIÓN],INS[UNIDAD]))</f>
        <v>LT</v>
      </c>
      <c r="F16" s="120">
        <v>2</v>
      </c>
      <c r="G16" s="60">
        <f>IF($A16=0,0,_xlfn.XLOOKUP($A16,INS[DESCRIPCIÓN],INS[PROMEDIO]))</f>
        <v>35</v>
      </c>
      <c r="H16" s="25">
        <f>+F16*G16</f>
        <v>70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3937.5000000000005</v>
      </c>
      <c r="H22" s="25">
        <f>F22*G22</f>
        <v>196.87500000000003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1511.875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20">
        <f>+IF($A27=0,0,_xlfn.XLOOKUP($A27,EQUI[DESCRIPCIÓN],EQUI[UNIDAD]))</f>
        <v>0</v>
      </c>
      <c r="F27" s="120">
        <f>+IF($A27=0,0,_xlfn.XLOOKUP($A27,EQUI[DESCRIPCIÓN],EQUI[VALOR]))</f>
        <v>0</v>
      </c>
      <c r="G27" s="120">
        <f>+IF($A27=0,0,_xlfn.XLOOKUP($A27,EQUI[DESCRIPCIÓN],EQUI[RENDIMIENTO]))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20">
        <f>+IF($A28=0,0,_xlfn.XLOOKUP($A28,EQUI[DESCRIPCIÓN],EQUI[UNIDAD]))</f>
        <v>0</v>
      </c>
      <c r="F28" s="120">
        <f>+IF($A28=0,0,_xlfn.XLOOKUP($A28,EQUI[DESCRIPCIÓN],EQUI[VALOR]))</f>
        <v>0</v>
      </c>
      <c r="G28" s="120">
        <f>+IF($A28=0,0,_xlfn.XLOOKUP($A28,EQUI[DESCRIPCIÓN],EQUI[RENDIMIENTO]))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</v>
      </c>
      <c r="H43" s="49">
        <f>F43*G43</f>
        <v>2479.166666666667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0.1</v>
      </c>
      <c r="H44" s="49">
        <f t="shared" ref="H44:H45" si="0">F44*G44</f>
        <v>1458.3333333333335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3937.5000000000005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5449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C4E2848C-3716-4EB4-AF33-CC171D165EB6}">
          <x14:formula1>
            <xm:f>TRANS!$A$2:$A$20</xm:f>
          </x14:formula1>
          <xm:sqref>A35:C35</xm:sqref>
        </x14:dataValidation>
        <x14:dataValidation type="list" allowBlank="1" showInputMessage="1" showErrorMessage="1" xr:uid="{65EA649C-A4B4-40CB-82C1-1438A85609CE}">
          <x14:formula1>
            <xm:f>EQUI!$A$2:$A$38</xm:f>
          </x14:formula1>
          <xm:sqref>A27:C28</xm:sqref>
        </x14:dataValidation>
        <x14:dataValidation type="list" showInputMessage="1" showErrorMessage="1" xr:uid="{5BEEA781-D96A-4B51-995E-AE57390FF59B}">
          <x14:formula1>
            <xm:f>INS!$A$2:$A$137</xm:f>
          </x14:formula1>
          <xm:sqref>A15:D16</xm:sqref>
        </x14:dataValidation>
        <x14:dataValidation type="list" showInputMessage="1" showErrorMessage="1" xr:uid="{873A5D47-B480-43B7-A07B-212A5E5A3D55}">
          <x14:formula1>
            <xm:f>LIST!$B$3:$B$120</xm:f>
          </x14:formula1>
          <xm:sqref>D10:H11</xm:sqref>
        </x14:dataValidation>
      </x14:dataValidations>
    </ext>
  </extLst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193E2-E57D-4453-BD7F-466A379DF0AD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+_xlfn.XLOOKUP(D10,PTO!$D$4:$D$39,PTO!$C$4:$C$39)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568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49">
        <f>IF($A15=0,0,_xlfn.XLOOKUP($A15,INS[DESCRIPCIÓN],INS[UNIDAD]))</f>
        <v>0</v>
      </c>
      <c r="F15" s="120"/>
      <c r="G15" s="60">
        <f>IF($A15=0,0,_xlfn.XLOOKUP($A15,INS[DESCRIPCIÓN],INS[PROMEDIO]))</f>
        <v>0</v>
      </c>
      <c r="H15" s="25">
        <f>+F15*G15</f>
        <v>0</v>
      </c>
    </row>
    <row r="16" spans="1:8">
      <c r="A16" s="553"/>
      <c r="B16" s="554"/>
      <c r="C16" s="554"/>
      <c r="D16" s="555"/>
      <c r="E16" s="149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18885.416666666668</v>
      </c>
      <c r="H22" s="25">
        <f>F22*G22</f>
        <v>944.27083333333348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944.27083333333348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429</v>
      </c>
      <c r="B27" s="565"/>
      <c r="C27" s="565"/>
      <c r="D27" s="61"/>
      <c r="E27" s="120" t="str">
        <f>+IF($A27=0,0,_xlfn.XLOOKUP($A27,EQUI[DESCRIPCIÓN],EQUI[UNIDAD]))</f>
        <v>DIA</v>
      </c>
      <c r="F27" s="120">
        <f>+IF($A27=0,0,_xlfn.XLOOKUP($A27,EQUI[DESCRIPCIÓN],EQUI[VALOR]))</f>
        <v>10000</v>
      </c>
      <c r="G27" s="120">
        <f>+IF($A27=0,0,_xlfn.XLOOKUP($A27,EQUI[DESCRIPCIÓN],EQUI[RENDIMIENTO]))</f>
        <v>0.1</v>
      </c>
      <c r="H27" s="25">
        <f>F27*G27</f>
        <v>1000</v>
      </c>
    </row>
    <row r="28" spans="1:8">
      <c r="A28" s="565"/>
      <c r="B28" s="565"/>
      <c r="C28" s="565"/>
      <c r="D28" s="61"/>
      <c r="E28" s="120">
        <f>+IF($A28=0,0,_xlfn.XLOOKUP($A28,EQUI[DESCRIPCIÓN],EQUI[UNIDAD]))</f>
        <v>0</v>
      </c>
      <c r="F28" s="120">
        <f>+IF($A28=0,0,_xlfn.XLOOKUP($A28,EQUI[DESCRIPCIÓN],EQUI[VALOR]))</f>
        <v>0</v>
      </c>
      <c r="G28" s="120">
        <f>+IF($A28=0,0,_xlfn.XLOOKUP($A28,EQUI[DESCRIPCIÓN],EQUI[RENDIMIENTO]))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3" s="49">
        <f>F43*G43</f>
        <v>8677.0833333333339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0.35</v>
      </c>
      <c r="H44" s="49">
        <f t="shared" ref="H44:H45" si="0">F44*G44</f>
        <v>10208.333333333334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18885.416666666668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20830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D141460-4973-436B-B757-A6FABFEB4407}">
          <x14:formula1>
            <xm:f>EQUI!$A$2:$A$38</xm:f>
          </x14:formula1>
          <xm:sqref>A27:C28</xm:sqref>
        </x14:dataValidation>
        <x14:dataValidation type="list" showInputMessage="1" showErrorMessage="1" xr:uid="{C2377C23-4D0F-48DC-A569-EE9FC8F6D7AF}">
          <x14:formula1>
            <xm:f>TRANS!$A$2:$A$20</xm:f>
          </x14:formula1>
          <xm:sqref>A35:C35</xm:sqref>
        </x14:dataValidation>
        <x14:dataValidation type="list" showInputMessage="1" showErrorMessage="1" xr:uid="{A1CD676F-44B0-442C-9A17-F81B068B92CC}">
          <x14:formula1>
            <xm:f>INS!$A$2:$A$137</xm:f>
          </x14:formula1>
          <xm:sqref>A15:D16</xm:sqref>
        </x14:dataValidation>
        <x14:dataValidation type="list" showInputMessage="1" showErrorMessage="1" xr:uid="{FC17EF1C-A314-4718-8FFB-FC6DBD475190}">
          <x14:formula1>
            <xm:f>LIST!$B$3:$B$120</xm:f>
          </x14:formula1>
          <xm:sqref>D10:H11</xm:sqref>
        </x14:dataValidation>
      </x14:dataValidations>
    </ext>
  </extLst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174D7-9497-4F2A-B16B-F7451C194DD6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+_xlfn.XLOOKUP(D10,PTO!$D$4:$D$39,PTO!$C$4:$C$39)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509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49">
        <f>IF($A15=0,0,_xlfn.XLOOKUP($A15,INS[DESCRIPCIÓN],INS[UNIDAD]))</f>
        <v>0</v>
      </c>
      <c r="F15" s="120"/>
      <c r="G15" s="60">
        <f>IF($A15=0,0,_xlfn.XLOOKUP($A15,INS[DESCRIPCIÓN],INS[PROMEDIO]))</f>
        <v>0</v>
      </c>
      <c r="H15" s="25">
        <f>+F15*G15</f>
        <v>0</v>
      </c>
    </row>
    <row r="16" spans="1:8">
      <c r="A16" s="553"/>
      <c r="B16" s="554"/>
      <c r="C16" s="554"/>
      <c r="D16" s="555"/>
      <c r="E16" s="149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10237.5</v>
      </c>
      <c r="H22" s="25">
        <f>F22*G22</f>
        <v>511.875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511.875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20">
        <f>+IF($A27=0,0,_xlfn.XLOOKUP($A27,EQUI[DESCRIPCIÓN],EQUI[UNIDAD]))</f>
        <v>0</v>
      </c>
      <c r="F27" s="120">
        <f>+IF($A27=0,0,_xlfn.XLOOKUP($A27,EQUI[DESCRIPCIÓN],EQUI[VALOR]))</f>
        <v>0</v>
      </c>
      <c r="G27" s="120">
        <f>+IF($A27=0,0,_xlfn.XLOOKUP($A27,EQUI[DESCRIPCIÓN],EQUI[RENDIMIENTO]))</f>
        <v>0</v>
      </c>
      <c r="H27" s="25">
        <f>F27*G27</f>
        <v>0</v>
      </c>
    </row>
    <row r="28" spans="1:8">
      <c r="A28" s="565"/>
      <c r="B28" s="565"/>
      <c r="C28" s="565"/>
      <c r="D28" s="61"/>
      <c r="E28" s="120">
        <f>+IF($A28=0,0,_xlfn.XLOOKUP($A28,EQUI[DESCRIPCIÓN],EQUI[UNIDAD]))</f>
        <v>0</v>
      </c>
      <c r="F28" s="120">
        <f>+IF($A28=0,0,_xlfn.XLOOKUP($A28,EQUI[DESCRIPCIÓN],EQUI[VALOR]))</f>
        <v>0</v>
      </c>
      <c r="G28" s="120">
        <f>+IF($A28=0,0,_xlfn.XLOOKUP($A28,EQUI[DESCRIPCIÓN],EQUI[RENDIMIENTO]))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263</v>
      </c>
      <c r="B35" s="571"/>
      <c r="C35" s="571"/>
      <c r="D35" s="124">
        <f>IF($A$35=0,0,VLOOKUP($A$35,TRANS!$A$2:$F$38,5,FALSE))</f>
        <v>1.3</v>
      </c>
      <c r="E35" s="42">
        <f>IF($A$35=0,0,VLOOKUP($A$35,TRANS!$A$2:$D$38,3,FALSE))</f>
        <v>5</v>
      </c>
      <c r="F35" s="147">
        <v>0.15</v>
      </c>
      <c r="G35" s="123">
        <f>IF($A$35=0,0,VLOOKUP($A$35,TRANS!$A$2:$D$38,4,FALSE))</f>
        <v>1800</v>
      </c>
      <c r="H35" s="25">
        <f>+E35*F35*G35*D35</f>
        <v>1755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1755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0.26</v>
      </c>
      <c r="H43" s="49">
        <f>F43*G43</f>
        <v>6445.8333333333339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0.26</v>
      </c>
      <c r="H44" s="49">
        <f t="shared" ref="H44:H45" si="0">F44*G44</f>
        <v>3791.666666666667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10237.5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12504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9:C9"/>
    <mergeCell ref="A1:H1"/>
    <mergeCell ref="A3:H3"/>
    <mergeCell ref="A4:H4"/>
    <mergeCell ref="A6:A7"/>
    <mergeCell ref="B6:H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1E3ECD4-53C6-451D-91B1-7D11D701F967}">
          <x14:formula1>
            <xm:f>TRANS!$A$2:$A$20</xm:f>
          </x14:formula1>
          <xm:sqref>A35:C35</xm:sqref>
        </x14:dataValidation>
        <x14:dataValidation type="list" allowBlank="1" showInputMessage="1" showErrorMessage="1" xr:uid="{13ACED61-E82D-4101-9625-1E80F4D86B96}">
          <x14:formula1>
            <xm:f>EQUI!$A$2:$A$38</xm:f>
          </x14:formula1>
          <xm:sqref>A27:C28</xm:sqref>
        </x14:dataValidation>
        <x14:dataValidation type="list" showInputMessage="1" showErrorMessage="1" xr:uid="{BAA5136E-6E59-4F62-89DB-11FCEBC897AA}">
          <x14:formula1>
            <xm:f>INS!$A$2:$A$137</xm:f>
          </x14:formula1>
          <xm:sqref>A15:D16</xm:sqref>
        </x14:dataValidation>
        <x14:dataValidation type="list" showInputMessage="1" showErrorMessage="1" xr:uid="{CCCA42E5-315B-4C38-9760-C8E83E252034}">
          <x14:formula1>
            <xm:f>LIST!$B$3:$B$120</xm:f>
          </x14:formula1>
          <xm:sqref>D10:H11</xm:sqref>
        </x14:dataValidation>
      </x14:dataValidations>
    </ext>
  </extLst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68F52-E5EE-4442-8BDD-017E8389D715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+_xlfn.XLOOKUP(D10,PTO!$D$4:$D$39,PTO!$C$4:$C$39)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491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60">
        <f>IF($A15=0,0,_xlfn.XLOOKUP($A15,INS[DESCRIPCIÓN],INS[UNIDAD]))</f>
        <v>0</v>
      </c>
      <c r="F15" s="120"/>
      <c r="G15" s="60">
        <f>IF($A15=0,0,_xlfn.XLOOKUP($A15,INS[DESCRIPCIÓN],INS[PROMEDIO]))</f>
        <v>0</v>
      </c>
      <c r="H15" s="25">
        <f>+F15*G15</f>
        <v>0</v>
      </c>
    </row>
    <row r="16" spans="1:8">
      <c r="A16" s="553"/>
      <c r="B16" s="554"/>
      <c r="C16" s="554"/>
      <c r="D16" s="555"/>
      <c r="E16" s="60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59354.166666666672</v>
      </c>
      <c r="H22" s="25">
        <f>F22*G22</f>
        <v>2967.7083333333339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2967.7083333333339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68</v>
      </c>
      <c r="B27" s="565"/>
      <c r="C27" s="565"/>
      <c r="D27" s="61"/>
      <c r="E27" s="120" t="str">
        <f>+IF($A27=0,0,_xlfn.XLOOKUP($A27,EQUI[DESCRIPCIÓN],EQUI[UNIDAD]))</f>
        <v>HORA</v>
      </c>
      <c r="F27" s="120">
        <f>+IF($A27=0,0,_xlfn.XLOOKUP($A27,EQUI[DESCRIPCIÓN],EQUI[VALOR]))</f>
        <v>50000</v>
      </c>
      <c r="G27" s="120">
        <f>+IF($A27=0,0,_xlfn.XLOOKUP($A27,EQUI[DESCRIPCIÓN],EQUI[RENDIMIENTO]))</f>
        <v>0.2</v>
      </c>
      <c r="H27" s="25">
        <f>F27*G27</f>
        <v>10000</v>
      </c>
    </row>
    <row r="28" spans="1:8">
      <c r="A28" s="565" t="s">
        <v>492</v>
      </c>
      <c r="B28" s="565"/>
      <c r="C28" s="565"/>
      <c r="D28" s="61"/>
      <c r="E28" s="120" t="str">
        <f>+IF($A28=0,0,_xlfn.XLOOKUP($A28,EQUI[DESCRIPCIÓN],EQUI[UNIDAD]))</f>
        <v>DIA</v>
      </c>
      <c r="F28" s="120">
        <f>+IF($A28=0,0,_xlfn.XLOOKUP($A28,EQUI[DESCRIPCIÓN],EQUI[VALOR]))</f>
        <v>50000</v>
      </c>
      <c r="G28" s="120">
        <f>+IF($A28=0,0,_xlfn.XLOOKUP($A28,EQUI[DESCRIPCIÓN],EQUI[RENDIMIENTO]))</f>
        <v>0.01</v>
      </c>
      <c r="H28" s="25">
        <f>F28*G28</f>
        <v>500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10500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263</v>
      </c>
      <c r="B35" s="571"/>
      <c r="C35" s="571"/>
      <c r="D35" s="124">
        <f>IF($A$35=0,0,VLOOKUP($A$35,TRANS!$A$2:$F$38,5,FALSE))</f>
        <v>1.3</v>
      </c>
      <c r="E35" s="42">
        <f>IF($A$35=0,0,VLOOKUP($A$35,TRANS!$A$2:$D$38,3,FALSE))</f>
        <v>5</v>
      </c>
      <c r="F35" s="147">
        <v>0.2</v>
      </c>
      <c r="G35" s="123">
        <f>IF($A$35=0,0,VLOOKUP($A$35,TRANS!$A$2:$D$38,4,FALSE))</f>
        <v>1800</v>
      </c>
      <c r="H35" s="25">
        <f>+E35*F35*G35*D35</f>
        <v>2340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2340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3" s="49">
        <f>F43*G43</f>
        <v>27270.833333333336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1.1000000000000001</v>
      </c>
      <c r="H44" s="49">
        <f t="shared" ref="H44:H45" si="0">F44*G44</f>
        <v>32083.333333333336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59354.166666666672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75162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E0A15A0-F0C3-4EE6-82C7-B278527B8E69}">
          <x14:formula1>
            <xm:f>EQUI!$A$2:$A$38</xm:f>
          </x14:formula1>
          <xm:sqref>A27:C28</xm:sqref>
        </x14:dataValidation>
        <x14:dataValidation type="list" showInputMessage="1" showErrorMessage="1" xr:uid="{26B9B4F6-2F4B-4F49-BA59-E4F6F31FAEF0}">
          <x14:formula1>
            <xm:f>TRANS!$A$2:$A$20</xm:f>
          </x14:formula1>
          <xm:sqref>A35:C35</xm:sqref>
        </x14:dataValidation>
        <x14:dataValidation type="list" showInputMessage="1" showErrorMessage="1" xr:uid="{873A865C-8138-4F82-9987-73BB1347C35C}">
          <x14:formula1>
            <xm:f>INS!$A$2:$A$137</xm:f>
          </x14:formula1>
          <xm:sqref>A15:D16</xm:sqref>
        </x14:dataValidation>
        <x14:dataValidation type="list" showInputMessage="1" showErrorMessage="1" xr:uid="{2116277B-3289-48C5-96D6-052EAD052AE9}">
          <x14:formula1>
            <xm:f>LIST!$B$3:$B$120</xm:f>
          </x14:formula1>
          <xm:sqref>D10:H11</xm:sqref>
        </x14:dataValidation>
      </x14:dataValidations>
    </ext>
  </extLst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8F595-39C3-4AD9-8BDF-55FBF2E02C1A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490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60">
        <f>IF($A15=0,0,_xlfn.XLOOKUP($A15,INS[DESCRIPCIÓN],INS[UNIDAD]))</f>
        <v>0</v>
      </c>
      <c r="F15" s="120"/>
      <c r="G15" s="60">
        <f>IF($A15=0,0,_xlfn.XLOOKUP($A15,INS[DESCRIPCIÓN],INS[PROMEDIO]))</f>
        <v>0</v>
      </c>
      <c r="H15" s="25">
        <f>+F15*G15</f>
        <v>0</v>
      </c>
    </row>
    <row r="16" spans="1:8">
      <c r="A16" s="553"/>
      <c r="B16" s="554"/>
      <c r="C16" s="554"/>
      <c r="D16" s="555"/>
      <c r="E16" s="60">
        <f>IF($A16=0,0,_xlfn.XLOOKUP($A16,INS[DESCRIPCIÓN],INS[UNIDAD]))</f>
        <v>0</v>
      </c>
      <c r="F16" s="120"/>
      <c r="G16" s="60">
        <f>IF($A16=0,0,_xlfn.XLOOKUP($A16,INS[DESCRIPCIÓN],INS[PROMEDIO]))</f>
        <v>0</v>
      </c>
      <c r="H16" s="25">
        <f>+F16*G16</f>
        <v>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35072.916666666672</v>
      </c>
      <c r="H22" s="25">
        <f>F22*G22</f>
        <v>1753.6458333333337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1753.6458333333337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68</v>
      </c>
      <c r="B27" s="565"/>
      <c r="C27" s="565"/>
      <c r="D27" s="61"/>
      <c r="E27" s="120" t="str">
        <f>+IF($A27=0,0,_xlfn.XLOOKUP($A27,EQUI[DESCRIPCIÓN],EQUI[UNIDAD]))</f>
        <v>HORA</v>
      </c>
      <c r="F27" s="120">
        <f>+IF($A27=0,0,_xlfn.XLOOKUP($A27,EQUI[DESCRIPCIÓN],EQUI[VALOR]))</f>
        <v>50000</v>
      </c>
      <c r="G27" s="120">
        <f>+IF($A27=0,0,_xlfn.XLOOKUP($A27,EQUI[DESCRIPCIÓN],EQUI[RENDIMIENTO]))</f>
        <v>0.2</v>
      </c>
      <c r="H27" s="25">
        <f>F27*G27</f>
        <v>10000</v>
      </c>
    </row>
    <row r="28" spans="1:8">
      <c r="A28" s="565" t="s">
        <v>487</v>
      </c>
      <c r="B28" s="565"/>
      <c r="C28" s="565"/>
      <c r="D28" s="61"/>
      <c r="E28" s="120" t="str">
        <f>+IF($A28=0,0,_xlfn.XLOOKUP($A28,EQUI[DESCRIPCIÓN],EQUI[UNIDAD]))</f>
        <v>HORA</v>
      </c>
      <c r="F28" s="120">
        <f>+IF($A28=0,0,_xlfn.XLOOKUP($A28,EQUI[DESCRIPCIÓN],EQUI[VALOR]))</f>
        <v>12000</v>
      </c>
      <c r="G28" s="120">
        <f>+IF($A28=0,0,_xlfn.XLOOKUP($A28,EQUI[DESCRIPCIÓN],EQUI[RENDIMIENTO]))</f>
        <v>0.2</v>
      </c>
      <c r="H28" s="25">
        <f>F28*G28</f>
        <v>2400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12400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263</v>
      </c>
      <c r="B35" s="571"/>
      <c r="C35" s="571"/>
      <c r="D35" s="124">
        <f>IF($A$35=0,0,VLOOKUP($A$35,TRANS!$A$2:$F$38,5,FALSE))</f>
        <v>1.3</v>
      </c>
      <c r="E35" s="42">
        <f>IF($A$35=0,0,VLOOKUP($A$35,TRANS!$A$2:$D$38,3,FALSE))</f>
        <v>5</v>
      </c>
      <c r="F35" s="147">
        <v>0.15</v>
      </c>
      <c r="G35" s="123">
        <f>IF($A$35=0,0,VLOOKUP($A$35,TRANS!$A$2:$D$38,4,FALSE))</f>
        <v>1800</v>
      </c>
      <c r="H35" s="25">
        <f>+E35*F35*G35*D35</f>
        <v>1755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1755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3" s="49">
        <f>F43*G43</f>
        <v>16114.583333333334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0.65</v>
      </c>
      <c r="H44" s="49">
        <f t="shared" ref="H44:H45" si="0">F44*G44</f>
        <v>18958.333333333336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35072.916666666672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50982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F5C920AD-F1EA-40E5-94E8-F656CA38E39F}">
          <x14:formula1>
            <xm:f>TRANS!$A$2:$A$20</xm:f>
          </x14:formula1>
          <xm:sqref>A35:C35</xm:sqref>
        </x14:dataValidation>
        <x14:dataValidation type="list" allowBlank="1" showInputMessage="1" showErrorMessage="1" xr:uid="{D5707147-24A2-4402-A676-879EBFC5F442}">
          <x14:formula1>
            <xm:f>EQUI!$A$2:$A$38</xm:f>
          </x14:formula1>
          <xm:sqref>A27:C28</xm:sqref>
        </x14:dataValidation>
        <x14:dataValidation type="list" showInputMessage="1" showErrorMessage="1" xr:uid="{EF6DD60C-9230-46D0-805F-6A73CD6933DA}">
          <x14:formula1>
            <xm:f>INS!$A$2:$A$137</xm:f>
          </x14:formula1>
          <xm:sqref>A15:D16</xm:sqref>
        </x14:dataValidation>
        <x14:dataValidation type="list" showInputMessage="1" showErrorMessage="1" xr:uid="{F8F785C5-40FA-417E-8C8F-6E86B94644FC}">
          <x14:formula1>
            <xm:f>LIST!$B$3:$B$120</xm:f>
          </x14:formula1>
          <xm:sqref>D10:H11</xm:sqref>
        </x14:dataValidation>
      </x14:dataValidations>
    </ext>
  </extLst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BA0A4-B90C-45E7-BE3B-16164508F6D0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484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586</v>
      </c>
      <c r="B15" s="554"/>
      <c r="C15" s="554"/>
      <c r="D15" s="555"/>
      <c r="E15" s="60" t="e">
        <f>IF($A15=0,0,_xlfn.XLOOKUP($A15,INS[DESCRIPCIÓN],INS[UNIDAD]))</f>
        <v>#N/A</v>
      </c>
      <c r="F15" s="120">
        <v>0.1</v>
      </c>
      <c r="G15" s="60" t="e">
        <f>IF($A15=0,0,_xlfn.XLOOKUP($A15,INS[DESCRIPCIÓN],INS[PROMEDIO]))</f>
        <v>#N/A</v>
      </c>
      <c r="H15" s="25" t="e">
        <f>+F15*G15</f>
        <v>#N/A</v>
      </c>
    </row>
    <row r="16" spans="1:8">
      <c r="A16" s="553" t="s">
        <v>76</v>
      </c>
      <c r="B16" s="554"/>
      <c r="C16" s="554"/>
      <c r="D16" s="555"/>
      <c r="E16" s="60" t="str">
        <f>IF($A16=0,0,_xlfn.XLOOKUP($A16,INS[DESCRIPCIÓN],INS[UNIDAD]))</f>
        <v>LB</v>
      </c>
      <c r="F16" s="120">
        <v>0.2</v>
      </c>
      <c r="G16" s="60">
        <f>IF($A16=0,0,_xlfn.XLOOKUP($A16,INS[DESCRIPCIÓN],INS[PROMEDIO]))</f>
        <v>5800</v>
      </c>
      <c r="H16" s="25">
        <f>+F16*G16</f>
        <v>1160</v>
      </c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1968.7500000000002</v>
      </c>
      <c r="H22" s="25">
        <f>F22*G22</f>
        <v>98.437500000000014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 t="e">
        <f>SUM(H15:H22)</f>
        <v>#N/A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8">
      <c r="A28" s="566"/>
      <c r="B28" s="567"/>
      <c r="C28" s="567"/>
      <c r="D28" s="23"/>
      <c r="E28" s="19"/>
      <c r="F28" s="19"/>
      <c r="G28" s="35"/>
      <c r="H28" s="25"/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47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0.05</v>
      </c>
      <c r="H43" s="49">
        <f>F43*G43</f>
        <v>1239.5833333333335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1</v>
      </c>
      <c r="F44" s="24">
        <f>D44*E44</f>
        <v>14583.333333333334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0.05</v>
      </c>
      <c r="H44" s="49">
        <f t="shared" ref="H44:H45" si="0">F44*G44</f>
        <v>729.16666666666674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1968.7500000000002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 t="e">
        <f>ROUND(H23+H31+H39+H46,0)</f>
        <v>#N/A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520BC5D-936A-4F5E-A050-E868DF19909B}">
          <x14:formula1>
            <xm:f>EQUI!$A$2:$A$38</xm:f>
          </x14:formula1>
          <xm:sqref>A27:C27</xm:sqref>
        </x14:dataValidation>
        <x14:dataValidation type="list" showInputMessage="1" showErrorMessage="1" xr:uid="{16928512-2C68-4D61-BF48-2B17547D1B9D}">
          <x14:formula1>
            <xm:f>TRANS!$A$2:$A$20</xm:f>
          </x14:formula1>
          <xm:sqref>A35:C35</xm:sqref>
        </x14:dataValidation>
        <x14:dataValidation type="list" showInputMessage="1" showErrorMessage="1" xr:uid="{6A4C1141-E93E-41EC-9199-A7BE7216B909}">
          <x14:formula1>
            <xm:f>INS!$A$2:$A$137</xm:f>
          </x14:formula1>
          <xm:sqref>A15:D16</xm:sqref>
        </x14:dataValidation>
        <x14:dataValidation type="list" showInputMessage="1" showErrorMessage="1" xr:uid="{592D4F06-028B-4704-8D61-1C6BB2F58B09}">
          <x14:formula1>
            <xm:f>LIST!$B$3:$B$120</xm:f>
          </x14:formula1>
          <xm:sqref>D10:H11</xm:sqref>
        </x14:dataValidation>
      </x14:dataValidations>
    </ext>
  </extLst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85CA-BEE0-4316-8016-D0B8032FB508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UND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367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60">
        <f>IF($A$15=0,0,VLOOKUP($A$15,INS!$A$2:$E$132,2,FALSE))</f>
        <v>0</v>
      </c>
      <c r="F15" s="120"/>
      <c r="G15" s="60">
        <f>IF($A$15=0,0,VLOOKUP($A$15,INS!$A$2:$G$132,6,FALSE))</f>
        <v>0</v>
      </c>
      <c r="H15" s="25">
        <f>+F15*G15</f>
        <v>0</v>
      </c>
    </row>
    <row r="16" spans="1:8">
      <c r="A16" s="553"/>
      <c r="B16" s="554"/>
      <c r="C16" s="554"/>
      <c r="D16" s="555"/>
      <c r="E16" s="19"/>
      <c r="F16" s="23"/>
      <c r="G16" s="24"/>
      <c r="H16" s="25"/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89104.166666666672</v>
      </c>
      <c r="H22" s="25">
        <f>F22*G22</f>
        <v>4455.2083333333339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4455.2083333333339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8">
      <c r="A28" s="566"/>
      <c r="B28" s="567"/>
      <c r="C28" s="567"/>
      <c r="D28" s="23"/>
      <c r="E28" s="19"/>
      <c r="F28" s="19"/>
      <c r="G28" s="35"/>
      <c r="H28" s="25"/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47">
        <f>+F15</f>
        <v>0</v>
      </c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1.3</v>
      </c>
      <c r="H43" s="49">
        <f>F43*G43</f>
        <v>32229.166666666668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3</v>
      </c>
      <c r="F44" s="24">
        <f>D44*E44</f>
        <v>43750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1.3</v>
      </c>
      <c r="H44" s="49">
        <f t="shared" ref="H44:H45" si="0">F44*G44</f>
        <v>56875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89104.166666666672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93559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9:C9"/>
    <mergeCell ref="A1:H1"/>
    <mergeCell ref="A3:H3"/>
    <mergeCell ref="A4:H4"/>
    <mergeCell ref="A6:A7"/>
    <mergeCell ref="B6:H7"/>
    <mergeCell ref="A22:D22"/>
    <mergeCell ref="A10:C11"/>
    <mergeCell ref="D10:H11"/>
    <mergeCell ref="A13:H13"/>
    <mergeCell ref="A14:D14"/>
    <mergeCell ref="A15:D15"/>
    <mergeCell ref="A16:D16"/>
    <mergeCell ref="A17:D17"/>
    <mergeCell ref="A18:D18"/>
    <mergeCell ref="A19:D19"/>
    <mergeCell ref="A20:D20"/>
    <mergeCell ref="A21:D21"/>
    <mergeCell ref="A38:C38"/>
    <mergeCell ref="A25:H25"/>
    <mergeCell ref="A26:C26"/>
    <mergeCell ref="A27:C27"/>
    <mergeCell ref="A28:C28"/>
    <mergeCell ref="A29:C29"/>
    <mergeCell ref="A30:C30"/>
    <mergeCell ref="A33:H33"/>
    <mergeCell ref="A34:C34"/>
    <mergeCell ref="A35:C35"/>
    <mergeCell ref="A36:C36"/>
    <mergeCell ref="A37:C37"/>
    <mergeCell ref="A54:D54"/>
    <mergeCell ref="F54:H54"/>
    <mergeCell ref="A55:D55"/>
    <mergeCell ref="F55:H55"/>
    <mergeCell ref="A41:H41"/>
    <mergeCell ref="A42:C42"/>
    <mergeCell ref="A43:C43"/>
    <mergeCell ref="A44:C44"/>
    <mergeCell ref="A45:C45"/>
    <mergeCell ref="A48:G4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82B021C4-CC65-47F7-BE21-CEFEFB39A3C0}">
          <x14:formula1>
            <xm:f>TRANS!$A$2:$A$20</xm:f>
          </x14:formula1>
          <xm:sqref>A35:C35</xm:sqref>
        </x14:dataValidation>
        <x14:dataValidation type="list" allowBlank="1" showInputMessage="1" showErrorMessage="1" xr:uid="{8B95E259-814F-4D5A-BC83-459E99E38B85}">
          <x14:formula1>
            <xm:f>EQUI!$A$2:$A$38</xm:f>
          </x14:formula1>
          <xm:sqref>A27:C27</xm:sqref>
        </x14:dataValidation>
        <x14:dataValidation type="list" showInputMessage="1" showErrorMessage="1" xr:uid="{76312477-A02D-4EE2-9F1C-37BB5C69184F}">
          <x14:formula1>
            <xm:f>INS!$A$2:$A$137</xm:f>
          </x14:formula1>
          <xm:sqref>A15:D15</xm:sqref>
        </x14:dataValidation>
        <x14:dataValidation type="list" showInputMessage="1" showErrorMessage="1" xr:uid="{824FE80B-7626-4D84-8B5E-1B4C4F0A5998}">
          <x14:formula1>
            <xm:f>LIST!$B$3:$B$120</xm:f>
          </x14:formula1>
          <xm:sqref>D10:H11</xm:sqref>
        </x14:dataValidation>
      </x14:dataValidations>
    </ext>
  </extLst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4D81-8ABF-4AAC-87AC-A9BD5CE590F7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+VLOOKUP($D$10,LIST!B3:C80,2,FALSE)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266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 t="s">
        <v>53</v>
      </c>
      <c r="B15" s="554"/>
      <c r="C15" s="554"/>
      <c r="D15" s="555"/>
      <c r="E15" s="60" t="str">
        <f>IF($A$15=0,0,VLOOKUP($A$15,INS!$A$2:$E$132,2,FALSE))</f>
        <v>M3</v>
      </c>
      <c r="F15" s="120">
        <v>1.1000000000000001</v>
      </c>
      <c r="G15" s="60">
        <f>IF($A$15=0,0,VLOOKUP($A$15,INS!$A$2:$G$132,6,FALSE))</f>
        <v>90000</v>
      </c>
      <c r="H15" s="25">
        <f>+F15*G15</f>
        <v>99000.000000000015</v>
      </c>
    </row>
    <row r="16" spans="1:8">
      <c r="A16" s="553"/>
      <c r="B16" s="554"/>
      <c r="C16" s="554"/>
      <c r="D16" s="555"/>
      <c r="E16" s="19"/>
      <c r="F16" s="23"/>
      <c r="G16" s="24"/>
      <c r="H16" s="25"/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16187.5</v>
      </c>
      <c r="H22" s="25">
        <f>F22*G22</f>
        <v>809.375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99809.375000000015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8">
      <c r="A28" s="566"/>
      <c r="B28" s="567"/>
      <c r="C28" s="567"/>
      <c r="D28" s="23"/>
      <c r="E28" s="19"/>
      <c r="F28" s="19"/>
      <c r="G28" s="35"/>
      <c r="H28" s="25"/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277</v>
      </c>
      <c r="B35" s="571"/>
      <c r="C35" s="571"/>
      <c r="D35" s="124">
        <f>IF($A$35=0,0,VLOOKUP($A$35,TRANS!$A$2:$F$38,5,FALSE))</f>
        <v>1.1000000000000001</v>
      </c>
      <c r="E35" s="42">
        <f>IF($A$35=0,0,VLOOKUP($A$35,TRANS!$A$2:$D$38,3,FALSE))</f>
        <v>125</v>
      </c>
      <c r="F35" s="147">
        <f>+F15</f>
        <v>1.1000000000000001</v>
      </c>
      <c r="G35" s="123">
        <f>IF($A$35=0,0,VLOOKUP($A$35,TRANS!$A$2:$D$38,4,FALSE))</f>
        <v>1800</v>
      </c>
      <c r="H35" s="25">
        <f>+E35*F35*G35*D35</f>
        <v>272250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272250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3" s="49">
        <f>F43*G43</f>
        <v>7437.5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0.3</v>
      </c>
      <c r="H44" s="49">
        <f t="shared" ref="H44:H45" si="0">F44*G44</f>
        <v>8750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16187.5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388247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  <mergeCell ref="A35:C35"/>
    <mergeCell ref="A19:D19"/>
    <mergeCell ref="A20:D20"/>
    <mergeCell ref="A21:D21"/>
    <mergeCell ref="A22:D22"/>
    <mergeCell ref="A25:H25"/>
    <mergeCell ref="A26:C26"/>
    <mergeCell ref="A27:C27"/>
    <mergeCell ref="A29:C29"/>
    <mergeCell ref="A30:C30"/>
    <mergeCell ref="A33:H33"/>
    <mergeCell ref="A34:C34"/>
    <mergeCell ref="A17:D17"/>
    <mergeCell ref="A18:D18"/>
    <mergeCell ref="A28:C28"/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18A28B-EB89-4EF5-8F45-1708B07770B6}">
          <x14:formula1>
            <xm:f>EQUI!$A$2:$A$38</xm:f>
          </x14:formula1>
          <xm:sqref>A27:C27</xm:sqref>
        </x14:dataValidation>
        <x14:dataValidation type="list" showInputMessage="1" showErrorMessage="1" xr:uid="{BE6B0402-9769-454C-9D80-C76DB8E02162}">
          <x14:formula1>
            <xm:f>TRANS!$A$2:$A$20</xm:f>
          </x14:formula1>
          <xm:sqref>A35:C35</xm:sqref>
        </x14:dataValidation>
        <x14:dataValidation type="list" showInputMessage="1" showErrorMessage="1" xr:uid="{CA78F5AC-2FC8-426D-BC81-E651D284962E}">
          <x14:formula1>
            <xm:f>INS!$A$2:$A$137</xm:f>
          </x14:formula1>
          <xm:sqref>A15:D15</xm:sqref>
        </x14:dataValidation>
        <x14:dataValidation type="list" showInputMessage="1" showErrorMessage="1" xr:uid="{054F7B1C-1ED0-4975-A519-C0AF79EEAC90}">
          <x14:formula1>
            <xm:f>LIST!$B$3:$B$120</xm:f>
          </x14:formula1>
          <xm:sqref>D10:H11</xm:sqref>
        </x14:dataValidation>
      </x14:dataValidations>
    </ext>
  </extLst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C2E1-3B96-488C-BD10-FBF4F7A37354}">
  <sheetPr>
    <tabColor rgb="FF7030A0"/>
  </sheetPr>
  <dimension ref="A1:H53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+_xlfn.XLOOKUP($D$10,LIST!$B$3:$B$115,LIST!$C$3:$C$115)</f>
        <v>M3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354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9"/>
      <c r="F15" s="26"/>
      <c r="G15" s="24"/>
      <c r="H15" s="25"/>
    </row>
    <row r="16" spans="1:8">
      <c r="A16" s="553"/>
      <c r="B16" s="554"/>
      <c r="C16" s="554"/>
      <c r="D16" s="555"/>
      <c r="E16" s="19"/>
      <c r="F16" s="23"/>
      <c r="G16" s="24"/>
      <c r="H16" s="25"/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27"/>
      <c r="F19" s="28"/>
      <c r="G19" s="29"/>
      <c r="H19" s="25"/>
    </row>
    <row r="20" spans="1:8">
      <c r="A20" s="553" t="s">
        <v>31</v>
      </c>
      <c r="B20" s="554"/>
      <c r="C20" s="554"/>
      <c r="D20" s="555"/>
      <c r="E20" s="30" t="s">
        <v>32</v>
      </c>
      <c r="F20" s="31">
        <v>0.05</v>
      </c>
      <c r="G20" s="32">
        <f>H43</f>
        <v>39068.75</v>
      </c>
      <c r="H20" s="25">
        <f>F20*G20</f>
        <v>1953.4375</v>
      </c>
    </row>
    <row r="21" spans="1:8">
      <c r="A21" s="16"/>
      <c r="B21" s="17"/>
      <c r="C21" s="17"/>
      <c r="D21" s="17"/>
      <c r="E21" s="17"/>
      <c r="F21" s="17"/>
      <c r="G21" s="33" t="s">
        <v>33</v>
      </c>
      <c r="H21" s="34">
        <f>SUM(H15:H20)</f>
        <v>1953.4375</v>
      </c>
    </row>
    <row r="22" spans="1:8">
      <c r="A22" s="16"/>
      <c r="B22" s="17"/>
      <c r="C22" s="17"/>
      <c r="D22" s="17"/>
      <c r="E22" s="17"/>
      <c r="F22" s="17"/>
      <c r="G22" s="17"/>
      <c r="H22" s="18"/>
    </row>
    <row r="23" spans="1:8">
      <c r="A23" s="558" t="s">
        <v>34</v>
      </c>
      <c r="B23" s="558"/>
      <c r="C23" s="558"/>
      <c r="D23" s="558"/>
      <c r="E23" s="558"/>
      <c r="F23" s="558"/>
      <c r="G23" s="558"/>
      <c r="H23" s="558"/>
    </row>
    <row r="24" spans="1:8">
      <c r="A24" s="563" t="s">
        <v>4</v>
      </c>
      <c r="B24" s="564"/>
      <c r="C24" s="564"/>
      <c r="D24" s="20" t="s">
        <v>35</v>
      </c>
      <c r="E24" s="20" t="s">
        <v>5</v>
      </c>
      <c r="F24" s="20" t="s">
        <v>36</v>
      </c>
      <c r="G24" s="20" t="s">
        <v>37</v>
      </c>
      <c r="H24" s="22" t="s">
        <v>30</v>
      </c>
    </row>
    <row r="25" spans="1:8">
      <c r="A25" s="565"/>
      <c r="B25" s="565"/>
      <c r="C25" s="565"/>
      <c r="D25" s="61"/>
      <c r="E25" s="19"/>
      <c r="F25" s="60">
        <f>IF($A$25=0,0,VLOOKUP($A$25,EQUI!$A$2:$E$6,3,FALSE))</f>
        <v>0</v>
      </c>
      <c r="G25" s="120">
        <f>+IF($A$25=0,0,VLOOKUP($A$25,EQUI!$A$2:$E$6,5,FALSE))</f>
        <v>0</v>
      </c>
      <c r="H25" s="25">
        <f>F25*G25</f>
        <v>0</v>
      </c>
    </row>
    <row r="26" spans="1:8">
      <c r="A26" s="566"/>
      <c r="B26" s="567"/>
      <c r="C26" s="567"/>
      <c r="D26" s="23"/>
      <c r="E26" s="19"/>
      <c r="F26" s="19"/>
      <c r="G26" s="35"/>
      <c r="H26" s="25"/>
    </row>
    <row r="27" spans="1:8">
      <c r="A27" s="566"/>
      <c r="B27" s="567"/>
      <c r="C27" s="567"/>
      <c r="D27" s="36"/>
      <c r="E27" s="36"/>
      <c r="F27" s="36"/>
      <c r="G27" s="36"/>
      <c r="H27" s="37"/>
    </row>
    <row r="28" spans="1:8">
      <c r="A28" s="16"/>
      <c r="B28" s="17"/>
      <c r="C28" s="17"/>
      <c r="D28" s="17"/>
      <c r="E28" s="17"/>
      <c r="F28" s="17"/>
      <c r="G28" s="38" t="s">
        <v>33</v>
      </c>
      <c r="H28" s="34">
        <f>SUM(H25:H27)</f>
        <v>0</v>
      </c>
    </row>
    <row r="29" spans="1:8">
      <c r="A29" s="16"/>
      <c r="B29" s="17"/>
      <c r="C29" s="17"/>
      <c r="D29" s="17"/>
      <c r="E29" s="17"/>
      <c r="F29" s="17"/>
      <c r="G29" s="39"/>
      <c r="H29" s="40"/>
    </row>
    <row r="30" spans="1:8">
      <c r="A30" s="568" t="s">
        <v>38</v>
      </c>
      <c r="B30" s="569"/>
      <c r="C30" s="569"/>
      <c r="D30" s="569"/>
      <c r="E30" s="569"/>
      <c r="F30" s="569"/>
      <c r="G30" s="569"/>
      <c r="H30" s="570"/>
    </row>
    <row r="31" spans="1:8">
      <c r="A31" s="563" t="s">
        <v>39</v>
      </c>
      <c r="B31" s="564"/>
      <c r="C31" s="564"/>
      <c r="D31" s="20" t="s">
        <v>262</v>
      </c>
      <c r="E31" s="20" t="s">
        <v>41</v>
      </c>
      <c r="F31" s="20" t="s">
        <v>42</v>
      </c>
      <c r="G31" s="20" t="s">
        <v>43</v>
      </c>
      <c r="H31" s="22" t="s">
        <v>30</v>
      </c>
    </row>
    <row r="32" spans="1:8" ht="27.6" customHeight="1">
      <c r="A32" s="571"/>
      <c r="B32" s="571"/>
      <c r="C32" s="571"/>
      <c r="D32" s="124">
        <f>IF($A$32=0,0,VLOOKUP($A$32,TRANS!$A$2:$F$38,5,FALSE))</f>
        <v>0</v>
      </c>
      <c r="E32" s="42">
        <f>IF($A$32=0,0,VLOOKUP($A$32,TRANS!$A$2:$D$38,3,FALSE))</f>
        <v>0</v>
      </c>
      <c r="F32" s="19"/>
      <c r="G32" s="123">
        <f>IF($A$32=0,0,VLOOKUP($A$32,TRANS!$A$2:$D$38,4,FALSE))</f>
        <v>0</v>
      </c>
      <c r="H32" s="25">
        <f>+E32*F32*G32*D32</f>
        <v>0</v>
      </c>
    </row>
    <row r="33" spans="1:8">
      <c r="A33" s="572"/>
      <c r="B33" s="572"/>
      <c r="C33" s="572"/>
      <c r="D33" s="41"/>
      <c r="E33" s="19"/>
      <c r="F33" s="19"/>
      <c r="G33" s="43"/>
      <c r="H33" s="25"/>
    </row>
    <row r="34" spans="1:8">
      <c r="A34" s="566"/>
      <c r="B34" s="567"/>
      <c r="C34" s="567"/>
      <c r="D34" s="44"/>
      <c r="E34" s="19"/>
      <c r="F34" s="19"/>
      <c r="G34" s="45"/>
      <c r="H34" s="25"/>
    </row>
    <row r="35" spans="1:8">
      <c r="A35" s="566"/>
      <c r="B35" s="567"/>
      <c r="C35" s="567"/>
      <c r="D35" s="36"/>
      <c r="E35" s="36"/>
      <c r="F35" s="36"/>
      <c r="G35" s="36"/>
      <c r="H35" s="37"/>
    </row>
    <row r="36" spans="1:8">
      <c r="A36" s="16"/>
      <c r="B36" s="17"/>
      <c r="C36" s="17"/>
      <c r="D36" s="17"/>
      <c r="E36" s="17"/>
      <c r="F36" s="17"/>
      <c r="G36" s="46" t="s">
        <v>33</v>
      </c>
      <c r="H36" s="34">
        <f>SUM(H32:H35)</f>
        <v>0</v>
      </c>
    </row>
    <row r="37" spans="1:8">
      <c r="A37" s="16"/>
      <c r="B37" s="17"/>
      <c r="C37" s="17"/>
      <c r="D37" s="17"/>
      <c r="E37" s="17"/>
      <c r="F37" s="17"/>
      <c r="G37" s="39"/>
      <c r="H37" s="40"/>
    </row>
    <row r="38" spans="1:8">
      <c r="A38" s="558" t="s">
        <v>44</v>
      </c>
      <c r="B38" s="558"/>
      <c r="C38" s="558"/>
      <c r="D38" s="558"/>
      <c r="E38" s="558"/>
      <c r="F38" s="558"/>
      <c r="G38" s="562"/>
      <c r="H38" s="562"/>
    </row>
    <row r="39" spans="1:8" ht="27.6">
      <c r="A39" s="577" t="s">
        <v>4</v>
      </c>
      <c r="B39" s="578"/>
      <c r="C39" s="578"/>
      <c r="D39" s="47" t="s">
        <v>45</v>
      </c>
      <c r="E39" s="22" t="s">
        <v>20</v>
      </c>
      <c r="F39" s="22" t="s">
        <v>46</v>
      </c>
      <c r="G39" s="22" t="s">
        <v>47</v>
      </c>
      <c r="H39" s="22" t="s">
        <v>30</v>
      </c>
    </row>
    <row r="40" spans="1:8">
      <c r="A40" s="566" t="s">
        <v>48</v>
      </c>
      <c r="B40" s="567"/>
      <c r="C40" s="567"/>
      <c r="D40" s="48">
        <f>MO!F31/8</f>
        <v>24791.666666666668</v>
      </c>
      <c r="E40" s="19">
        <v>1</v>
      </c>
      <c r="F40" s="24">
        <f>D40*E40</f>
        <v>24791.666666666668</v>
      </c>
      <c r="G40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0.56999999999999995</v>
      </c>
      <c r="H40" s="49">
        <f>F40*G40</f>
        <v>14131.25</v>
      </c>
    </row>
    <row r="41" spans="1:8">
      <c r="A41" s="566" t="s">
        <v>49</v>
      </c>
      <c r="B41" s="567"/>
      <c r="C41" s="567"/>
      <c r="D41" s="48">
        <f>MO!F14/8</f>
        <v>14583.333333333334</v>
      </c>
      <c r="E41" s="19">
        <v>3</v>
      </c>
      <c r="F41" s="24">
        <f>D41*E41</f>
        <v>43750</v>
      </c>
      <c r="G41" s="23">
        <f>+IF(AND($E$40=1,$E$41=1),VLOOKUP($D$10,'REND'!$B$4:$I$64,4,FALSE),IF(AND($E$40=1,$E$41=2),VLOOKUP($D$10,'REND'!$B$4:$I$64,5,FALSE),IF(AND($E$40=1,$E$41=3),VLOOKUP($D$10,'REND'!$B$4:$I$64,6,FALSE),IF(AND($E$40=1,$E$41=4),VLOOKUP($D$10,'REND'!$B$4:$I$64,7,FALSE),0))))</f>
        <v>0.56999999999999995</v>
      </c>
      <c r="H41" s="49">
        <f t="shared" ref="H41:H42" si="0">F41*G41</f>
        <v>24937.499999999996</v>
      </c>
    </row>
    <row r="42" spans="1:8">
      <c r="A42" s="566"/>
      <c r="B42" s="567"/>
      <c r="C42" s="567"/>
      <c r="D42" s="36"/>
      <c r="E42" s="36"/>
      <c r="F42" s="50"/>
      <c r="G42" s="36"/>
      <c r="H42" s="49">
        <f t="shared" si="0"/>
        <v>0</v>
      </c>
    </row>
    <row r="43" spans="1:8">
      <c r="A43" s="16"/>
      <c r="B43" s="17"/>
      <c r="C43" s="17"/>
      <c r="D43" s="17"/>
      <c r="E43" s="17"/>
      <c r="F43" s="17"/>
      <c r="G43" s="38" t="s">
        <v>33</v>
      </c>
      <c r="H43" s="49">
        <f>SUM(H40:H42)</f>
        <v>39068.75</v>
      </c>
    </row>
    <row r="44" spans="1:8">
      <c r="A44" s="16"/>
      <c r="B44" s="17"/>
      <c r="C44" s="17"/>
      <c r="D44" s="17"/>
      <c r="E44" s="17"/>
      <c r="F44" s="17"/>
      <c r="G44" s="17"/>
      <c r="H44" s="18"/>
    </row>
    <row r="45" spans="1:8">
      <c r="A45" s="545" t="s">
        <v>50</v>
      </c>
      <c r="B45" s="545"/>
      <c r="C45" s="545"/>
      <c r="D45" s="545"/>
      <c r="E45" s="545"/>
      <c r="F45" s="545"/>
      <c r="G45" s="545"/>
      <c r="H45" s="25">
        <f>ROUND(H21+H28+H36+H43,0)</f>
        <v>41022</v>
      </c>
    </row>
    <row r="46" spans="1:8">
      <c r="A46" s="51"/>
      <c r="B46" s="52"/>
      <c r="C46" s="52"/>
      <c r="D46" s="52"/>
      <c r="E46" s="52"/>
      <c r="F46" s="52"/>
      <c r="G46" s="52"/>
      <c r="H46" s="53"/>
    </row>
    <row r="47" spans="1:8">
      <c r="A47" s="51"/>
      <c r="B47" s="52"/>
      <c r="C47" s="52"/>
      <c r="D47" s="52"/>
      <c r="E47" s="52"/>
      <c r="F47" s="52"/>
      <c r="G47" s="52"/>
      <c r="H47" s="53"/>
    </row>
    <row r="48" spans="1:8">
      <c r="A48" s="51"/>
      <c r="B48" s="52"/>
      <c r="C48" s="52"/>
      <c r="D48" s="52"/>
      <c r="E48" s="52"/>
      <c r="F48" s="52"/>
      <c r="G48" s="52"/>
      <c r="H48" s="53"/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4"/>
      <c r="B50" s="55"/>
      <c r="C50" s="55"/>
      <c r="D50" s="55"/>
      <c r="E50" s="55"/>
      <c r="F50" s="55"/>
      <c r="G50" s="55"/>
      <c r="H50" s="56"/>
    </row>
    <row r="51" spans="1:8">
      <c r="A51" s="579" t="s">
        <v>248</v>
      </c>
      <c r="B51" s="580"/>
      <c r="C51" s="580"/>
      <c r="D51" s="580"/>
      <c r="E51" s="55"/>
      <c r="F51" s="580" t="s">
        <v>264</v>
      </c>
      <c r="G51" s="580"/>
      <c r="H51" s="581"/>
    </row>
    <row r="52" spans="1:8">
      <c r="A52" s="573" t="s">
        <v>247</v>
      </c>
      <c r="B52" s="574"/>
      <c r="C52" s="574"/>
      <c r="D52" s="574"/>
      <c r="E52" s="55"/>
      <c r="F52" s="575" t="s">
        <v>51</v>
      </c>
      <c r="G52" s="575"/>
      <c r="H52" s="576"/>
    </row>
    <row r="53" spans="1:8">
      <c r="A53" s="57"/>
      <c r="B53" s="58"/>
      <c r="C53" s="58"/>
      <c r="D53" s="58"/>
      <c r="E53" s="58"/>
      <c r="F53" s="58"/>
      <c r="G53" s="58"/>
      <c r="H53" s="59"/>
    </row>
  </sheetData>
  <mergeCells count="37">
    <mergeCell ref="A52:D52"/>
    <mergeCell ref="F52:H52"/>
    <mergeCell ref="A33:C33"/>
    <mergeCell ref="A34:C34"/>
    <mergeCell ref="A35:C35"/>
    <mergeCell ref="A38:H38"/>
    <mergeCell ref="A39:C39"/>
    <mergeCell ref="A40:C40"/>
    <mergeCell ref="A41:C41"/>
    <mergeCell ref="A42:C42"/>
    <mergeCell ref="A45:G45"/>
    <mergeCell ref="A51:D51"/>
    <mergeCell ref="F51:H51"/>
    <mergeCell ref="A32:C32"/>
    <mergeCell ref="A17:D17"/>
    <mergeCell ref="A18:D18"/>
    <mergeCell ref="A19:D19"/>
    <mergeCell ref="A20:D20"/>
    <mergeCell ref="A23:H23"/>
    <mergeCell ref="A24:C24"/>
    <mergeCell ref="A25:C25"/>
    <mergeCell ref="A26:C26"/>
    <mergeCell ref="A27:C27"/>
    <mergeCell ref="A30:H30"/>
    <mergeCell ref="A31:C31"/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2CB5D616-AE34-4601-BEA7-088D78F1E674}">
          <x14:formula1>
            <xm:f>TRANS!$A$2:$A$20</xm:f>
          </x14:formula1>
          <xm:sqref>A32:C32</xm:sqref>
        </x14:dataValidation>
        <x14:dataValidation type="list" allowBlank="1" showInputMessage="1" showErrorMessage="1" xr:uid="{4B7F5267-CB65-4143-A0E8-874C248697DB}">
          <x14:formula1>
            <xm:f>EQUI!$A$2:$A$38</xm:f>
          </x14:formula1>
          <xm:sqref>A25:C25</xm:sqref>
        </x14:dataValidation>
        <x14:dataValidation type="list" showInputMessage="1" showErrorMessage="1" xr:uid="{D662559E-53FA-43B1-B293-1BFE27A5B211}">
          <x14:formula1>
            <xm:f>INS!$A$2:$A$137</xm:f>
          </x14:formula1>
          <xm:sqref>A15:D15</xm:sqref>
        </x14:dataValidation>
        <x14:dataValidation type="list" showInputMessage="1" showErrorMessage="1" xr:uid="{E44D1D7F-3284-434B-93BF-58B23787D45F}">
          <x14:formula1>
            <xm:f>LIST!$B$3:$B$120</xm:f>
          </x14:formula1>
          <xm:sqref>D10:H11</xm:sqref>
        </x14:dataValidation>
      </x14:dataValidations>
    </ext>
  </extLst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57AD9-CE23-475F-A75D-1D174B8529F2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+_xlfn.XLOOKUP($D$10,LIST!$B$3:$B$115,LIST!$C$3:$C$115)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269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9"/>
      <c r="F15" s="26"/>
      <c r="G15" s="24"/>
      <c r="H15" s="25"/>
    </row>
    <row r="16" spans="1:8">
      <c r="A16" s="553"/>
      <c r="B16" s="554"/>
      <c r="C16" s="554"/>
      <c r="D16" s="555"/>
      <c r="E16" s="19"/>
      <c r="F16" s="23"/>
      <c r="G16" s="24"/>
      <c r="H16" s="25"/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15764.583333333334</v>
      </c>
      <c r="H22" s="25">
        <f>F22*G22</f>
        <v>788.22916666666674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788.22916666666674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8">
      <c r="A28" s="566"/>
      <c r="B28" s="567"/>
      <c r="C28" s="567"/>
      <c r="D28" s="23"/>
      <c r="E28" s="19"/>
      <c r="F28" s="19"/>
      <c r="G28" s="35"/>
      <c r="H28" s="25"/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9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0.23</v>
      </c>
      <c r="H43" s="49">
        <f>F43*G43</f>
        <v>5702.0833333333339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3</v>
      </c>
      <c r="F44" s="24">
        <f>D44*E44</f>
        <v>43750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0.23</v>
      </c>
      <c r="H44" s="49">
        <f t="shared" ref="H44:H45" si="0">F44*G44</f>
        <v>10062.5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15764.583333333334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16553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  <mergeCell ref="A35:C35"/>
    <mergeCell ref="A19:D19"/>
    <mergeCell ref="A20:D20"/>
    <mergeCell ref="A21:D21"/>
    <mergeCell ref="A22:D22"/>
    <mergeCell ref="A25:H25"/>
    <mergeCell ref="A26:C26"/>
    <mergeCell ref="A27:C27"/>
    <mergeCell ref="A29:C29"/>
    <mergeCell ref="A30:C30"/>
    <mergeCell ref="A33:H33"/>
    <mergeCell ref="A34:C34"/>
    <mergeCell ref="A28:C28"/>
    <mergeCell ref="A18:D18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16:D16"/>
    <mergeCell ref="A17:D17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F795F73-7AA2-4A76-9C11-14D311C5EFF4}">
          <x14:formula1>
            <xm:f>EQUI!$A$2:$A$38</xm:f>
          </x14:formula1>
          <xm:sqref>A27:C27</xm:sqref>
        </x14:dataValidation>
        <x14:dataValidation type="list" showInputMessage="1" showErrorMessage="1" xr:uid="{E4E88E63-B22E-4DE3-AB0D-18F1AEE4BF12}">
          <x14:formula1>
            <xm:f>TRANS!$A$2:$A$20</xm:f>
          </x14:formula1>
          <xm:sqref>A35:C35</xm:sqref>
        </x14:dataValidation>
        <x14:dataValidation type="list" showInputMessage="1" showErrorMessage="1" xr:uid="{2372AE64-3D9A-45C9-81CF-83F513B5574A}">
          <x14:formula1>
            <xm:f>INS!$A$2:$A$137</xm:f>
          </x14:formula1>
          <xm:sqref>A15:D15</xm:sqref>
        </x14:dataValidation>
        <x14:dataValidation type="list" showInputMessage="1" showErrorMessage="1" xr:uid="{EB4F666D-5E21-43D7-B116-93FF39CDF538}">
          <x14:formula1>
            <xm:f>LIST!$B$3:$B$120</xm:f>
          </x14:formula1>
          <xm:sqref>D10:H11</xm:sqref>
        </x14:dataValidation>
      </x14:dataValidations>
    </ext>
  </extLst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24E9F-C543-459C-A2E1-CAAAAF2A5E08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+_xlfn.XLOOKUP(D10,PTO!$D$4:$D$15,PTO!$C$4:$C$15)</f>
        <v>#N/A</v>
      </c>
      <c r="E9" s="20" t="s">
        <v>26</v>
      </c>
      <c r="F9" s="19" t="str">
        <f>+_xlfn.XLOOKUP($D$10,LIST!$B$3:$B$115,LIST!$C$3:$C$115)</f>
        <v>GLOBAL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270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9"/>
      <c r="F15" s="26"/>
      <c r="G15" s="24"/>
      <c r="H15" s="25"/>
    </row>
    <row r="16" spans="1:8">
      <c r="A16" s="553"/>
      <c r="B16" s="554"/>
      <c r="C16" s="554"/>
      <c r="D16" s="555"/>
      <c r="E16" s="19"/>
      <c r="F16" s="23"/>
      <c r="G16" s="24"/>
      <c r="H16" s="25"/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685416.66666666674</v>
      </c>
      <c r="H22" s="25">
        <f>F22*G22</f>
        <v>34270.833333333336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34270.833333333336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/>
      <c r="B27" s="565"/>
      <c r="C27" s="565"/>
      <c r="D27" s="61"/>
      <c r="E27" s="19"/>
      <c r="F27" s="60">
        <f>IF($A$27=0,0,VLOOKUP($A$27,EQUI!$A$2:$E$6,3,FALSE))</f>
        <v>0</v>
      </c>
      <c r="G27" s="120">
        <f>+IF($A$27=0,0,VLOOKUP($A$27,EQUI!$A$2:$E$6,5,FALSE))</f>
        <v>0</v>
      </c>
      <c r="H27" s="25">
        <f>F27*G27</f>
        <v>0</v>
      </c>
    </row>
    <row r="28" spans="1:8">
      <c r="A28" s="317"/>
      <c r="B28" s="318"/>
      <c r="C28" s="318"/>
      <c r="D28" s="61"/>
      <c r="E28" s="19"/>
      <c r="F28" s="60"/>
      <c r="G28" s="120"/>
      <c r="H28" s="25"/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/>
      <c r="B35" s="571"/>
      <c r="C35" s="571"/>
      <c r="D35" s="124">
        <f>IF($A$35=0,0,VLOOKUP($A$35,TRANS!$A$2:$F$38,5,FALSE))</f>
        <v>0</v>
      </c>
      <c r="E35" s="42">
        <f>IF($A$35=0,0,VLOOKUP($A$35,TRANS!$A$2:$D$38,3,FALSE))</f>
        <v>0</v>
      </c>
      <c r="F35" s="19"/>
      <c r="G35" s="123">
        <f>IF($A$35=0,0,VLOOKUP($A$35,TRANS!$A$2:$D$38,4,FALSE))</f>
        <v>0</v>
      </c>
      <c r="H35" s="25">
        <f>+E35*F35*G35*D35</f>
        <v>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10</v>
      </c>
      <c r="H43" s="49">
        <f>F43*G43</f>
        <v>247916.66666666669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3</v>
      </c>
      <c r="F44" s="24">
        <f>D44*E44</f>
        <v>43750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10</v>
      </c>
      <c r="H44" s="49">
        <f t="shared" ref="H44:H45" si="0">F44*G44</f>
        <v>437500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685416.66666666674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719688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  <mergeCell ref="A35:C35"/>
    <mergeCell ref="A19:D19"/>
    <mergeCell ref="A20:D20"/>
    <mergeCell ref="A21:D21"/>
    <mergeCell ref="A22:D22"/>
    <mergeCell ref="A25:H25"/>
    <mergeCell ref="A26:C26"/>
    <mergeCell ref="A27:C27"/>
    <mergeCell ref="A29:C29"/>
    <mergeCell ref="A30:C30"/>
    <mergeCell ref="A33:H33"/>
    <mergeCell ref="A34:C34"/>
    <mergeCell ref="A18:D18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16:D16"/>
    <mergeCell ref="A17:D17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68386B30-80D4-4CFE-B980-665AF4B0A186}">
          <x14:formula1>
            <xm:f>TRANS!$A$2:$A$20</xm:f>
          </x14:formula1>
          <xm:sqref>A35:C35</xm:sqref>
        </x14:dataValidation>
        <x14:dataValidation type="list" allowBlank="1" showInputMessage="1" showErrorMessage="1" xr:uid="{AB4BB033-A2A2-4804-92AF-8DEA79806922}">
          <x14:formula1>
            <xm:f>EQUI!$A$2:$A$38</xm:f>
          </x14:formula1>
          <xm:sqref>A27:C28</xm:sqref>
        </x14:dataValidation>
        <x14:dataValidation type="list" showInputMessage="1" showErrorMessage="1" xr:uid="{55AEEE61-F0ED-4EB8-949A-5B5BE4C469EB}">
          <x14:formula1>
            <xm:f>INS!$A$2:$A$137</xm:f>
          </x14:formula1>
          <xm:sqref>A15:D15</xm:sqref>
        </x14:dataValidation>
        <x14:dataValidation type="list" showInputMessage="1" showErrorMessage="1" xr:uid="{84156034-FCAA-4E67-A9DB-360EC6DE150A}">
          <x14:formula1>
            <xm:f>LIST!$B$3:$B$120</xm:f>
          </x14:formula1>
          <xm:sqref>D10:H11</xm:sqref>
        </x14:dataValidation>
      </x14:dataValidations>
    </ext>
  </extLst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32075-1FC0-4FA5-9125-7FDDD8172424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e">
        <f>+PTO!#REF!</f>
        <v>#REF!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624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9"/>
      <c r="F15" s="26"/>
      <c r="G15" s="24"/>
      <c r="H15" s="25"/>
    </row>
    <row r="16" spans="1:8">
      <c r="A16" s="553"/>
      <c r="B16" s="554"/>
      <c r="C16" s="554"/>
      <c r="D16" s="555"/>
      <c r="E16" s="19"/>
      <c r="F16" s="23"/>
      <c r="G16" s="24"/>
      <c r="H16" s="25"/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290"/>
      <c r="B19" s="291"/>
      <c r="C19" s="291"/>
      <c r="D19" s="292"/>
      <c r="E19" s="19"/>
      <c r="F19" s="23"/>
      <c r="G19" s="24"/>
      <c r="H19" s="25"/>
    </row>
    <row r="20" spans="1:8">
      <c r="A20" s="553"/>
      <c r="B20" s="554"/>
      <c r="C20" s="554"/>
      <c r="D20" s="555"/>
      <c r="E20" s="19"/>
      <c r="F20" s="26"/>
      <c r="G20" s="24"/>
      <c r="H20" s="25"/>
    </row>
    <row r="21" spans="1:8">
      <c r="A21" s="553"/>
      <c r="B21" s="554"/>
      <c r="C21" s="554"/>
      <c r="D21" s="555"/>
      <c r="E21" s="19"/>
      <c r="F21" s="23"/>
      <c r="G21" s="24"/>
      <c r="H21" s="25"/>
    </row>
    <row r="22" spans="1:8">
      <c r="A22" s="553"/>
      <c r="B22" s="554"/>
      <c r="C22" s="554"/>
      <c r="D22" s="555"/>
      <c r="E22" s="27"/>
      <c r="F22" s="28"/>
      <c r="G22" s="29"/>
      <c r="H22" s="25"/>
    </row>
    <row r="23" spans="1:8">
      <c r="A23" s="553" t="s">
        <v>31</v>
      </c>
      <c r="B23" s="554"/>
      <c r="C23" s="554"/>
      <c r="D23" s="555"/>
      <c r="E23" s="30" t="s">
        <v>32</v>
      </c>
      <c r="F23" s="31">
        <v>0.05</v>
      </c>
      <c r="G23" s="32">
        <f>H46</f>
        <v>26979.166666666668</v>
      </c>
      <c r="H23" s="25">
        <f>F23*G23</f>
        <v>1348.9583333333335</v>
      </c>
    </row>
    <row r="24" spans="1:8">
      <c r="A24" s="16"/>
      <c r="B24" s="17"/>
      <c r="C24" s="17"/>
      <c r="D24" s="17"/>
      <c r="E24" s="17"/>
      <c r="F24" s="17"/>
      <c r="G24" s="33" t="s">
        <v>33</v>
      </c>
      <c r="H24" s="34">
        <f>SUM(H15:H23)</f>
        <v>1348.9583333333335</v>
      </c>
    </row>
    <row r="25" spans="1:8">
      <c r="A25" s="16"/>
      <c r="B25" s="17"/>
      <c r="C25" s="17"/>
      <c r="D25" s="17"/>
      <c r="E25" s="17"/>
      <c r="F25" s="17"/>
      <c r="G25" s="17"/>
      <c r="H25" s="18"/>
    </row>
    <row r="26" spans="1:8">
      <c r="A26" s="558" t="s">
        <v>34</v>
      </c>
      <c r="B26" s="558"/>
      <c r="C26" s="558"/>
      <c r="D26" s="558"/>
      <c r="E26" s="558"/>
      <c r="F26" s="558"/>
      <c r="G26" s="558"/>
      <c r="H26" s="558"/>
    </row>
    <row r="27" spans="1:8">
      <c r="A27" s="563" t="s">
        <v>4</v>
      </c>
      <c r="B27" s="564"/>
      <c r="C27" s="564"/>
      <c r="D27" s="20" t="s">
        <v>35</v>
      </c>
      <c r="E27" s="20" t="s">
        <v>5</v>
      </c>
      <c r="F27" s="20" t="s">
        <v>36</v>
      </c>
      <c r="G27" s="20" t="s">
        <v>37</v>
      </c>
      <c r="H27" s="22" t="s">
        <v>30</v>
      </c>
    </row>
    <row r="28" spans="1:8">
      <c r="A28" s="565"/>
      <c r="B28" s="565"/>
      <c r="C28" s="565"/>
      <c r="D28" s="61"/>
      <c r="E28" s="19"/>
      <c r="F28" s="60">
        <f>IF($A$28=0,0,VLOOKUP($A$28,EQUI!$A$2:$E$6,3,FALSE))</f>
        <v>0</v>
      </c>
      <c r="G28" s="120">
        <f>+IF($A$28=0,0,VLOOKUP($A$28,EQUI!$A$2:$E$6,5,FALSE))</f>
        <v>0</v>
      </c>
      <c r="H28" s="25">
        <f>F28*G28</f>
        <v>0</v>
      </c>
    </row>
    <row r="29" spans="1:8">
      <c r="A29" s="566"/>
      <c r="B29" s="567"/>
      <c r="C29" s="567"/>
      <c r="D29" s="23"/>
      <c r="E29" s="19"/>
      <c r="F29" s="19"/>
      <c r="G29" s="35"/>
      <c r="H29" s="25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SUM(H28:H30)</f>
        <v>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262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 ht="27.6" customHeight="1">
      <c r="A35" s="571" t="s">
        <v>263</v>
      </c>
      <c r="B35" s="571"/>
      <c r="C35" s="571"/>
      <c r="D35" s="124">
        <f>IF($A$35=0,0,VLOOKUP($A$35,TRANS!$A$2:$F$38,5,FALSE))</f>
        <v>1.3</v>
      </c>
      <c r="E35" s="42">
        <f>IF($A$35=0,0,VLOOKUP($A$35,TRANS!$A$2:$D$38,3,FALSE))</f>
        <v>5</v>
      </c>
      <c r="F35" s="19">
        <v>0.14000000000000001</v>
      </c>
      <c r="G35" s="123">
        <f>IF($A$35=0,0,VLOOKUP($A$35,TRANS!$A$2:$D$38,4,FALSE))</f>
        <v>1800</v>
      </c>
      <c r="H35" s="25">
        <f>+E35*F35*G35*D35</f>
        <v>1638.0000000000005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1638.0000000000005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3" s="49">
        <f>F43*G43</f>
        <v>12395.833333333334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</v>
      </c>
      <c r="H44" s="49">
        <f t="shared" ref="H44:H45" si="0">F44*G44</f>
        <v>14583.333333333334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26979.166666666668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ROUND(H24+H31+H39+H46,0)</f>
        <v>29966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39"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  <mergeCell ref="A35:C35"/>
    <mergeCell ref="A20:D20"/>
    <mergeCell ref="A21:D21"/>
    <mergeCell ref="A22:D22"/>
    <mergeCell ref="A23:D23"/>
    <mergeCell ref="A26:H26"/>
    <mergeCell ref="A27:C27"/>
    <mergeCell ref="A28:C28"/>
    <mergeCell ref="A29:C29"/>
    <mergeCell ref="A30:C30"/>
    <mergeCell ref="A33:H33"/>
    <mergeCell ref="A34:C34"/>
    <mergeCell ref="A18:D18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  <mergeCell ref="A16:D16"/>
    <mergeCell ref="A17:D17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7A6E128-EADB-4E55-AFBA-385A260F93CF}">
          <x14:formula1>
            <xm:f>EQUI!$A$2:$A$38</xm:f>
          </x14:formula1>
          <xm:sqref>A28:C28</xm:sqref>
        </x14:dataValidation>
        <x14:dataValidation type="list" showInputMessage="1" showErrorMessage="1" xr:uid="{995CAB04-C1EA-491A-BE28-F23EA61AF3E4}">
          <x14:formula1>
            <xm:f>TRANS!$A$2:$A$20</xm:f>
          </x14:formula1>
          <xm:sqref>A35:C35</xm:sqref>
        </x14:dataValidation>
        <x14:dataValidation type="list" showInputMessage="1" showErrorMessage="1" xr:uid="{E6FB69F7-F385-445D-95D0-43F1CCD70B61}">
          <x14:formula1>
            <xm:f>INS!$A$2:$A$137</xm:f>
          </x14:formula1>
          <xm:sqref>A15:D15</xm:sqref>
        </x14:dataValidation>
        <x14:dataValidation type="list" showInputMessage="1" showErrorMessage="1" xr:uid="{EFD58C15-7512-4094-B5C4-E9640B26E5E6}">
          <x14:formula1>
            <xm:f>LIST!$B$3:$B$120</xm:f>
          </x14:formula1>
          <xm:sqref>D10:H11</xm:sqref>
        </x14:dataValidation>
      </x14:dataValidations>
    </ext>
  </extLst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AD247-1EB5-4882-AF44-534C1F069E3B}">
  <sheetPr>
    <tabColor rgb="FF7030A0"/>
  </sheetPr>
  <dimension ref="A1:H56"/>
  <sheetViews>
    <sheetView workbookViewId="0">
      <selection sqref="A1:H1"/>
    </sheetView>
  </sheetViews>
  <sheetFormatPr baseColWidth="10" defaultRowHeight="14.4"/>
  <cols>
    <col min="1" max="3" width="10.88671875" customWidth="1"/>
    <col min="4" max="4" width="18.5546875" customWidth="1"/>
    <col min="5" max="5" width="14.44140625" customWidth="1"/>
    <col min="6" max="6" width="13.109375" customWidth="1"/>
    <col min="7" max="7" width="15" customWidth="1"/>
    <col min="8" max="8" width="17.5546875" customWidth="1"/>
  </cols>
  <sheetData>
    <row r="1" spans="1:8" ht="15" thickBot="1">
      <c r="A1" s="546" t="s">
        <v>22</v>
      </c>
      <c r="B1" s="546"/>
      <c r="C1" s="546"/>
      <c r="D1" s="546"/>
      <c r="E1" s="546"/>
      <c r="F1" s="546"/>
      <c r="G1" s="546"/>
      <c r="H1" s="546"/>
    </row>
    <row r="2" spans="1:8" ht="15" thickTop="1">
      <c r="A2" s="16"/>
      <c r="B2" s="17"/>
      <c r="C2" s="17"/>
      <c r="D2" s="17"/>
      <c r="E2" s="17"/>
      <c r="F2" s="17"/>
      <c r="G2" s="17"/>
      <c r="H2" s="18"/>
    </row>
    <row r="3" spans="1:8">
      <c r="A3" s="547" t="s">
        <v>23</v>
      </c>
      <c r="B3" s="548"/>
      <c r="C3" s="548"/>
      <c r="D3" s="548"/>
      <c r="E3" s="548"/>
      <c r="F3" s="548"/>
      <c r="G3" s="548"/>
      <c r="H3" s="549"/>
    </row>
    <row r="4" spans="1:8">
      <c r="A4" s="547" t="s">
        <v>24</v>
      </c>
      <c r="B4" s="548"/>
      <c r="C4" s="548"/>
      <c r="D4" s="548"/>
      <c r="E4" s="548"/>
      <c r="F4" s="548"/>
      <c r="G4" s="548"/>
      <c r="H4" s="549"/>
    </row>
    <row r="5" spans="1:8" ht="25.5" customHeight="1">
      <c r="A5" s="16"/>
      <c r="B5" s="17"/>
      <c r="C5" s="17"/>
      <c r="D5" s="17"/>
      <c r="E5" s="17"/>
      <c r="F5" s="17"/>
      <c r="G5" s="17"/>
      <c r="H5" s="18"/>
    </row>
    <row r="6" spans="1:8">
      <c r="A6" s="550" t="s">
        <v>25</v>
      </c>
      <c r="B6" s="552" t="str">
        <f>+PTO!D3</f>
        <v>PAVIMENTACIÓN SECTORIAL DE LA CARRERA 5 ENTRE CALLES 2 Y 3 DEL MUNICIPIO DE RIOBLANCO TOLIMA</v>
      </c>
      <c r="C6" s="552"/>
      <c r="D6" s="552"/>
      <c r="E6" s="552"/>
      <c r="F6" s="552"/>
      <c r="G6" s="552"/>
      <c r="H6" s="552"/>
    </row>
    <row r="7" spans="1:8" ht="24.75" customHeight="1">
      <c r="A7" s="551"/>
      <c r="B7" s="552"/>
      <c r="C7" s="552"/>
      <c r="D7" s="552"/>
      <c r="E7" s="552"/>
      <c r="F7" s="552"/>
      <c r="G7" s="552"/>
      <c r="H7" s="552"/>
    </row>
    <row r="8" spans="1:8">
      <c r="A8" s="16"/>
      <c r="B8" s="17"/>
      <c r="C8" s="17"/>
      <c r="D8" s="17"/>
      <c r="E8" s="17"/>
      <c r="F8" s="17"/>
      <c r="G8" s="17"/>
      <c r="H8" s="18"/>
    </row>
    <row r="9" spans="1:8">
      <c r="A9" s="545" t="s">
        <v>3</v>
      </c>
      <c r="B9" s="545"/>
      <c r="C9" s="545"/>
      <c r="D9" s="19" t="str">
        <f>+PTO!B7</f>
        <v>P-0017</v>
      </c>
      <c r="E9" s="20" t="s">
        <v>26</v>
      </c>
      <c r="F9" s="19" t="str">
        <f>+VLOOKUP($D$10,LIST!B3:C80,2,FALSE)</f>
        <v>M2</v>
      </c>
      <c r="G9" s="20" t="s">
        <v>20</v>
      </c>
      <c r="H9" s="21">
        <v>1</v>
      </c>
    </row>
    <row r="10" spans="1:8">
      <c r="A10" s="556" t="s">
        <v>4</v>
      </c>
      <c r="B10" s="556"/>
      <c r="C10" s="556"/>
      <c r="D10" s="557" t="s">
        <v>489</v>
      </c>
      <c r="E10" s="557"/>
      <c r="F10" s="557"/>
      <c r="G10" s="557"/>
      <c r="H10" s="557"/>
    </row>
    <row r="11" spans="1:8">
      <c r="A11" s="556"/>
      <c r="B11" s="556"/>
      <c r="C11" s="556"/>
      <c r="D11" s="557"/>
      <c r="E11" s="557"/>
      <c r="F11" s="557"/>
      <c r="G11" s="557"/>
      <c r="H11" s="557"/>
    </row>
    <row r="12" spans="1:8">
      <c r="A12" s="16"/>
      <c r="B12" s="17"/>
      <c r="C12" s="17"/>
      <c r="D12" s="17"/>
      <c r="E12" s="17"/>
      <c r="F12" s="17"/>
      <c r="G12" s="17"/>
      <c r="H12" s="18"/>
    </row>
    <row r="13" spans="1:8">
      <c r="A13" s="558" t="s">
        <v>27</v>
      </c>
      <c r="B13" s="558"/>
      <c r="C13" s="558"/>
      <c r="D13" s="558"/>
      <c r="E13" s="558"/>
      <c r="F13" s="558"/>
      <c r="G13" s="558"/>
      <c r="H13" s="558"/>
    </row>
    <row r="14" spans="1:8">
      <c r="A14" s="545" t="s">
        <v>4</v>
      </c>
      <c r="B14" s="545"/>
      <c r="C14" s="545"/>
      <c r="D14" s="545"/>
      <c r="E14" s="20" t="s">
        <v>5</v>
      </c>
      <c r="F14" s="20" t="s">
        <v>28</v>
      </c>
      <c r="G14" s="20" t="s">
        <v>29</v>
      </c>
      <c r="H14" s="22" t="s">
        <v>30</v>
      </c>
    </row>
    <row r="15" spans="1:8">
      <c r="A15" s="553"/>
      <c r="B15" s="554"/>
      <c r="C15" s="554"/>
      <c r="D15" s="555"/>
      <c r="E15" s="19"/>
      <c r="F15" s="26"/>
      <c r="G15" s="24"/>
      <c r="H15" s="25"/>
    </row>
    <row r="16" spans="1:8">
      <c r="A16" s="553"/>
      <c r="B16" s="554"/>
      <c r="C16" s="554"/>
      <c r="D16" s="555"/>
      <c r="E16" s="19"/>
      <c r="F16" s="23"/>
      <c r="G16" s="24"/>
      <c r="H16" s="25"/>
    </row>
    <row r="17" spans="1:8">
      <c r="A17" s="553"/>
      <c r="B17" s="554"/>
      <c r="C17" s="554"/>
      <c r="D17" s="555"/>
      <c r="E17" s="19"/>
      <c r="F17" s="26"/>
      <c r="G17" s="24"/>
      <c r="H17" s="25"/>
    </row>
    <row r="18" spans="1:8">
      <c r="A18" s="553"/>
      <c r="B18" s="554"/>
      <c r="C18" s="554"/>
      <c r="D18" s="555"/>
      <c r="E18" s="19"/>
      <c r="F18" s="23"/>
      <c r="G18" s="24"/>
      <c r="H18" s="25"/>
    </row>
    <row r="19" spans="1:8">
      <c r="A19" s="553"/>
      <c r="B19" s="554"/>
      <c r="C19" s="554"/>
      <c r="D19" s="555"/>
      <c r="E19" s="19"/>
      <c r="F19" s="26"/>
      <c r="G19" s="24"/>
      <c r="H19" s="25"/>
    </row>
    <row r="20" spans="1:8">
      <c r="A20" s="553"/>
      <c r="B20" s="554"/>
      <c r="C20" s="554"/>
      <c r="D20" s="555"/>
      <c r="E20" s="19"/>
      <c r="F20" s="23"/>
      <c r="G20" s="24"/>
      <c r="H20" s="25"/>
    </row>
    <row r="21" spans="1:8">
      <c r="A21" s="553"/>
      <c r="B21" s="554"/>
      <c r="C21" s="554"/>
      <c r="D21" s="555"/>
      <c r="E21" s="27"/>
      <c r="F21" s="28"/>
      <c r="G21" s="29"/>
      <c r="H21" s="25"/>
    </row>
    <row r="22" spans="1:8">
      <c r="A22" s="553" t="s">
        <v>31</v>
      </c>
      <c r="B22" s="554"/>
      <c r="C22" s="554"/>
      <c r="D22" s="555"/>
      <c r="E22" s="30" t="s">
        <v>32</v>
      </c>
      <c r="F22" s="31">
        <v>0.05</v>
      </c>
      <c r="G22" s="32">
        <f>H46</f>
        <v>29677.083333333336</v>
      </c>
      <c r="H22" s="25">
        <f>F22*G22</f>
        <v>1483.854166666667</v>
      </c>
    </row>
    <row r="23" spans="1:8">
      <c r="A23" s="16"/>
      <c r="B23" s="17"/>
      <c r="C23" s="17"/>
      <c r="D23" s="17"/>
      <c r="E23" s="17"/>
      <c r="F23" s="17"/>
      <c r="G23" s="33" t="s">
        <v>33</v>
      </c>
      <c r="H23" s="34">
        <f>SUM(H15:H22)</f>
        <v>1483.854166666667</v>
      </c>
    </row>
    <row r="24" spans="1:8">
      <c r="A24" s="16"/>
      <c r="B24" s="17"/>
      <c r="C24" s="17"/>
      <c r="D24" s="17"/>
      <c r="E24" s="17"/>
      <c r="F24" s="17"/>
      <c r="G24" s="17"/>
      <c r="H24" s="18"/>
    </row>
    <row r="25" spans="1:8">
      <c r="A25" s="558" t="s">
        <v>34</v>
      </c>
      <c r="B25" s="558"/>
      <c r="C25" s="558"/>
      <c r="D25" s="558"/>
      <c r="E25" s="558"/>
      <c r="F25" s="558"/>
      <c r="G25" s="558"/>
      <c r="H25" s="558"/>
    </row>
    <row r="26" spans="1:8">
      <c r="A26" s="563" t="s">
        <v>4</v>
      </c>
      <c r="B26" s="564"/>
      <c r="C26" s="564"/>
      <c r="D26" s="20" t="s">
        <v>35</v>
      </c>
      <c r="E26" s="20" t="s">
        <v>5</v>
      </c>
      <c r="F26" s="20" t="s">
        <v>36</v>
      </c>
      <c r="G26" s="20" t="s">
        <v>37</v>
      </c>
      <c r="H26" s="22" t="s">
        <v>30</v>
      </c>
    </row>
    <row r="27" spans="1:8">
      <c r="A27" s="565" t="s">
        <v>68</v>
      </c>
      <c r="B27" s="565"/>
      <c r="C27" s="565"/>
      <c r="D27" s="61"/>
      <c r="E27" s="60" t="str">
        <f>IF($A27=0,0,_xlfn.XLOOKUP($A27,EQUI[DESCRIPCIÓN],EQUI[UNIDAD]))</f>
        <v>HORA</v>
      </c>
      <c r="F27" s="60">
        <f>IF($A27=0,0,_xlfn.XLOOKUP($A27,EQUI[DESCRIPCIÓN],EQUI[VALOR]))</f>
        <v>50000</v>
      </c>
      <c r="G27" s="389">
        <f>IF($A27=0,0,_xlfn.XLOOKUP($A27,EQUI[DESCRIPCIÓN],EQUI[RENDIMIENTO]))</f>
        <v>0.2</v>
      </c>
      <c r="H27" s="25">
        <f>F27*G27</f>
        <v>10000</v>
      </c>
    </row>
    <row r="28" spans="1:8">
      <c r="A28" s="565" t="s">
        <v>492</v>
      </c>
      <c r="B28" s="565"/>
      <c r="C28" s="565"/>
      <c r="D28" s="61"/>
      <c r="E28" s="60" t="str">
        <f>IF($A28=0,0,_xlfn.XLOOKUP($A28,EQUI[DESCRIPCIÓN],EQUI[UNIDAD]))</f>
        <v>DIA</v>
      </c>
      <c r="F28" s="60">
        <f>IF($A28=0,0,_xlfn.XLOOKUP($A28,EQUI[DESCRIPCIÓN],EQUI[VALOR]))</f>
        <v>50000</v>
      </c>
      <c r="G28" s="389">
        <f>IF($A28=0,0,_xlfn.XLOOKUP($A28,EQUI[DESCRIPCIÓN],EQUI[RENDIMIENTO]))</f>
        <v>0.01</v>
      </c>
      <c r="H28" s="25">
        <f>F28*G28</f>
        <v>500</v>
      </c>
    </row>
    <row r="29" spans="1:8">
      <c r="A29" s="566"/>
      <c r="B29" s="567"/>
      <c r="C29" s="567"/>
      <c r="D29" s="36"/>
      <c r="E29" s="36"/>
      <c r="F29" s="36"/>
      <c r="G29" s="36"/>
      <c r="H29" s="37"/>
    </row>
    <row r="30" spans="1:8">
      <c r="A30" s="566"/>
      <c r="B30" s="567"/>
      <c r="C30" s="567"/>
      <c r="D30" s="36"/>
      <c r="E30" s="36"/>
      <c r="F30" s="36"/>
      <c r="G30" s="36"/>
      <c r="H30" s="37"/>
    </row>
    <row r="31" spans="1:8">
      <c r="A31" s="16"/>
      <c r="B31" s="17"/>
      <c r="C31" s="17"/>
      <c r="D31" s="17"/>
      <c r="E31" s="17"/>
      <c r="F31" s="17"/>
      <c r="G31" s="38" t="s">
        <v>33</v>
      </c>
      <c r="H31" s="34">
        <f>SUM(H27:H30)</f>
        <v>10500</v>
      </c>
    </row>
    <row r="32" spans="1:8">
      <c r="A32" s="16"/>
      <c r="B32" s="17"/>
      <c r="C32" s="17"/>
      <c r="D32" s="17"/>
      <c r="E32" s="17"/>
      <c r="F32" s="17"/>
      <c r="G32" s="39"/>
      <c r="H32" s="40"/>
    </row>
    <row r="33" spans="1:8">
      <c r="A33" s="568" t="s">
        <v>38</v>
      </c>
      <c r="B33" s="569"/>
      <c r="C33" s="569"/>
      <c r="D33" s="569"/>
      <c r="E33" s="569"/>
      <c r="F33" s="569"/>
      <c r="G33" s="569"/>
      <c r="H33" s="570"/>
    </row>
    <row r="34" spans="1:8">
      <c r="A34" s="563" t="s">
        <v>39</v>
      </c>
      <c r="B34" s="564"/>
      <c r="C34" s="564"/>
      <c r="D34" s="20" t="s">
        <v>40</v>
      </c>
      <c r="E34" s="20" t="s">
        <v>41</v>
      </c>
      <c r="F34" s="20" t="s">
        <v>42</v>
      </c>
      <c r="G34" s="20" t="s">
        <v>43</v>
      </c>
      <c r="H34" s="22" t="s">
        <v>30</v>
      </c>
    </row>
    <row r="35" spans="1:8">
      <c r="A35" s="572" t="s">
        <v>263</v>
      </c>
      <c r="B35" s="572"/>
      <c r="C35" s="572"/>
      <c r="D35" s="124">
        <f>IF($A$35=0,0,VLOOKUP($A$35,TRANS!$A$2:$F$38,5,FALSE))</f>
        <v>1.3</v>
      </c>
      <c r="E35" s="42">
        <f>IF($A$35=0,0,VLOOKUP($A$35,TRANS!$A$2:$D$38,3,FALSE))</f>
        <v>5</v>
      </c>
      <c r="F35" s="147">
        <v>0.1</v>
      </c>
      <c r="G35" s="123">
        <f>IF($A$35=0,0,VLOOKUP($A$35,TRANS!$A$2:$D$38,4,FALSE))</f>
        <v>1800</v>
      </c>
      <c r="H35" s="25">
        <f>+E35*F35*G35*D35</f>
        <v>1170</v>
      </c>
    </row>
    <row r="36" spans="1:8">
      <c r="A36" s="572"/>
      <c r="B36" s="572"/>
      <c r="C36" s="572"/>
      <c r="D36" s="41"/>
      <c r="E36" s="19"/>
      <c r="F36" s="19"/>
      <c r="G36" s="43"/>
      <c r="H36" s="25"/>
    </row>
    <row r="37" spans="1:8">
      <c r="A37" s="566"/>
      <c r="B37" s="567"/>
      <c r="C37" s="567"/>
      <c r="D37" s="44"/>
      <c r="E37" s="19"/>
      <c r="F37" s="19"/>
      <c r="G37" s="45"/>
      <c r="H37" s="25"/>
    </row>
    <row r="38" spans="1:8">
      <c r="A38" s="566"/>
      <c r="B38" s="567"/>
      <c r="C38" s="567"/>
      <c r="D38" s="36"/>
      <c r="E38" s="36"/>
      <c r="F38" s="36"/>
      <c r="G38" s="36"/>
      <c r="H38" s="37"/>
    </row>
    <row r="39" spans="1:8">
      <c r="A39" s="16"/>
      <c r="B39" s="17"/>
      <c r="C39" s="17"/>
      <c r="D39" s="17"/>
      <c r="E39" s="17"/>
      <c r="F39" s="17"/>
      <c r="G39" s="46" t="s">
        <v>33</v>
      </c>
      <c r="H39" s="34">
        <f>SUM(H35:H38)</f>
        <v>1170</v>
      </c>
    </row>
    <row r="40" spans="1:8">
      <c r="A40" s="16"/>
      <c r="B40" s="17"/>
      <c r="C40" s="17"/>
      <c r="D40" s="17"/>
      <c r="E40" s="17"/>
      <c r="F40" s="17"/>
      <c r="G40" s="39"/>
      <c r="H40" s="40"/>
    </row>
    <row r="41" spans="1:8">
      <c r="A41" s="558" t="s">
        <v>44</v>
      </c>
      <c r="B41" s="558"/>
      <c r="C41" s="558"/>
      <c r="D41" s="558"/>
      <c r="E41" s="558"/>
      <c r="F41" s="558"/>
      <c r="G41" s="562"/>
      <c r="H41" s="562"/>
    </row>
    <row r="42" spans="1:8" ht="27.6">
      <c r="A42" s="577" t="s">
        <v>4</v>
      </c>
      <c r="B42" s="578"/>
      <c r="C42" s="578"/>
      <c r="D42" s="47" t="s">
        <v>45</v>
      </c>
      <c r="E42" s="22" t="s">
        <v>20</v>
      </c>
      <c r="F42" s="22" t="s">
        <v>46</v>
      </c>
      <c r="G42" s="22" t="s">
        <v>47</v>
      </c>
      <c r="H42" s="22" t="s">
        <v>30</v>
      </c>
    </row>
    <row r="43" spans="1:8">
      <c r="A43" s="566" t="s">
        <v>48</v>
      </c>
      <c r="B43" s="567"/>
      <c r="C43" s="567"/>
      <c r="D43" s="48">
        <f>MO!F31/8</f>
        <v>24791.666666666668</v>
      </c>
      <c r="E43" s="19">
        <v>1</v>
      </c>
      <c r="F43" s="24">
        <f>D43*E43</f>
        <v>24791.666666666668</v>
      </c>
      <c r="G43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0.55000000000000004</v>
      </c>
      <c r="H43" s="49">
        <f>F43*G43</f>
        <v>13635.416666666668</v>
      </c>
    </row>
    <row r="44" spans="1:8">
      <c r="A44" s="566" t="s">
        <v>49</v>
      </c>
      <c r="B44" s="567"/>
      <c r="C44" s="567"/>
      <c r="D44" s="48">
        <f>MO!F14/8</f>
        <v>14583.333333333334</v>
      </c>
      <c r="E44" s="19">
        <v>2</v>
      </c>
      <c r="F44" s="24">
        <f>D44*E44</f>
        <v>29166.666666666668</v>
      </c>
      <c r="G44" s="23">
        <f>+IF(AND($E$43=1,$E$44=1),_xlfn.XLOOKUP($D$10,REND[DESCRIPCIÓN],REND[RENDIMIENTO (1)]),IF(AND($E$43=1,$E$44=2),_xlfn.XLOOKUP($D$10,REND[DESCRIPCIÓN],REND[RENDIMIENTO (2)]),IF(AND($E$43=1,$E$44=3),_xlfn.XLOOKUP($D$10,REND[DESCRIPCIÓN],REND[RENDIMIENTO (3)]),IF(AND($E$43=1,$E$44=4),_xlfn.XLOOKUP($D$10,REND[DESCRIPCIÓN],REND[RENDIMIENTO (4)]),0))))</f>
        <v>0.55000000000000004</v>
      </c>
      <c r="H44" s="49">
        <f t="shared" ref="H44:H45" si="0">F44*G44</f>
        <v>16041.666666666668</v>
      </c>
    </row>
    <row r="45" spans="1:8">
      <c r="A45" s="566"/>
      <c r="B45" s="567"/>
      <c r="C45" s="567"/>
      <c r="D45" s="36"/>
      <c r="E45" s="36"/>
      <c r="F45" s="50"/>
      <c r="G45" s="36"/>
      <c r="H45" s="49">
        <f t="shared" si="0"/>
        <v>0</v>
      </c>
    </row>
    <row r="46" spans="1:8">
      <c r="A46" s="16"/>
      <c r="B46" s="17"/>
      <c r="C46" s="17"/>
      <c r="D46" s="17"/>
      <c r="E46" s="17"/>
      <c r="F46" s="17"/>
      <c r="G46" s="38" t="s">
        <v>33</v>
      </c>
      <c r="H46" s="49">
        <f>SUM(H43:H45)</f>
        <v>29677.083333333336</v>
      </c>
    </row>
    <row r="47" spans="1:8">
      <c r="A47" s="16"/>
      <c r="B47" s="17"/>
      <c r="C47" s="17"/>
      <c r="D47" s="17"/>
      <c r="E47" s="17"/>
      <c r="F47" s="17"/>
      <c r="G47" s="17"/>
      <c r="H47" s="18"/>
    </row>
    <row r="48" spans="1:8">
      <c r="A48" s="545" t="s">
        <v>50</v>
      </c>
      <c r="B48" s="545"/>
      <c r="C48" s="545"/>
      <c r="D48" s="545"/>
      <c r="E48" s="545"/>
      <c r="F48" s="545"/>
      <c r="G48" s="545"/>
      <c r="H48" s="25">
        <f>ROUND(H23+H31+H39+H46,0)</f>
        <v>42831</v>
      </c>
    </row>
    <row r="49" spans="1:8">
      <c r="A49" s="51"/>
      <c r="B49" s="52"/>
      <c r="C49" s="52"/>
      <c r="D49" s="52"/>
      <c r="E49" s="52"/>
      <c r="F49" s="52"/>
      <c r="G49" s="52"/>
      <c r="H49" s="53"/>
    </row>
    <row r="50" spans="1:8">
      <c r="A50" s="51"/>
      <c r="B50" s="52"/>
      <c r="C50" s="52"/>
      <c r="D50" s="52"/>
      <c r="E50" s="52"/>
      <c r="F50" s="52"/>
      <c r="G50" s="52"/>
      <c r="H50" s="53"/>
    </row>
    <row r="51" spans="1:8">
      <c r="A51" s="51"/>
      <c r="B51" s="52"/>
      <c r="C51" s="52"/>
      <c r="D51" s="52"/>
      <c r="E51" s="52"/>
      <c r="F51" s="52"/>
      <c r="G51" s="52"/>
      <c r="H51" s="53"/>
    </row>
    <row r="52" spans="1:8">
      <c r="A52" s="51"/>
      <c r="B52" s="52"/>
      <c r="C52" s="52"/>
      <c r="D52" s="52"/>
      <c r="E52" s="52"/>
      <c r="F52" s="52"/>
      <c r="G52" s="52"/>
      <c r="H52" s="53"/>
    </row>
    <row r="53" spans="1:8">
      <c r="A53" s="54"/>
      <c r="B53" s="55"/>
      <c r="C53" s="55"/>
      <c r="D53" s="55"/>
      <c r="E53" s="55"/>
      <c r="F53" s="55"/>
      <c r="G53" s="55"/>
      <c r="H53" s="56"/>
    </row>
    <row r="54" spans="1:8">
      <c r="A54" s="579" t="s">
        <v>248</v>
      </c>
      <c r="B54" s="580"/>
      <c r="C54" s="580"/>
      <c r="D54" s="580"/>
      <c r="E54" s="55"/>
      <c r="F54" s="580" t="s">
        <v>264</v>
      </c>
      <c r="G54" s="580"/>
      <c r="H54" s="581"/>
    </row>
    <row r="55" spans="1:8">
      <c r="A55" s="573" t="s">
        <v>247</v>
      </c>
      <c r="B55" s="574"/>
      <c r="C55" s="574"/>
      <c r="D55" s="574"/>
      <c r="E55" s="55"/>
      <c r="F55" s="575" t="s">
        <v>51</v>
      </c>
      <c r="G55" s="575"/>
      <c r="H55" s="576"/>
    </row>
    <row r="56" spans="1:8">
      <c r="A56" s="57"/>
      <c r="B56" s="58"/>
      <c r="C56" s="58"/>
      <c r="D56" s="58"/>
      <c r="E56" s="58"/>
      <c r="F56" s="58"/>
      <c r="G56" s="58"/>
      <c r="H56" s="59"/>
    </row>
  </sheetData>
  <mergeCells count="40">
    <mergeCell ref="A55:D55"/>
    <mergeCell ref="F55:H55"/>
    <mergeCell ref="A36:C36"/>
    <mergeCell ref="A37:C37"/>
    <mergeCell ref="A38:C38"/>
    <mergeCell ref="A41:H41"/>
    <mergeCell ref="A42:C42"/>
    <mergeCell ref="A43:C43"/>
    <mergeCell ref="A44:C44"/>
    <mergeCell ref="A45:C45"/>
    <mergeCell ref="A48:G48"/>
    <mergeCell ref="A54:D54"/>
    <mergeCell ref="F54:H54"/>
    <mergeCell ref="A35:C35"/>
    <mergeCell ref="A19:D19"/>
    <mergeCell ref="A20:D20"/>
    <mergeCell ref="A21:D21"/>
    <mergeCell ref="A22:D22"/>
    <mergeCell ref="A25:H25"/>
    <mergeCell ref="A26:C26"/>
    <mergeCell ref="A27:C27"/>
    <mergeCell ref="A28:C28"/>
    <mergeCell ref="A30:C30"/>
    <mergeCell ref="A33:H33"/>
    <mergeCell ref="A34:C34"/>
    <mergeCell ref="A17:D17"/>
    <mergeCell ref="A18:D18"/>
    <mergeCell ref="A29:C29"/>
    <mergeCell ref="A16:D16"/>
    <mergeCell ref="A1:H1"/>
    <mergeCell ref="A3:H3"/>
    <mergeCell ref="A4:H4"/>
    <mergeCell ref="A6:A7"/>
    <mergeCell ref="B6:H7"/>
    <mergeCell ref="A9:C9"/>
    <mergeCell ref="A10:C11"/>
    <mergeCell ref="D10:H11"/>
    <mergeCell ref="A13:H13"/>
    <mergeCell ref="A14:D14"/>
    <mergeCell ref="A15:D1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4B862FE-304D-47BE-BA97-791F7DD3FCC6}">
          <x14:formula1>
            <xm:f>EQUI!$A$2:$A$38</xm:f>
          </x14:formula1>
          <xm:sqref>A27:C28</xm:sqref>
        </x14:dataValidation>
        <x14:dataValidation type="list" showInputMessage="1" showErrorMessage="1" xr:uid="{19FC7DB2-1B46-45D3-9CAF-BE8EAF7E8904}">
          <x14:formula1>
            <xm:f>TRANS!$A$2:$A$20</xm:f>
          </x14:formula1>
          <xm:sqref>A35:C35</xm:sqref>
        </x14:dataValidation>
        <x14:dataValidation type="list" showInputMessage="1" showErrorMessage="1" xr:uid="{185656BF-78BB-471E-A437-70ADBBCAC325}">
          <x14:formula1>
            <xm:f>INS!$A$2:$A$137</xm:f>
          </x14:formula1>
          <xm:sqref>A15:D15</xm:sqref>
        </x14:dataValidation>
        <x14:dataValidation type="list" showInputMessage="1" showErrorMessage="1" xr:uid="{8D812E8D-78E7-4E77-B683-D64AF3D79523}">
          <x14:formula1>
            <xm:f>LIST!$B$3:$B$120</xm:f>
          </x14:formula1>
          <xm:sqref>D10:H11</xm:sqref>
        </x14:dataValidation>
      </x14:dataValidations>
    </ext>
  </extLst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13017-D1FA-4DC3-A3C5-4B91C68BCC19}"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D1DF0-9C79-4FDB-B753-37B79AE52C37}"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110</vt:i4>
      </vt:variant>
      <vt:variant>
        <vt:lpstr>Rangos con nombre</vt:lpstr>
      </vt:variant>
      <vt:variant>
        <vt:i4>1</vt:i4>
      </vt:variant>
    </vt:vector>
  </HeadingPairs>
  <TitlesOfParts>
    <vt:vector size="111" baseType="lpstr">
      <vt:lpstr>AIU</vt:lpstr>
      <vt:lpstr>LIST</vt:lpstr>
      <vt:lpstr>REND</vt:lpstr>
      <vt:lpstr>EQUI</vt:lpstr>
      <vt:lpstr>TRANS</vt:lpstr>
      <vt:lpstr>INS</vt:lpstr>
      <vt:lpstr>MO</vt:lpstr>
      <vt:lpstr>M. CANT.</vt:lpstr>
      <vt:lpstr>PTO</vt:lpstr>
      <vt:lpstr>MED-011</vt:lpstr>
      <vt:lpstr>MED-010</vt:lpstr>
      <vt:lpstr>MED-009</vt:lpstr>
      <vt:lpstr>MED-008</vt:lpstr>
      <vt:lpstr>MED-007</vt:lpstr>
      <vt:lpstr>MED-006</vt:lpstr>
      <vt:lpstr>MED-005</vt:lpstr>
      <vt:lpstr>MED-004</vt:lpstr>
      <vt:lpstr>MED-003</vt:lpstr>
      <vt:lpstr>MED-002</vt:lpstr>
      <vt:lpstr>MED-001</vt:lpstr>
      <vt:lpstr>HS-015</vt:lpstr>
      <vt:lpstr>PAV-004</vt:lpstr>
      <vt:lpstr>PAV-003</vt:lpstr>
      <vt:lpstr>PAV-002</vt:lpstr>
      <vt:lpstr>PAV-006</vt:lpstr>
      <vt:lpstr>PAV-001</vt:lpstr>
      <vt:lpstr>CIE-008</vt:lpstr>
      <vt:lpstr>CIE-007</vt:lpstr>
      <vt:lpstr>CIE-006</vt:lpstr>
      <vt:lpstr>CIE-005</vt:lpstr>
      <vt:lpstr>CIE-004</vt:lpstr>
      <vt:lpstr>CIE-003</vt:lpstr>
      <vt:lpstr>CIE-002</vt:lpstr>
      <vt:lpstr>CIE-001</vt:lpstr>
      <vt:lpstr>HS-014</vt:lpstr>
      <vt:lpstr>HS-013</vt:lpstr>
      <vt:lpstr>HS-012</vt:lpstr>
      <vt:lpstr>HS-011</vt:lpstr>
      <vt:lpstr>HS-010</vt:lpstr>
      <vt:lpstr>HS-009</vt:lpstr>
      <vt:lpstr>HS-008</vt:lpstr>
      <vt:lpstr>HS-007</vt:lpstr>
      <vt:lpstr>HS-006</vt:lpstr>
      <vt:lpstr>HS-005</vt:lpstr>
      <vt:lpstr>HS-004</vt:lpstr>
      <vt:lpstr>HS-003</vt:lpstr>
      <vt:lpstr>HS-002</vt:lpstr>
      <vt:lpstr>HS-001</vt:lpstr>
      <vt:lpstr>ELC-011</vt:lpstr>
      <vt:lpstr>ELC-010</vt:lpstr>
      <vt:lpstr>ELC-009</vt:lpstr>
      <vt:lpstr>ELC-008</vt:lpstr>
      <vt:lpstr>ELC-007</vt:lpstr>
      <vt:lpstr>ELC-006</vt:lpstr>
      <vt:lpstr>ELC-005</vt:lpstr>
      <vt:lpstr>ELC-004</vt:lpstr>
      <vt:lpstr>ELC-003</vt:lpstr>
      <vt:lpstr>CMR-012</vt:lpstr>
      <vt:lpstr>CMR-011</vt:lpstr>
      <vt:lpstr>CMR-010</vt:lpstr>
      <vt:lpstr>CMR-009</vt:lpstr>
      <vt:lpstr>CMR-008</vt:lpstr>
      <vt:lpstr>CMR-007</vt:lpstr>
      <vt:lpstr>CMR-006</vt:lpstr>
      <vt:lpstr>CMR-005</vt:lpstr>
      <vt:lpstr>CMR-004</vt:lpstr>
      <vt:lpstr>CMR-002</vt:lpstr>
      <vt:lpstr>CMR-001</vt:lpstr>
      <vt:lpstr>PTA-022</vt:lpstr>
      <vt:lpstr>PTA-021</vt:lpstr>
      <vt:lpstr>PTA-020</vt:lpstr>
      <vt:lpstr>PTA-019</vt:lpstr>
      <vt:lpstr>PTA-018</vt:lpstr>
      <vt:lpstr>PTA-017</vt:lpstr>
      <vt:lpstr>PTA-016</vt:lpstr>
      <vt:lpstr>PTA-015</vt:lpstr>
      <vt:lpstr>PTA-014</vt:lpstr>
      <vt:lpstr>PTA-013</vt:lpstr>
      <vt:lpstr>PTA-012</vt:lpstr>
      <vt:lpstr>PTA-011</vt:lpstr>
      <vt:lpstr>PTA-010</vt:lpstr>
      <vt:lpstr>PTA-009</vt:lpstr>
      <vt:lpstr>PTA-008</vt:lpstr>
      <vt:lpstr>PTA-007</vt:lpstr>
      <vt:lpstr>PTA-006</vt:lpstr>
      <vt:lpstr>PTA-005</vt:lpstr>
      <vt:lpstr>PTA-004</vt:lpstr>
      <vt:lpstr>PTA-003</vt:lpstr>
      <vt:lpstr>PTA-002</vt:lpstr>
      <vt:lpstr>PTA-001</vt:lpstr>
      <vt:lpstr>P-0012</vt:lpstr>
      <vt:lpstr>LF-001</vt:lpstr>
      <vt:lpstr>P-0011</vt:lpstr>
      <vt:lpstr>P-0017</vt:lpstr>
      <vt:lpstr>P-0016</vt:lpstr>
      <vt:lpstr>P-0015</vt:lpstr>
      <vt:lpstr>P-0014</vt:lpstr>
      <vt:lpstr>P-0013</vt:lpstr>
      <vt:lpstr>P-0010</vt:lpstr>
      <vt:lpstr>P-0009</vt:lpstr>
      <vt:lpstr>P-0008</vt:lpstr>
      <vt:lpstr>P-0007</vt:lpstr>
      <vt:lpstr>P-0006</vt:lpstr>
      <vt:lpstr>P-0005</vt:lpstr>
      <vt:lpstr>P-0004</vt:lpstr>
      <vt:lpstr>P-0003</vt:lpstr>
      <vt:lpstr>P-0002</vt:lpstr>
      <vt:lpstr>P-0001</vt:lpstr>
      <vt:lpstr>COT. IBA</vt:lpstr>
      <vt:lpstr>COT. RIO</vt:lpstr>
      <vt:lpstr>AIU!Área_de_impresión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weimar edilfer mendez palomino</dc:creator>
  <cp:lastModifiedBy>Miguel Andres Capera Hernandez</cp:lastModifiedBy>
  <cp:lastPrinted>2026-02-20T23:03:50Z</cp:lastPrinted>
  <dcterms:created xsi:type="dcterms:W3CDTF">2024-04-24T13:51:25Z</dcterms:created>
  <dcterms:modified xsi:type="dcterms:W3CDTF">2026-06-22T15:09:38Z</dcterms:modified>
</cp:coreProperties>
</file>