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17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adminmed_cendoj_ramajudicial_gov_co/Documents/1. PROCESOS DE SELECCIÓN/2026/04ExpedientesContractuales/03ExpedientesContractualesSelecciónAbreviadaMenorCuantía/SAMC008VigilanciaSeguridad/01Estructuración/02DocumentosParaJuntaContratacion/"/>
    </mc:Choice>
  </mc:AlternateContent>
  <xr:revisionPtr revIDLastSave="544" documentId="8_{45B3877A-7C44-4D5C-83B9-25D4583EA803}" xr6:coauthVersionLast="47" xr6:coauthVersionMax="47" xr10:uidLastSave="{AFA3CAD4-328B-47C9-83AA-07D09EBCBF92}"/>
  <bookViews>
    <workbookView xWindow="-120" yWindow="-120" windowWidth="29040" windowHeight="15720" firstSheet="7" activeTab="14" xr2:uid="{00000000-000D-0000-FFFF-FFFF00000000}"/>
  </bookViews>
  <sheets>
    <sheet name="PROMEDIO 9.77" sheetId="9" state="hidden" r:id="rId1"/>
    <sheet name="EQUIPOS" sheetId="7" state="hidden" r:id="rId2"/>
    <sheet name="SERVICIOS" sheetId="6" state="hidden" r:id="rId3"/>
    <sheet name="PROMEDIO 10.21 (SIN MIRO)" sheetId="11" state="hidden" r:id="rId4"/>
    <sheet name="PROMEDIO 10.21 (SERVICIOS)" sheetId="12" state="hidden" r:id="rId5"/>
    <sheet name="PROMEDIO 10.21 (SERVICIOS) (aj)" sheetId="15" r:id="rId6"/>
    <sheet name="PROMEDIO 10.21 (EQUIPOS) (ajus)" sheetId="14" r:id="rId7"/>
    <sheet name="RESUMEN PROMEDIO OFERTA" sheetId="16" r:id="rId8"/>
    <sheet name="PROMEDIO 10.21 (EQUIPOS)" sheetId="13" state="hidden" r:id="rId9"/>
    <sheet name="PROMEDIO SERVICIOS Y EQUIPOS" sheetId="10" state="hidden" r:id="rId10"/>
    <sheet name="FACTOR 9,77" sheetId="3" state="hidden" r:id="rId11"/>
    <sheet name="COMPARATIVO" sheetId="4" state="hidden" r:id="rId12"/>
    <sheet name="SEGURCOL" sheetId="8" state="hidden" r:id="rId13"/>
    <sheet name="MIRO" sheetId="5" state="hidden" r:id="rId14"/>
    <sheet name="ACROPOLIS" sheetId="1" r:id="rId15"/>
  </sheets>
  <externalReferences>
    <externalReference r:id="rId16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6" l="1"/>
  <c r="E18" i="16"/>
  <c r="E17" i="16"/>
  <c r="E13" i="16"/>
  <c r="E14" i="16"/>
  <c r="E15" i="16"/>
  <c r="E12" i="16"/>
  <c r="E16" i="16" s="1"/>
  <c r="E6" i="16"/>
  <c r="E7" i="16"/>
  <c r="E8" i="16"/>
  <c r="E9" i="16" s="1"/>
  <c r="E10" i="15"/>
  <c r="E9" i="15"/>
  <c r="E8" i="15"/>
  <c r="E7" i="15"/>
  <c r="E6" i="15"/>
  <c r="E5" i="15"/>
  <c r="E4" i="15"/>
  <c r="E3" i="15"/>
  <c r="D4" i="15"/>
  <c r="D5" i="15"/>
  <c r="D6" i="15"/>
  <c r="D3" i="15"/>
  <c r="K3" i="15"/>
  <c r="L3" i="15"/>
  <c r="M3" i="15"/>
  <c r="K4" i="15"/>
  <c r="L4" i="15" s="1"/>
  <c r="M4" i="15" s="1"/>
  <c r="K5" i="15"/>
  <c r="L5" i="15"/>
  <c r="M5" i="15" s="1"/>
  <c r="K6" i="15"/>
  <c r="L6" i="15" s="1"/>
  <c r="M6" i="15" s="1"/>
  <c r="X6" i="15"/>
  <c r="Z6" i="15" s="1"/>
  <c r="S6" i="15"/>
  <c r="U6" i="15" s="1"/>
  <c r="N6" i="15"/>
  <c r="P6" i="15" s="1"/>
  <c r="F6" i="15"/>
  <c r="H6" i="15" s="1"/>
  <c r="X5" i="15"/>
  <c r="Z5" i="15" s="1"/>
  <c r="S5" i="15"/>
  <c r="U5" i="15" s="1"/>
  <c r="N5" i="15"/>
  <c r="P5" i="15" s="1"/>
  <c r="F5" i="15"/>
  <c r="H5" i="15" s="1"/>
  <c r="X4" i="15"/>
  <c r="Z4" i="15" s="1"/>
  <c r="S4" i="15"/>
  <c r="U4" i="15" s="1"/>
  <c r="N4" i="15"/>
  <c r="P4" i="15" s="1"/>
  <c r="F4" i="15"/>
  <c r="H4" i="15" s="1"/>
  <c r="X3" i="15"/>
  <c r="Z3" i="15" s="1"/>
  <c r="S3" i="15"/>
  <c r="U3" i="15" s="1"/>
  <c r="N3" i="15"/>
  <c r="P3" i="15" s="1"/>
  <c r="F3" i="15"/>
  <c r="H3" i="15" s="1"/>
  <c r="D6" i="14"/>
  <c r="E6" i="14" s="1"/>
  <c r="D5" i="14"/>
  <c r="E5" i="14" s="1"/>
  <c r="D4" i="14"/>
  <c r="E4" i="14" s="1"/>
  <c r="P6" i="13"/>
  <c r="N6" i="13"/>
  <c r="K6" i="13"/>
  <c r="I6" i="13"/>
  <c r="G6" i="13"/>
  <c r="D6" i="13"/>
  <c r="E6" i="13" s="1"/>
  <c r="P5" i="13"/>
  <c r="N5" i="13"/>
  <c r="K5" i="13"/>
  <c r="I5" i="13"/>
  <c r="G5" i="13"/>
  <c r="D5" i="13"/>
  <c r="E5" i="13" s="1"/>
  <c r="P4" i="13"/>
  <c r="P7" i="13" s="1"/>
  <c r="N4" i="13"/>
  <c r="N7" i="13" s="1"/>
  <c r="K4" i="13"/>
  <c r="K7" i="13" s="1"/>
  <c r="I4" i="13"/>
  <c r="I7" i="13" s="1"/>
  <c r="G4" i="13"/>
  <c r="G7" i="13" s="1"/>
  <c r="D4" i="13"/>
  <c r="E4" i="13" s="1"/>
  <c r="E7" i="13" s="1"/>
  <c r="AA6" i="12"/>
  <c r="AC6" i="12" s="1"/>
  <c r="U6" i="12"/>
  <c r="W6" i="12" s="1"/>
  <c r="O6" i="12"/>
  <c r="Q6" i="12" s="1"/>
  <c r="K6" i="12"/>
  <c r="L6" i="12" s="1"/>
  <c r="M6" i="12" s="1"/>
  <c r="F6" i="12"/>
  <c r="H6" i="12" s="1"/>
  <c r="AA5" i="12"/>
  <c r="AC5" i="12" s="1"/>
  <c r="U5" i="12"/>
  <c r="W5" i="12" s="1"/>
  <c r="O5" i="12"/>
  <c r="Q5" i="12" s="1"/>
  <c r="K5" i="12"/>
  <c r="L5" i="12" s="1"/>
  <c r="M5" i="12" s="1"/>
  <c r="F5" i="12"/>
  <c r="H5" i="12" s="1"/>
  <c r="AA4" i="12"/>
  <c r="AC4" i="12" s="1"/>
  <c r="U4" i="12"/>
  <c r="W4" i="12" s="1"/>
  <c r="O4" i="12"/>
  <c r="Q4" i="12" s="1"/>
  <c r="K4" i="12"/>
  <c r="L4" i="12" s="1"/>
  <c r="M4" i="12" s="1"/>
  <c r="F4" i="12"/>
  <c r="H4" i="12" s="1"/>
  <c r="AA3" i="12"/>
  <c r="AC3" i="12" s="1"/>
  <c r="U3" i="12"/>
  <c r="W3" i="12" s="1"/>
  <c r="O3" i="12"/>
  <c r="Q3" i="12" s="1"/>
  <c r="K3" i="12"/>
  <c r="L3" i="12" s="1"/>
  <c r="M3" i="12" s="1"/>
  <c r="F3" i="12"/>
  <c r="H3" i="12" s="1"/>
  <c r="G10" i="10"/>
  <c r="F10" i="10"/>
  <c r="F10" i="11"/>
  <c r="D16" i="11"/>
  <c r="D15" i="11"/>
  <c r="D14" i="11"/>
  <c r="N16" i="11"/>
  <c r="K16" i="11"/>
  <c r="I16" i="11"/>
  <c r="G16" i="11"/>
  <c r="E16" i="11"/>
  <c r="N15" i="11"/>
  <c r="K15" i="11"/>
  <c r="I15" i="11"/>
  <c r="G15" i="11"/>
  <c r="E15" i="11"/>
  <c r="N14" i="11"/>
  <c r="N17" i="11" s="1"/>
  <c r="K14" i="11"/>
  <c r="K17" i="11" s="1"/>
  <c r="I14" i="11"/>
  <c r="I17" i="11" s="1"/>
  <c r="G14" i="11"/>
  <c r="G17" i="11" s="1"/>
  <c r="E14" i="11"/>
  <c r="E17" i="11" s="1"/>
  <c r="U6" i="11"/>
  <c r="W6" i="11" s="1"/>
  <c r="O6" i="11"/>
  <c r="Q6" i="11" s="1"/>
  <c r="K6" i="11"/>
  <c r="L6" i="11" s="1"/>
  <c r="M6" i="11" s="1"/>
  <c r="F6" i="11"/>
  <c r="H6" i="11" s="1"/>
  <c r="U5" i="11"/>
  <c r="W5" i="11" s="1"/>
  <c r="O5" i="11"/>
  <c r="Q5" i="11" s="1"/>
  <c r="K5" i="11"/>
  <c r="L5" i="11" s="1"/>
  <c r="M5" i="11" s="1"/>
  <c r="F5" i="11"/>
  <c r="H5" i="11" s="1"/>
  <c r="U4" i="11"/>
  <c r="W4" i="11" s="1"/>
  <c r="O4" i="11"/>
  <c r="Q4" i="11" s="1"/>
  <c r="K4" i="11"/>
  <c r="L4" i="11" s="1"/>
  <c r="M4" i="11" s="1"/>
  <c r="F4" i="11"/>
  <c r="H4" i="11" s="1"/>
  <c r="U3" i="11"/>
  <c r="W3" i="11" s="1"/>
  <c r="O3" i="11"/>
  <c r="Q3" i="11" s="1"/>
  <c r="K3" i="11"/>
  <c r="L3" i="11" s="1"/>
  <c r="M3" i="11" s="1"/>
  <c r="F3" i="11"/>
  <c r="H3" i="11" s="1"/>
  <c r="D5" i="10"/>
  <c r="D6" i="10"/>
  <c r="D4" i="10"/>
  <c r="D3" i="10"/>
  <c r="D15" i="10"/>
  <c r="D16" i="10"/>
  <c r="D14" i="10"/>
  <c r="P16" i="10"/>
  <c r="P15" i="10"/>
  <c r="P14" i="10"/>
  <c r="P17" i="10"/>
  <c r="AC6" i="10"/>
  <c r="AC5" i="10"/>
  <c r="AC4" i="10"/>
  <c r="AC3" i="10"/>
  <c r="AA6" i="10"/>
  <c r="AA5" i="10"/>
  <c r="AA4" i="10"/>
  <c r="AA3" i="10"/>
  <c r="I18" i="10"/>
  <c r="N16" i="10"/>
  <c r="N15" i="10"/>
  <c r="N14" i="10"/>
  <c r="N17" i="10"/>
  <c r="K16" i="10"/>
  <c r="I16" i="10"/>
  <c r="G16" i="10"/>
  <c r="E16" i="10"/>
  <c r="K15" i="10"/>
  <c r="I15" i="10"/>
  <c r="G15" i="10"/>
  <c r="E15" i="10"/>
  <c r="K14" i="10"/>
  <c r="K17" i="10" s="1"/>
  <c r="I14" i="10"/>
  <c r="I17" i="10" s="1"/>
  <c r="G14" i="10"/>
  <c r="G17" i="10" s="1"/>
  <c r="E14" i="10"/>
  <c r="E17" i="10" s="1"/>
  <c r="D3" i="9"/>
  <c r="U6" i="10"/>
  <c r="W6" i="10" s="1"/>
  <c r="U5" i="10"/>
  <c r="W5" i="10" s="1"/>
  <c r="U4" i="10"/>
  <c r="W4" i="10" s="1"/>
  <c r="U3" i="10"/>
  <c r="W3" i="10" s="1"/>
  <c r="O6" i="10"/>
  <c r="Q6" i="10" s="1"/>
  <c r="O5" i="10"/>
  <c r="Q5" i="10" s="1"/>
  <c r="O4" i="10"/>
  <c r="Q4" i="10" s="1"/>
  <c r="O3" i="10"/>
  <c r="Q3" i="10" s="1"/>
  <c r="F4" i="10"/>
  <c r="F5" i="10"/>
  <c r="H5" i="10" s="1"/>
  <c r="F6" i="10"/>
  <c r="H6" i="10" s="1"/>
  <c r="F3" i="10"/>
  <c r="H4" i="10"/>
  <c r="H3" i="10"/>
  <c r="J4" i="7"/>
  <c r="J3" i="7"/>
  <c r="D17" i="9"/>
  <c r="I10" i="6"/>
  <c r="D19" i="9"/>
  <c r="D18" i="9"/>
  <c r="D16" i="9"/>
  <c r="E17" i="9"/>
  <c r="E18" i="9"/>
  <c r="E19" i="9"/>
  <c r="E16" i="9"/>
  <c r="E20" i="9" s="1"/>
  <c r="K19" i="9"/>
  <c r="I19" i="9"/>
  <c r="G19" i="9"/>
  <c r="K18" i="9"/>
  <c r="I18" i="9"/>
  <c r="G18" i="9"/>
  <c r="K17" i="9"/>
  <c r="I17" i="9"/>
  <c r="G17" i="9"/>
  <c r="K16" i="9"/>
  <c r="K20" i="9" s="1"/>
  <c r="I16" i="9"/>
  <c r="I20" i="9" s="1"/>
  <c r="G16" i="9"/>
  <c r="G20" i="9" s="1"/>
  <c r="M23" i="6"/>
  <c r="M22" i="6"/>
  <c r="AT10" i="6"/>
  <c r="H3" i="6"/>
  <c r="I3" i="6"/>
  <c r="AR6" i="6"/>
  <c r="AQ6" i="6"/>
  <c r="AR5" i="6"/>
  <c r="AQ5" i="6"/>
  <c r="AR4" i="6"/>
  <c r="AQ4" i="6"/>
  <c r="I8" i="7"/>
  <c r="G8" i="7"/>
  <c r="E8" i="7"/>
  <c r="I7" i="7"/>
  <c r="G7" i="7"/>
  <c r="E7" i="7"/>
  <c r="R6" i="9"/>
  <c r="T6" i="9" s="1"/>
  <c r="L6" i="9"/>
  <c r="N6" i="9" s="1"/>
  <c r="F6" i="9"/>
  <c r="H6" i="9" s="1"/>
  <c r="R5" i="9"/>
  <c r="T5" i="9" s="1"/>
  <c r="L5" i="9"/>
  <c r="N5" i="9" s="1"/>
  <c r="F5" i="9"/>
  <c r="H5" i="9" s="1"/>
  <c r="R4" i="9"/>
  <c r="T4" i="9" s="1"/>
  <c r="L4" i="9"/>
  <c r="N4" i="9" s="1"/>
  <c r="F4" i="9"/>
  <c r="H4" i="9" s="1"/>
  <c r="R3" i="9"/>
  <c r="T3" i="9" s="1"/>
  <c r="L3" i="9"/>
  <c r="N3" i="9" s="1"/>
  <c r="F3" i="9"/>
  <c r="H3" i="9" s="1"/>
  <c r="AN3" i="6"/>
  <c r="AQ3" i="6" s="1"/>
  <c r="AR3" i="6" s="1"/>
  <c r="AR7" i="6" s="1"/>
  <c r="AO3" i="6"/>
  <c r="AP3" i="6"/>
  <c r="AP4" i="6"/>
  <c r="AO4" i="6"/>
  <c r="AO5" i="6"/>
  <c r="AP6" i="6"/>
  <c r="AO6" i="6"/>
  <c r="AP5" i="6"/>
  <c r="AN4" i="6"/>
  <c r="AN5" i="6"/>
  <c r="AN6" i="6"/>
  <c r="M37" i="6"/>
  <c r="L33" i="6"/>
  <c r="I3" i="7"/>
  <c r="E10" i="16" l="1"/>
  <c r="E20" i="16" s="1"/>
  <c r="AA6" i="15"/>
  <c r="AB6" i="15"/>
  <c r="V6" i="15"/>
  <c r="W6" i="15" s="1"/>
  <c r="Q6" i="15"/>
  <c r="R6" i="15" s="1"/>
  <c r="I6" i="15"/>
  <c r="J6" i="15" s="1"/>
  <c r="AA5" i="15"/>
  <c r="AB5" i="15" s="1"/>
  <c r="V5" i="15"/>
  <c r="W5" i="15"/>
  <c r="Q5" i="15"/>
  <c r="R5" i="15"/>
  <c r="I5" i="15"/>
  <c r="J5" i="15" s="1"/>
  <c r="AA4" i="15"/>
  <c r="AB4" i="15"/>
  <c r="V4" i="15"/>
  <c r="W4" i="15" s="1"/>
  <c r="Q4" i="15"/>
  <c r="R4" i="15"/>
  <c r="I4" i="15"/>
  <c r="J4" i="15" s="1"/>
  <c r="AA3" i="15"/>
  <c r="AB3" i="15" s="1"/>
  <c r="V3" i="15"/>
  <c r="W3" i="15" s="1"/>
  <c r="Q3" i="15"/>
  <c r="R3" i="15" s="1"/>
  <c r="I3" i="15"/>
  <c r="J3" i="15" s="1"/>
  <c r="E7" i="14"/>
  <c r="E8" i="14" s="1"/>
  <c r="E9" i="14" s="1"/>
  <c r="E8" i="13"/>
  <c r="E9" i="13" s="1"/>
  <c r="G8" i="13"/>
  <c r="G9" i="13" s="1"/>
  <c r="I8" i="13"/>
  <c r="I9" i="13" s="1"/>
  <c r="K8" i="13"/>
  <c r="K9" i="13" s="1"/>
  <c r="N8" i="13"/>
  <c r="N9" i="13" s="1"/>
  <c r="P8" i="13"/>
  <c r="P9" i="13" s="1"/>
  <c r="I3" i="12"/>
  <c r="J3" i="12" s="1"/>
  <c r="R3" i="12"/>
  <c r="S3" i="12" s="1"/>
  <c r="T3" i="12" s="1"/>
  <c r="X3" i="12"/>
  <c r="Y3" i="12" s="1"/>
  <c r="Z3" i="12" s="1"/>
  <c r="AD3" i="12"/>
  <c r="AE3" i="12" s="1"/>
  <c r="AF3" i="12" s="1"/>
  <c r="I4" i="12"/>
  <c r="J4" i="12" s="1"/>
  <c r="R4" i="12"/>
  <c r="S4" i="12" s="1"/>
  <c r="T4" i="12" s="1"/>
  <c r="X4" i="12"/>
  <c r="Y4" i="12" s="1"/>
  <c r="Z4" i="12" s="1"/>
  <c r="AD4" i="12"/>
  <c r="AE4" i="12" s="1"/>
  <c r="AF4" i="12" s="1"/>
  <c r="I5" i="12"/>
  <c r="J5" i="12" s="1"/>
  <c r="R5" i="12"/>
  <c r="S5" i="12" s="1"/>
  <c r="T5" i="12" s="1"/>
  <c r="X5" i="12"/>
  <c r="Y5" i="12" s="1"/>
  <c r="Z5" i="12" s="1"/>
  <c r="AD5" i="12"/>
  <c r="AE5" i="12" s="1"/>
  <c r="AF5" i="12" s="1"/>
  <c r="I6" i="12"/>
  <c r="J6" i="12" s="1"/>
  <c r="R6" i="12"/>
  <c r="S6" i="12" s="1"/>
  <c r="T6" i="12" s="1"/>
  <c r="X6" i="12"/>
  <c r="Y6" i="12" s="1"/>
  <c r="Z6" i="12" s="1"/>
  <c r="AD6" i="12"/>
  <c r="AE6" i="12" s="1"/>
  <c r="AF6" i="12" s="1"/>
  <c r="I3" i="11"/>
  <c r="J3" i="11" s="1"/>
  <c r="R3" i="11"/>
  <c r="S3" i="11" s="1"/>
  <c r="T3" i="11" s="1"/>
  <c r="X3" i="11"/>
  <c r="Y3" i="11" s="1"/>
  <c r="Z3" i="11" s="1"/>
  <c r="I4" i="11"/>
  <c r="J4" i="11" s="1"/>
  <c r="R4" i="11"/>
  <c r="S4" i="11" s="1"/>
  <c r="T4" i="11" s="1"/>
  <c r="X4" i="11"/>
  <c r="Y4" i="11" s="1"/>
  <c r="Z4" i="11" s="1"/>
  <c r="I5" i="11"/>
  <c r="J5" i="11" s="1"/>
  <c r="R5" i="11"/>
  <c r="S5" i="11" s="1"/>
  <c r="T5" i="11" s="1"/>
  <c r="X5" i="11"/>
  <c r="Y5" i="11" s="1"/>
  <c r="Z5" i="11" s="1"/>
  <c r="I6" i="11"/>
  <c r="J6" i="11" s="1"/>
  <c r="R6" i="11"/>
  <c r="S6" i="11" s="1"/>
  <c r="T6" i="11" s="1"/>
  <c r="X6" i="11"/>
  <c r="Y6" i="11" s="1"/>
  <c r="Z6" i="11" s="1"/>
  <c r="E18" i="11"/>
  <c r="E19" i="11" s="1"/>
  <c r="G18" i="11"/>
  <c r="G19" i="11" s="1"/>
  <c r="I18" i="11"/>
  <c r="I19" i="11" s="1"/>
  <c r="K18" i="11"/>
  <c r="K19" i="11" s="1"/>
  <c r="N18" i="11"/>
  <c r="N19" i="11" s="1"/>
  <c r="P18" i="10"/>
  <c r="P19" i="10" s="1"/>
  <c r="AD3" i="10"/>
  <c r="AE3" i="10" s="1"/>
  <c r="AF3" i="10" s="1"/>
  <c r="AD4" i="10"/>
  <c r="AE4" i="10" s="1"/>
  <c r="AF4" i="10" s="1"/>
  <c r="AD5" i="10"/>
  <c r="AE5" i="10" s="1"/>
  <c r="AF5" i="10" s="1"/>
  <c r="AD6" i="10"/>
  <c r="AE6" i="10" s="1"/>
  <c r="AF6" i="10" s="1"/>
  <c r="N18" i="10"/>
  <c r="N19" i="10" s="1"/>
  <c r="E18" i="10"/>
  <c r="E19" i="10" s="1"/>
  <c r="G18" i="10"/>
  <c r="G19" i="10" s="1"/>
  <c r="I19" i="10"/>
  <c r="K18" i="10"/>
  <c r="K19" i="10" s="1"/>
  <c r="X3" i="10"/>
  <c r="Y3" i="10" s="1"/>
  <c r="Z3" i="10" s="1"/>
  <c r="X4" i="10"/>
  <c r="Y4" i="10" s="1"/>
  <c r="Z4" i="10" s="1"/>
  <c r="X5" i="10"/>
  <c r="Y5" i="10" s="1"/>
  <c r="Z5" i="10" s="1"/>
  <c r="X6" i="10"/>
  <c r="Y6" i="10" s="1"/>
  <c r="Z6" i="10" s="1"/>
  <c r="R3" i="10"/>
  <c r="S3" i="10" s="1"/>
  <c r="T3" i="10" s="1"/>
  <c r="R4" i="10"/>
  <c r="S4" i="10" s="1"/>
  <c r="T4" i="10" s="1"/>
  <c r="R5" i="10"/>
  <c r="S5" i="10" s="1"/>
  <c r="T5" i="10" s="1"/>
  <c r="R6" i="10"/>
  <c r="S6" i="10" s="1"/>
  <c r="T6" i="10" s="1"/>
  <c r="I3" i="10"/>
  <c r="J3" i="10" s="1"/>
  <c r="I4" i="10"/>
  <c r="J4" i="10" s="1"/>
  <c r="I5" i="10"/>
  <c r="J5" i="10" s="1"/>
  <c r="I6" i="10"/>
  <c r="J6" i="10" s="1"/>
  <c r="E21" i="9"/>
  <c r="E22" i="9" s="1"/>
  <c r="H28" i="9"/>
  <c r="G21" i="9"/>
  <c r="G22" i="9" s="1"/>
  <c r="I21" i="9"/>
  <c r="I22" i="9" s="1"/>
  <c r="K21" i="9"/>
  <c r="K22" i="9" s="1"/>
  <c r="O3" i="9"/>
  <c r="P3" i="9" s="1"/>
  <c r="Q3" i="9" s="1"/>
  <c r="AR8" i="6"/>
  <c r="AR9" i="6" s="1"/>
  <c r="AR10" i="6" s="1"/>
  <c r="I3" i="9"/>
  <c r="J3" i="9" s="1"/>
  <c r="U3" i="9"/>
  <c r="V3" i="9" s="1"/>
  <c r="W3" i="9" s="1"/>
  <c r="I4" i="9"/>
  <c r="J4" i="9" s="1"/>
  <c r="O4" i="9"/>
  <c r="P4" i="9" s="1"/>
  <c r="Q4" i="9" s="1"/>
  <c r="U4" i="9"/>
  <c r="V4" i="9" s="1"/>
  <c r="W4" i="9" s="1"/>
  <c r="I5" i="9"/>
  <c r="J5" i="9" s="1"/>
  <c r="O5" i="9"/>
  <c r="P5" i="9" s="1"/>
  <c r="Q5" i="9" s="1"/>
  <c r="U5" i="9"/>
  <c r="V5" i="9" s="1"/>
  <c r="W5" i="9" s="1"/>
  <c r="I6" i="9"/>
  <c r="J6" i="9" s="1"/>
  <c r="O6" i="9"/>
  <c r="P6" i="9" s="1"/>
  <c r="Q6" i="9" s="1"/>
  <c r="U6" i="9"/>
  <c r="V6" i="9" s="1"/>
  <c r="W6" i="9" s="1"/>
  <c r="K3" i="7"/>
  <c r="J6" i="7"/>
  <c r="J5" i="7"/>
  <c r="I4" i="7"/>
  <c r="I5" i="7"/>
  <c r="I6" i="7"/>
  <c r="L12" i="8"/>
  <c r="L11" i="8"/>
  <c r="L10" i="8"/>
  <c r="L9" i="8"/>
  <c r="L8" i="8"/>
  <c r="L16" i="8" s="1"/>
  <c r="L17" i="8" s="1"/>
  <c r="K7" i="8"/>
  <c r="L7" i="8" s="1"/>
  <c r="K5" i="8"/>
  <c r="L5" i="8" s="1"/>
  <c r="K4" i="8"/>
  <c r="E12" i="8"/>
  <c r="E11" i="8"/>
  <c r="E10" i="8"/>
  <c r="E9" i="8"/>
  <c r="E8" i="8"/>
  <c r="E7" i="8"/>
  <c r="E6" i="8"/>
  <c r="E5" i="8"/>
  <c r="E4" i="8"/>
  <c r="D13" i="8" s="1"/>
  <c r="AB6" i="6"/>
  <c r="AD6" i="6" s="1"/>
  <c r="AB5" i="6"/>
  <c r="AD5" i="6" s="1"/>
  <c r="AB4" i="6"/>
  <c r="AB3" i="6"/>
  <c r="AH6" i="6"/>
  <c r="AJ6" i="6" s="1"/>
  <c r="AH5" i="6"/>
  <c r="AJ5" i="6" s="1"/>
  <c r="AH4" i="6"/>
  <c r="AJ4" i="6" s="1"/>
  <c r="AK4" i="6" s="1"/>
  <c r="AL4" i="6" s="1"/>
  <c r="AM4" i="6" s="1"/>
  <c r="AH3" i="6"/>
  <c r="AJ3" i="6" s="1"/>
  <c r="AD4" i="6"/>
  <c r="AD3" i="6"/>
  <c r="N6" i="12" l="1"/>
  <c r="D6" i="12"/>
  <c r="E6" i="12" s="1"/>
  <c r="N5" i="12"/>
  <c r="D5" i="12"/>
  <c r="E5" i="12" s="1"/>
  <c r="N4" i="12"/>
  <c r="D4" i="12"/>
  <c r="E4" i="12" s="1"/>
  <c r="AF7" i="12"/>
  <c r="Z7" i="12"/>
  <c r="T7" i="12"/>
  <c r="N3" i="12"/>
  <c r="N7" i="12" s="1"/>
  <c r="D3" i="12"/>
  <c r="E3" i="12" s="1"/>
  <c r="E7" i="12" s="1"/>
  <c r="D6" i="11"/>
  <c r="D5" i="11"/>
  <c r="D4" i="11"/>
  <c r="D3" i="11"/>
  <c r="N6" i="11"/>
  <c r="E6" i="11"/>
  <c r="N5" i="11"/>
  <c r="E5" i="11"/>
  <c r="N4" i="11"/>
  <c r="E4" i="11"/>
  <c r="Z7" i="11"/>
  <c r="T7" i="11"/>
  <c r="N3" i="11"/>
  <c r="N7" i="11" s="1"/>
  <c r="E3" i="11"/>
  <c r="E7" i="11" s="1"/>
  <c r="AF7" i="10"/>
  <c r="N6" i="10"/>
  <c r="E6" i="10"/>
  <c r="N5" i="10"/>
  <c r="N4" i="10"/>
  <c r="Z7" i="10"/>
  <c r="Z8" i="10" s="1"/>
  <c r="Z9" i="10" s="1"/>
  <c r="Z10" i="10" s="1"/>
  <c r="T7" i="10"/>
  <c r="T8" i="10" s="1"/>
  <c r="T9" i="10" s="1"/>
  <c r="T10" i="10" s="1"/>
  <c r="E3" i="10"/>
  <c r="N3" i="10"/>
  <c r="N7" i="10" s="1"/>
  <c r="N8" i="10" s="1"/>
  <c r="N9" i="10" s="1"/>
  <c r="N10" i="10" s="1"/>
  <c r="D6" i="9"/>
  <c r="E6" i="9" s="1"/>
  <c r="D5" i="9"/>
  <c r="E5" i="9" s="1"/>
  <c r="D4" i="9"/>
  <c r="E4" i="9" s="1"/>
  <c r="E3" i="9"/>
  <c r="E7" i="9" s="1"/>
  <c r="W7" i="9"/>
  <c r="Q7" i="9"/>
  <c r="K6" i="9"/>
  <c r="K5" i="9"/>
  <c r="K4" i="9"/>
  <c r="K3" i="9"/>
  <c r="K7" i="9" s="1"/>
  <c r="K6" i="8"/>
  <c r="L6" i="8" s="1"/>
  <c r="L4" i="8"/>
  <c r="K13" i="8" s="1"/>
  <c r="L14" i="8"/>
  <c r="L15" i="8" s="1"/>
  <c r="K18" i="8" s="1"/>
  <c r="E16" i="8"/>
  <c r="E17" i="8" s="1"/>
  <c r="E14" i="8"/>
  <c r="E15" i="8" s="1"/>
  <c r="D18" i="8" s="1"/>
  <c r="AK3" i="6"/>
  <c r="AL3" i="6" s="1"/>
  <c r="AM3" i="6" s="1"/>
  <c r="AK6" i="6"/>
  <c r="AL6" i="6" s="1"/>
  <c r="AM6" i="6" s="1"/>
  <c r="AK5" i="6"/>
  <c r="AL5" i="6" s="1"/>
  <c r="AM5" i="6" s="1"/>
  <c r="AE4" i="6"/>
  <c r="AF4" i="6" s="1"/>
  <c r="AE5" i="6"/>
  <c r="AF5" i="6" s="1"/>
  <c r="AE6" i="6"/>
  <c r="AF6" i="6" s="1"/>
  <c r="AE3" i="6"/>
  <c r="AF3" i="6" s="1"/>
  <c r="V6" i="6"/>
  <c r="X6" i="6" s="1"/>
  <c r="P6" i="6"/>
  <c r="R6" i="6" s="1"/>
  <c r="V5" i="6"/>
  <c r="X5" i="6" s="1"/>
  <c r="P5" i="6"/>
  <c r="R5" i="6" s="1"/>
  <c r="V4" i="6"/>
  <c r="X4" i="6" s="1"/>
  <c r="P4" i="6"/>
  <c r="R4" i="6" s="1"/>
  <c r="V3" i="6"/>
  <c r="X3" i="6" s="1"/>
  <c r="P3" i="6"/>
  <c r="R3" i="6" s="1"/>
  <c r="K4" i="7"/>
  <c r="K7" i="7" s="1"/>
  <c r="K8" i="7" s="1"/>
  <c r="K5" i="7"/>
  <c r="K6" i="7"/>
  <c r="G3" i="7"/>
  <c r="E3" i="7"/>
  <c r="G6" i="7"/>
  <c r="E6" i="7"/>
  <c r="G5" i="7"/>
  <c r="E5" i="7"/>
  <c r="G4" i="7"/>
  <c r="E4" i="7"/>
  <c r="J6" i="6"/>
  <c r="L6" i="6" s="1"/>
  <c r="D6" i="6"/>
  <c r="F6" i="6" s="1"/>
  <c r="J5" i="6"/>
  <c r="L5" i="6" s="1"/>
  <c r="D5" i="6"/>
  <c r="F5" i="6" s="1"/>
  <c r="J4" i="6"/>
  <c r="L4" i="6" s="1"/>
  <c r="D4" i="6"/>
  <c r="F4" i="6" s="1"/>
  <c r="J3" i="6"/>
  <c r="L3" i="6" s="1"/>
  <c r="D3" i="6"/>
  <c r="F3" i="6" s="1"/>
  <c r="O10" i="5"/>
  <c r="I10" i="5"/>
  <c r="O9" i="5"/>
  <c r="I9" i="5"/>
  <c r="O8" i="5"/>
  <c r="I8" i="5"/>
  <c r="O7" i="5"/>
  <c r="I7" i="5"/>
  <c r="J6" i="5"/>
  <c r="L6" i="5" s="1"/>
  <c r="D6" i="5"/>
  <c r="F6" i="5" s="1"/>
  <c r="J5" i="5"/>
  <c r="L5" i="5" s="1"/>
  <c r="M5" i="5" s="1"/>
  <c r="D5" i="5"/>
  <c r="F5" i="5" s="1"/>
  <c r="J4" i="5"/>
  <c r="L4" i="5" s="1"/>
  <c r="M4" i="5" s="1"/>
  <c r="N4" i="5" s="1"/>
  <c r="O4" i="5" s="1"/>
  <c r="D4" i="5"/>
  <c r="F4" i="5" s="1"/>
  <c r="J3" i="5"/>
  <c r="L3" i="5" s="1"/>
  <c r="D3" i="5"/>
  <c r="F3" i="5" s="1"/>
  <c r="O10" i="1"/>
  <c r="O8" i="1"/>
  <c r="O9" i="1"/>
  <c r="O7" i="1"/>
  <c r="J6" i="1"/>
  <c r="L6" i="1" s="1"/>
  <c r="J5" i="1"/>
  <c r="L5" i="1" s="1"/>
  <c r="J4" i="1"/>
  <c r="L4" i="1" s="1"/>
  <c r="J3" i="1"/>
  <c r="L3" i="1" s="1"/>
  <c r="E8" i="12" l="1"/>
  <c r="E9" i="12" s="1"/>
  <c r="E10" i="12" s="1"/>
  <c r="N8" i="12"/>
  <c r="N9" i="12" s="1"/>
  <c r="N10" i="12" s="1"/>
  <c r="T8" i="12"/>
  <c r="T9" i="12" s="1"/>
  <c r="T10" i="12" s="1"/>
  <c r="Z8" i="12"/>
  <c r="Z9" i="12" s="1"/>
  <c r="Z10" i="12" s="1"/>
  <c r="AF8" i="12"/>
  <c r="AF9" i="12" s="1"/>
  <c r="AF10" i="12" s="1"/>
  <c r="E8" i="11"/>
  <c r="E9" i="11" s="1"/>
  <c r="E10" i="11" s="1"/>
  <c r="N8" i="11"/>
  <c r="N9" i="11" s="1"/>
  <c r="N10" i="11" s="1"/>
  <c r="T8" i="11"/>
  <c r="T9" i="11" s="1"/>
  <c r="T10" i="11" s="1"/>
  <c r="Z8" i="11"/>
  <c r="Z9" i="11" s="1"/>
  <c r="Z10" i="11" s="1"/>
  <c r="AF8" i="10"/>
  <c r="AF9" i="10" s="1"/>
  <c r="AF10" i="10" s="1"/>
  <c r="K3" i="10"/>
  <c r="L3" i="10" s="1"/>
  <c r="M3" i="10" s="1"/>
  <c r="K4" i="10"/>
  <c r="L4" i="10" s="1"/>
  <c r="M4" i="10" s="1"/>
  <c r="E4" i="10" s="1"/>
  <c r="K5" i="10"/>
  <c r="L5" i="10" s="1"/>
  <c r="M5" i="10" s="1"/>
  <c r="E5" i="10" s="1"/>
  <c r="K6" i="10"/>
  <c r="L6" i="10" s="1"/>
  <c r="M6" i="10" s="1"/>
  <c r="Q8" i="9"/>
  <c r="Q9" i="9" s="1"/>
  <c r="Q10" i="9"/>
  <c r="W8" i="9"/>
  <c r="W9" i="9" s="1"/>
  <c r="W10" i="9"/>
  <c r="E8" i="9"/>
  <c r="E9" i="9" s="1"/>
  <c r="E10" i="9"/>
  <c r="H27" i="9" s="1"/>
  <c r="K8" i="9"/>
  <c r="AG3" i="6"/>
  <c r="AG6" i="6"/>
  <c r="AG5" i="6"/>
  <c r="AG4" i="6"/>
  <c r="O14" i="1"/>
  <c r="O15" i="1" s="1"/>
  <c r="I9" i="7"/>
  <c r="AM8" i="6"/>
  <c r="AM9" i="6" s="1"/>
  <c r="AM7" i="6"/>
  <c r="AG7" i="6"/>
  <c r="AG8" i="6"/>
  <c r="AG9" i="6" s="1"/>
  <c r="O14" i="5"/>
  <c r="O15" i="5" s="1"/>
  <c r="Y3" i="6"/>
  <c r="Z3" i="6" s="1"/>
  <c r="AA3" i="6" s="1"/>
  <c r="S3" i="6"/>
  <c r="T3" i="6"/>
  <c r="Y6" i="6"/>
  <c r="Z6" i="6" s="1"/>
  <c r="AA6" i="6" s="1"/>
  <c r="S4" i="6"/>
  <c r="T4" i="6" s="1"/>
  <c r="Y4" i="6"/>
  <c r="Z4" i="6" s="1"/>
  <c r="AA4" i="6" s="1"/>
  <c r="S5" i="6"/>
  <c r="T5" i="6"/>
  <c r="Y5" i="6"/>
  <c r="Z5" i="6"/>
  <c r="AA5" i="6" s="1"/>
  <c r="S6" i="6"/>
  <c r="T6" i="6" s="1"/>
  <c r="K9" i="7"/>
  <c r="G6" i="6"/>
  <c r="H6" i="6" s="1"/>
  <c r="G3" i="6"/>
  <c r="M3" i="6"/>
  <c r="N3" i="6" s="1"/>
  <c r="O3" i="6" s="1"/>
  <c r="G5" i="6"/>
  <c r="H5" i="6" s="1"/>
  <c r="M6" i="6"/>
  <c r="N6" i="6" s="1"/>
  <c r="O6" i="6" s="1"/>
  <c r="M4" i="6"/>
  <c r="N4" i="6" s="1"/>
  <c r="O4" i="6" s="1"/>
  <c r="M5" i="6"/>
  <c r="N5" i="6" s="1"/>
  <c r="O5" i="6" s="1"/>
  <c r="G4" i="6"/>
  <c r="H4" i="6" s="1"/>
  <c r="I14" i="5"/>
  <c r="I15" i="5" s="1"/>
  <c r="G6" i="5"/>
  <c r="H6" i="5" s="1"/>
  <c r="G4" i="5"/>
  <c r="H4" i="5" s="1"/>
  <c r="M6" i="5"/>
  <c r="N6" i="5" s="1"/>
  <c r="O6" i="5" s="1"/>
  <c r="G3" i="5"/>
  <c r="H3" i="5" s="1"/>
  <c r="M3" i="5"/>
  <c r="N3" i="5" s="1"/>
  <c r="O3" i="5" s="1"/>
  <c r="G5" i="5"/>
  <c r="H5" i="5" s="1"/>
  <c r="N5" i="5"/>
  <c r="O5" i="5" s="1"/>
  <c r="M3" i="1"/>
  <c r="N3" i="1" s="1"/>
  <c r="O3" i="1" s="1"/>
  <c r="M4" i="1"/>
  <c r="N4" i="1" s="1"/>
  <c r="O4" i="1" s="1"/>
  <c r="M5" i="1"/>
  <c r="N5" i="1" s="1"/>
  <c r="O5" i="1" s="1"/>
  <c r="M6" i="1"/>
  <c r="N6" i="1" s="1"/>
  <c r="O6" i="1" s="1"/>
  <c r="D6" i="3"/>
  <c r="F6" i="3" s="1"/>
  <c r="D5" i="3"/>
  <c r="D4" i="3"/>
  <c r="D3" i="3"/>
  <c r="I10" i="3"/>
  <c r="I9" i="3"/>
  <c r="I8" i="3"/>
  <c r="I7" i="3"/>
  <c r="F5" i="3"/>
  <c r="F4" i="3"/>
  <c r="F3" i="3"/>
  <c r="G3" i="3" s="1"/>
  <c r="I7" i="1"/>
  <c r="I8" i="1"/>
  <c r="I9" i="1"/>
  <c r="I10" i="1"/>
  <c r="D6" i="1"/>
  <c r="F6" i="1" s="1"/>
  <c r="D5" i="1"/>
  <c r="F5" i="1" s="1"/>
  <c r="D4" i="1"/>
  <c r="F4" i="1" s="1"/>
  <c r="D3" i="1"/>
  <c r="F3" i="1" s="1"/>
  <c r="E7" i="10" l="1"/>
  <c r="E8" i="10" s="1"/>
  <c r="E9" i="10" s="1"/>
  <c r="E10" i="10" s="1"/>
  <c r="H29" i="9"/>
  <c r="H30" i="9" s="1"/>
  <c r="H33" i="9" s="1"/>
  <c r="H36" i="9" s="1"/>
  <c r="K9" i="9"/>
  <c r="K10" i="9" s="1"/>
  <c r="L21" i="6"/>
  <c r="I4" i="6"/>
  <c r="I5" i="6"/>
  <c r="I6" i="6"/>
  <c r="U6" i="6"/>
  <c r="U5" i="6"/>
  <c r="U4" i="6"/>
  <c r="U3" i="6"/>
  <c r="AA7" i="6"/>
  <c r="AA8" i="6"/>
  <c r="AA9" i="6" s="1"/>
  <c r="AM10" i="6"/>
  <c r="AM13" i="6" s="1"/>
  <c r="AM14" i="6" s="1"/>
  <c r="AG10" i="6"/>
  <c r="O12" i="1"/>
  <c r="O13" i="1" s="1"/>
  <c r="O11" i="1"/>
  <c r="AA10" i="6"/>
  <c r="AA13" i="6" s="1"/>
  <c r="AA14" i="6" s="1"/>
  <c r="U8" i="6"/>
  <c r="U9" i="6" s="1"/>
  <c r="U7" i="6"/>
  <c r="O7" i="6"/>
  <c r="O8" i="6"/>
  <c r="O9" i="6" s="1"/>
  <c r="G9" i="7"/>
  <c r="I14" i="3"/>
  <c r="I7" i="6"/>
  <c r="I8" i="6"/>
  <c r="I9" i="6" s="1"/>
  <c r="E9" i="7"/>
  <c r="I6" i="5"/>
  <c r="I5" i="5"/>
  <c r="I4" i="5"/>
  <c r="I3" i="5"/>
  <c r="O11" i="5"/>
  <c r="O12" i="5"/>
  <c r="O13" i="5" s="1"/>
  <c r="H3" i="3"/>
  <c r="I3" i="3" s="1"/>
  <c r="G5" i="3"/>
  <c r="H5" i="3" s="1"/>
  <c r="I5" i="3" s="1"/>
  <c r="G6" i="3"/>
  <c r="H6" i="3"/>
  <c r="I6" i="3" s="1"/>
  <c r="G4" i="3"/>
  <c r="H4" i="3" s="1"/>
  <c r="I4" i="3" s="1"/>
  <c r="I14" i="1"/>
  <c r="G6" i="1"/>
  <c r="H35" i="9" l="1"/>
  <c r="H34" i="9"/>
  <c r="H37" i="9" s="1"/>
  <c r="AG13" i="6"/>
  <c r="AG14" i="6" s="1"/>
  <c r="AJ18" i="6" s="1"/>
  <c r="I15" i="3"/>
  <c r="N6" i="4" s="1"/>
  <c r="N5" i="4"/>
  <c r="O10" i="6"/>
  <c r="O13" i="6" s="1"/>
  <c r="O14" i="6" s="1"/>
  <c r="I13" i="6"/>
  <c r="I14" i="6" s="1"/>
  <c r="L18" i="6" s="1"/>
  <c r="I15" i="1"/>
  <c r="D6" i="4" s="1"/>
  <c r="D5" i="4"/>
  <c r="U10" i="6"/>
  <c r="U13" i="6" s="1"/>
  <c r="U14" i="6" s="1"/>
  <c r="X18" i="6" s="1"/>
  <c r="O16" i="1"/>
  <c r="I11" i="5"/>
  <c r="I12" i="5"/>
  <c r="I13" i="5" s="1"/>
  <c r="I16" i="5" s="1"/>
  <c r="I19" i="5" s="1"/>
  <c r="I20" i="5" s="1"/>
  <c r="O16" i="5"/>
  <c r="O19" i="5" s="1"/>
  <c r="O20" i="5" s="1"/>
  <c r="I11" i="3"/>
  <c r="N2" i="4" s="1"/>
  <c r="I12" i="3"/>
  <c r="H6" i="1"/>
  <c r="I6" i="1" s="1"/>
  <c r="G5" i="1"/>
  <c r="H5" i="1" s="1"/>
  <c r="I5" i="1" s="1"/>
  <c r="L20" i="6" l="1"/>
  <c r="N20" i="6" s="1"/>
  <c r="I6" i="4"/>
  <c r="L23" i="5"/>
  <c r="I5" i="4"/>
  <c r="I13" i="3"/>
  <c r="N4" i="4" s="1"/>
  <c r="N3" i="4"/>
  <c r="G3" i="1"/>
  <c r="H3" i="1" s="1"/>
  <c r="I3" i="1" s="1"/>
  <c r="G4" i="1"/>
  <c r="H4" i="1" s="1"/>
  <c r="I4" i="1" s="1"/>
  <c r="L22" i="6" l="1"/>
  <c r="I16" i="3"/>
  <c r="N7" i="4" s="1"/>
  <c r="I11" i="1"/>
  <c r="D2" i="4" s="1"/>
  <c r="I2" i="4" s="1"/>
  <c r="I12" i="1"/>
  <c r="L23" i="6" l="1"/>
  <c r="K26" i="6" s="1"/>
  <c r="K27" i="6" s="1"/>
  <c r="K28" i="6"/>
  <c r="K41" i="6" s="1"/>
  <c r="K42" i="6" s="1"/>
  <c r="I13" i="1"/>
  <c r="D4" i="4" s="1"/>
  <c r="I4" i="4" s="1"/>
  <c r="D3" i="4"/>
  <c r="I3" i="4" s="1"/>
  <c r="I16" i="1"/>
  <c r="D7" i="4" s="1"/>
  <c r="I7" i="4" s="1"/>
  <c r="K29" i="6" l="1"/>
  <c r="K36" i="6" l="1"/>
  <c r="M33" i="6"/>
  <c r="K38" i="6"/>
  <c r="E19" i="16"/>
</calcChain>
</file>

<file path=xl/sharedStrings.xml><?xml version="1.0" encoding="utf-8"?>
<sst xmlns="http://schemas.openxmlformats.org/spreadsheetml/2006/main" count="615" uniqueCount="94">
  <si>
    <t>PROMEDIO 9,77</t>
  </si>
  <si>
    <t>COTIZACIÓN SERVICIO DE VIGILANCIA MIRO (VALOR MENSUAL DEL 25 DE DICIEMBRE DE 2025 EN ADELANTE)</t>
  </si>
  <si>
    <t>COTIZACIÓN SERVICIO DE VIGILANCIA ACROPOLIS (VALOR MENSUAL DEL 25 DE DICIEMBRE DE 2025 EN ADELANTE)</t>
  </si>
  <si>
    <t>COTIZACIÓN SERVICIO DE VIGILANCIA SEGURCOL (VALOR MENSUAL DEL 25 DE DICIEMBRE DE 2025 EN ADELANTE)</t>
  </si>
  <si>
    <t>ITEM</t>
  </si>
  <si>
    <t>DESCRIPCIÓN</t>
  </si>
  <si>
    <t>CANT</t>
  </si>
  <si>
    <t>VALOR UNITARIO AL MES</t>
  </si>
  <si>
    <t>TARIFA BASE</t>
  </si>
  <si>
    <t>VR. SEGURO VIDA</t>
  </si>
  <si>
    <t>VR. TARIFA BASE + SG VIDA</t>
  </si>
  <si>
    <t>%. GASTOS S.A</t>
  </si>
  <si>
    <t>VR.ANTES DE IVA</t>
  </si>
  <si>
    <t>VALOR TOTAL MES</t>
  </si>
  <si>
    <t>Servicio de Vigilancia PERMANENTE 24 HORAS ARMADO de lunes a domingo incluido festivos</t>
  </si>
  <si>
    <t>Servicio de Vigilancia PERMANENTE 24 HORAS SIN ARMA de lunes a domingo incluido festivos</t>
  </si>
  <si>
    <t>Servicio de Vigilancia Ordinario DIURNO 12 HORAS ARMADO de lunes a viernes sin incluir festivos</t>
  </si>
  <si>
    <t>Servicio de Hombre de Protección con Canino 12 HORAS de lunes a viernes sin incluir festivos, con medio de comunicación y dotación completa</t>
  </si>
  <si>
    <t>SUBTOTAL SERVICIOS</t>
  </si>
  <si>
    <t>BASE GRAVABLE (10% AIU) SERVICIOS</t>
  </si>
  <si>
    <t>IVA 19% SOBRE SERVICIOS</t>
  </si>
  <si>
    <t xml:space="preserve"> TOTAL </t>
  </si>
  <si>
    <t>PROMEDIO</t>
  </si>
  <si>
    <t>COTIZACION MIRO</t>
  </si>
  <si>
    <t>COTIZACION ACROPOLIS</t>
  </si>
  <si>
    <t>COTIZACIÓN SEGURCOL</t>
  </si>
  <si>
    <t xml:space="preserve">CCTV en seis sedes (Edificio Edatel, Edificio Bulevar Bolivar, Sede judicial municipio de Turbo, municipio de Bello y en el Edificio José Félix de Restrepo ubicados de la siguiente manera: (1) Sótano y (1) Parqueadero. </t>
  </si>
  <si>
    <t>Sistema de registro y  control de ingreso y salida de público (lector de cedula) Edificio José Félix de Restrepo</t>
  </si>
  <si>
    <t>Sistema  de  registro  y  control  de  ingreso  y  salida  de  público (lector de cedula) Edificio Edatel </t>
  </si>
  <si>
    <t>Sistema de Control de ingreso y salida  empleados (torniquetes – carnet con Ship) Edificio José Félix de Restrepo.</t>
  </si>
  <si>
    <t>BASE GRAVABLE (10% AIU) EQUIPOS</t>
  </si>
  <si>
    <t xml:space="preserve"> IVA 19% SOBRE EQUIPOS </t>
  </si>
  <si>
    <t>PROMEDIO SERVICIOS</t>
  </si>
  <si>
    <t>PROMEDIO EQUIPOS</t>
  </si>
  <si>
    <t>TOTAL MES</t>
  </si>
  <si>
    <t>VR DIA</t>
  </si>
  <si>
    <t>DIAS</t>
  </si>
  <si>
    <t>MESES</t>
  </si>
  <si>
    <t>DIAS 2026</t>
  </si>
  <si>
    <t>TOTAL CONTRATO</t>
  </si>
  <si>
    <t>COTIZACIÓN SERVICIO DE VIGILANCIA MIRO (VALOR MENSUAL HASTA EL 24 DE DICIEMBRE DE 2025)</t>
  </si>
  <si>
    <t>COTIZACIÓN SERVICIO DE VIGILANCIA ACROPOLIS (VALOR MENSUAL HASTA EL 24 DE DICIEMBRE DE 2025)</t>
  </si>
  <si>
    <t>COTIZACIÓN SERVICIO DE VIGILANCIA SEGURCOL (VALOR MENSUAL HASTA EL 24 DE DICIEMBRE DE 2025)</t>
  </si>
  <si>
    <t xml:space="preserve">PROMEDIO MENSUAL </t>
  </si>
  <si>
    <t>MIRO</t>
  </si>
  <si>
    <t>ACROPOLIS</t>
  </si>
  <si>
    <t>SEGURCOL</t>
  </si>
  <si>
    <t>VALOR TOTAL MES ANTES IVA</t>
  </si>
  <si>
    <t>TASA 9,53</t>
  </si>
  <si>
    <t>TASA 9,77</t>
  </si>
  <si>
    <t>TOTAL MES PROMEDIO</t>
  </si>
  <si>
    <t>TOTAL PRESUPUESTO</t>
  </si>
  <si>
    <t>DIFERENCIA</t>
  </si>
  <si>
    <t>ASEO</t>
  </si>
  <si>
    <t>QUEDA</t>
  </si>
  <si>
    <t>PROMEDIO 10,21</t>
  </si>
  <si>
    <t>COTIZACIÓN SERVICIO DE VIGILANCIA ACROPOLIS (VALOR MENSUAL DEL 15 DE JULIO DE 2026 EN ADELANTE)</t>
  </si>
  <si>
    <t>COTIZACIÓN SERVICIO DE VIGILANCIA DOGMAN (VALOR MENSUAL DEL 15 DE JULIO DE 2026 EN ADELANTE)</t>
  </si>
  <si>
    <t>COTIZACIÓN SERVICIO DE VIGILANCIA LAS AMERICAS (VALOR MENSUAL DEL 15 DE JULIO DE 2026 EN ADELANTE)</t>
  </si>
  <si>
    <t>AIU 10%</t>
  </si>
  <si>
    <t>IVA DEL 19% SOBRE EL AIU</t>
  </si>
  <si>
    <t>VALOR UNITAIO MENSUAL CON IVA</t>
  </si>
  <si>
    <t>VALOR ANTES DE IVA</t>
  </si>
  <si>
    <t>COTIZACION DOGMAN</t>
  </si>
  <si>
    <t>COTIZACIÓN LAS AMERICAS</t>
  </si>
  <si>
    <t>COTIZACIÓN SERVICIO DE VIGILANCIA MIRO (VALOR MENSUAL DEL 15 DE JULIO DE 2026 EN ADELANTE)</t>
  </si>
  <si>
    <t>1</t>
  </si>
  <si>
    <t>SAMC008-202</t>
  </si>
  <si>
    <t xml:space="preserve">PRESTACIÓN DE SERVICIOS DE VIGILANCIA, CON PERSONAL UNIFORMADO, ARMADO, CARNETIZADO, CON RADIOS DE COMUNICACIÓN, INCLUIDA LA SUPERVISIÓN Y EL SERVICIO DE CANINO, PARA LOS DESPACHOS JUDICIALES Y/O SEDES ADMINISTRATIVAS A CARGO DE LA DIRECCIÓN SECCIONAL DE ADMINISTRACIÓN JUDICIAL DE MEDELLÍN </t>
  </si>
  <si>
    <t>EQUIPOS</t>
  </si>
  <si>
    <t>BASE GRAVABLE  EQUIPOS</t>
  </si>
  <si>
    <t>TOTAL EQUIPOS</t>
  </si>
  <si>
    <t>SERVICIOS</t>
  </si>
  <si>
    <t xml:space="preserve"> TOTAL SERVICIOS</t>
  </si>
  <si>
    <t xml:space="preserve"> TOTAL EQUIPOS + SERVICIOS</t>
  </si>
  <si>
    <t>VALOR MENSUAL (TARIFA + EQUIPOS)</t>
  </si>
  <si>
    <t>VALOR  POR DOS MESES (TARIFA + EQUIPOS)</t>
  </si>
  <si>
    <t>COTIZACIÓN SERVICIO DE VIGILANCIA (VALOR MENSUAL DEL 25 DE DICIEMBRE DE 2025 EN ADELANTE)</t>
  </si>
  <si>
    <t>VALORES HASTA 24 DE DICIEMBRE</t>
  </si>
  <si>
    <t>VALORES 25 DE DICIEMBRE EN ADELANTE</t>
  </si>
  <si>
    <t>VALOR HASTA EL 24 DE DICIEMBRE</t>
  </si>
  <si>
    <t xml:space="preserve">VALOR DESDE EL 25 DE DICIEMBRE </t>
  </si>
  <si>
    <t>DESCRIPCION</t>
  </si>
  <si>
    <t>PRECIO UNITARIO ANTES IVA</t>
  </si>
  <si>
    <t>VALOR TOTAL ANTES DE IVA</t>
  </si>
  <si>
    <t xml:space="preserve">CCTV en seis sedes (Edificio Edatel, Edificio Bulevar Bolivar, Sede judicial municipio de Turbo, municipio de Bello y en el Edificio José Félix de Restrepo ubicados de la siguiente manera: (1) Sótano y (1) Parqueadero. </t>
  </si>
  <si>
    <t>Sistema de Control de ingreso y salida empleados, funcionarios y público en
general (torniquetes – carnet con chip) Edificio Horacio Montoya Gil.</t>
  </si>
  <si>
    <t>COSTO DIRECTO</t>
  </si>
  <si>
    <t>BASE GRAVABLE (% AIU) SERVICIOS</t>
  </si>
  <si>
    <t>IVA SOBRE SERVICIOS</t>
  </si>
  <si>
    <t>BASE GRAVABLE (% AIU) EQUIPOS</t>
  </si>
  <si>
    <t xml:space="preserve"> IVA (EQUIPOS) </t>
  </si>
  <si>
    <t>NOTA: El valor de los servicios de vigilancia y seguridad privada tendrán validez hasta el 25 de diciembre de 2025, fecha en la cual varian de acuerdo con la reglamentación de ley.</t>
  </si>
  <si>
    <t>COTIZACIÓN SERVICIO DE VIGILANCIA (VALOR MENSUAL HASTA EL 24 DE DICIEMBRE DE 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</si>
</sst>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&quot;$&quot;\ #,##0;\-&quot;$&quot;\ #,##0"/>
    <numFmt numFmtId="165" formatCode="&quot;$&quot;\ #,##0;[Red]\-&quot;$&quot;\ #,##0"/>
    <numFmt numFmtId="166" formatCode="&quot;$&quot;\ #,##0.00;\-&quot;$&quot;\ #,##0.00"/>
    <numFmt numFmtId="167" formatCode="_-&quot;$&quot;\ * #,##0.00_-;\-&quot;$&quot;\ * #,##0.00_-;_-&quot;$&quot;\ * &quot;-&quot;??_-;_-@_-"/>
    <numFmt numFmtId="168" formatCode="_-&quot;$&quot;\ * #,##0_-;\-&quot;$&quot;\ * #,##0_-;_-&quot;$&quot;\ * &quot;-&quot;??_-;_-@_-"/>
    <numFmt numFmtId="169" formatCode="_-* #,##0_-;\-* #,##0_-;_-* &quot;-&quot;??_-;_-@_-"/>
    <numFmt numFmtId="170" formatCode="_-* #,##0.0000_-;\-* #,##0.0000_-;_-* &quot;-&quot;??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Calibri Light"/>
      <family val="2"/>
    </font>
    <font>
      <sz val="9"/>
      <color rgb="FF000000"/>
      <name val="Calibri Light"/>
      <family val="2"/>
    </font>
    <font>
      <b/>
      <sz val="9"/>
      <color theme="0"/>
      <name val="Calibri Light"/>
      <family val="2"/>
    </font>
    <font>
      <b/>
      <sz val="12"/>
      <color theme="0"/>
      <name val="Calibri Light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000000"/>
      <name val="Tahoma"/>
      <family val="2"/>
    </font>
    <font>
      <sz val="8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2"/>
      <color rgb="FF000000"/>
      <name val="Calibri Light"/>
      <family val="2"/>
    </font>
    <font>
      <b/>
      <sz val="11"/>
      <color rgb="FF000000"/>
      <name val="WordVisi_MSFontService"/>
      <charset val="1"/>
    </font>
    <font>
      <sz val="11"/>
      <color rgb="FFFF0000"/>
      <name val="Calibri"/>
      <family val="2"/>
      <scheme val="minor"/>
    </font>
    <font>
      <sz val="9"/>
      <name val="Tahoma"/>
      <family val="2"/>
    </font>
    <font>
      <b/>
      <sz val="9"/>
      <color theme="1"/>
      <name val="Calibri Light"/>
      <family val="2"/>
    </font>
    <font>
      <b/>
      <sz val="9"/>
      <name val="Calibri Light"/>
      <family val="2"/>
    </font>
    <font>
      <b/>
      <sz val="14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79"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168" fontId="3" fillId="5" borderId="1" xfId="1" applyNumberFormat="1" applyFont="1" applyFill="1" applyBorder="1" applyAlignment="1">
      <alignment horizontal="center" vertical="center" wrapText="1"/>
    </xf>
    <xf numFmtId="168" fontId="3" fillId="5" borderId="1" xfId="0" applyNumberFormat="1" applyFont="1" applyFill="1" applyBorder="1" applyAlignment="1">
      <alignment horizontal="center" vertical="center" wrapText="1"/>
    </xf>
    <xf numFmtId="168" fontId="2" fillId="0" borderId="1" xfId="1" applyNumberFormat="1" applyFont="1" applyBorder="1" applyAlignment="1">
      <alignment horizontal="center" vertical="center" wrapText="1"/>
    </xf>
    <xf numFmtId="168" fontId="3" fillId="5" borderId="1" xfId="0" applyNumberFormat="1" applyFont="1" applyFill="1" applyBorder="1" applyAlignment="1">
      <alignment horizontal="justify" vertical="center" wrapText="1"/>
    </xf>
    <xf numFmtId="168" fontId="0" fillId="0" borderId="0" xfId="0" applyNumberFormat="1"/>
    <xf numFmtId="9" fontId="0" fillId="0" borderId="0" xfId="2" applyFont="1"/>
    <xf numFmtId="168" fontId="0" fillId="0" borderId="1" xfId="1" applyNumberFormat="1" applyFont="1" applyBorder="1"/>
    <xf numFmtId="169" fontId="0" fillId="0" borderId="0" xfId="3" applyNumberFormat="1" applyFont="1"/>
    <xf numFmtId="169" fontId="0" fillId="0" borderId="0" xfId="0" applyNumberFormat="1"/>
    <xf numFmtId="0" fontId="5" fillId="3" borderId="1" xfId="0" applyFont="1" applyFill="1" applyBorder="1" applyAlignment="1">
      <alignment vertical="center" wrapText="1"/>
    </xf>
    <xf numFmtId="168" fontId="3" fillId="6" borderId="1" xfId="1" applyNumberFormat="1" applyFont="1" applyFill="1" applyBorder="1" applyAlignment="1">
      <alignment horizontal="center" vertical="center" wrapText="1"/>
    </xf>
    <xf numFmtId="0" fontId="0" fillId="6" borderId="0" xfId="0" applyFill="1"/>
    <xf numFmtId="168" fontId="2" fillId="6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169" fontId="7" fillId="0" borderId="1" xfId="0" applyNumberFormat="1" applyFont="1" applyBorder="1"/>
    <xf numFmtId="169" fontId="7" fillId="0" borderId="1" xfId="3" applyNumberFormat="1" applyFont="1" applyBorder="1"/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justify" vertical="center" wrapText="1"/>
    </xf>
    <xf numFmtId="0" fontId="8" fillId="5" borderId="1" xfId="0" applyFont="1" applyFill="1" applyBorder="1" applyAlignment="1">
      <alignment horizontal="center" vertical="center"/>
    </xf>
    <xf numFmtId="168" fontId="0" fillId="5" borderId="1" xfId="1" applyNumberFormat="1" applyFont="1" applyFill="1" applyBorder="1" applyAlignment="1" applyProtection="1">
      <alignment horizontal="center" vertical="center"/>
      <protection locked="0"/>
    </xf>
    <xf numFmtId="168" fontId="0" fillId="5" borderId="12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8" fillId="5" borderId="14" xfId="0" applyFont="1" applyFill="1" applyBorder="1" applyAlignment="1">
      <alignment horizontal="justify" vertical="center" wrapText="1"/>
    </xf>
    <xf numFmtId="0" fontId="8" fillId="5" borderId="14" xfId="0" applyFont="1" applyFill="1" applyBorder="1" applyAlignment="1">
      <alignment horizontal="center" vertical="center"/>
    </xf>
    <xf numFmtId="168" fontId="0" fillId="5" borderId="14" xfId="1" applyNumberFormat="1" applyFont="1" applyFill="1" applyBorder="1" applyAlignment="1" applyProtection="1">
      <alignment horizontal="center" vertical="center"/>
      <protection locked="0"/>
    </xf>
    <xf numFmtId="168" fontId="0" fillId="5" borderId="15" xfId="1" applyNumberFormat="1" applyFont="1" applyFill="1" applyBorder="1" applyAlignment="1">
      <alignment horizontal="center" vertical="center"/>
    </xf>
    <xf numFmtId="9" fontId="9" fillId="6" borderId="1" xfId="2" applyFont="1" applyFill="1" applyBorder="1" applyAlignment="1" applyProtection="1">
      <alignment vertical="center" wrapText="1"/>
      <protection locked="0"/>
    </xf>
    <xf numFmtId="43" fontId="9" fillId="6" borderId="12" xfId="4" applyNumberFormat="1" applyFont="1" applyFill="1" applyBorder="1" applyAlignment="1">
      <alignment horizontal="right" vertical="center" wrapText="1"/>
    </xf>
    <xf numFmtId="164" fontId="9" fillId="6" borderId="12" xfId="4" applyNumberFormat="1" applyFont="1" applyFill="1" applyBorder="1" applyAlignment="1">
      <alignment horizontal="right" vertical="center" wrapText="1"/>
    </xf>
    <xf numFmtId="9" fontId="9" fillId="9" borderId="1" xfId="2" applyFont="1" applyFill="1" applyBorder="1" applyAlignment="1" applyProtection="1">
      <alignment vertical="center" wrapText="1"/>
      <protection locked="0"/>
    </xf>
    <xf numFmtId="169" fontId="9" fillId="6" borderId="12" xfId="4" applyNumberFormat="1" applyFont="1" applyFill="1" applyBorder="1" applyAlignment="1">
      <alignment horizontal="right" vertical="center" wrapText="1"/>
    </xf>
    <xf numFmtId="9" fontId="9" fillId="6" borderId="1" xfId="2" applyFont="1" applyFill="1" applyBorder="1" applyAlignment="1">
      <alignment vertical="center" wrapText="1"/>
    </xf>
    <xf numFmtId="168" fontId="2" fillId="0" borderId="0" xfId="1" applyNumberFormat="1" applyFont="1" applyBorder="1" applyAlignment="1">
      <alignment horizontal="center" vertical="center" wrapText="1"/>
    </xf>
    <xf numFmtId="168" fontId="0" fillId="5" borderId="1" xfId="1" applyNumberFormat="1" applyFont="1" applyFill="1" applyBorder="1" applyAlignment="1">
      <alignment horizontal="center" vertical="center"/>
    </xf>
    <xf numFmtId="0" fontId="10" fillId="0" borderId="25" xfId="0" applyFont="1" applyBorder="1" applyAlignment="1">
      <alignment horizontal="right" vertical="center"/>
    </xf>
    <xf numFmtId="0" fontId="10" fillId="0" borderId="25" xfId="0" applyFont="1" applyBorder="1" applyAlignment="1">
      <alignment horizontal="center"/>
    </xf>
    <xf numFmtId="3" fontId="0" fillId="0" borderId="0" xfId="0" applyNumberFormat="1"/>
    <xf numFmtId="3" fontId="10" fillId="0" borderId="25" xfId="0" applyNumberFormat="1" applyFont="1" applyBorder="1"/>
    <xf numFmtId="0" fontId="10" fillId="0" borderId="26" xfId="0" applyFont="1" applyBorder="1" applyAlignment="1">
      <alignment horizontal="center" vertical="center"/>
    </xf>
    <xf numFmtId="0" fontId="10" fillId="0" borderId="26" xfId="0" applyFont="1" applyBorder="1"/>
    <xf numFmtId="165" fontId="0" fillId="0" borderId="0" xfId="0" applyNumberFormat="1"/>
    <xf numFmtId="165" fontId="10" fillId="0" borderId="26" xfId="0" applyNumberFormat="1" applyFont="1" applyBorder="1"/>
    <xf numFmtId="0" fontId="11" fillId="0" borderId="25" xfId="0" applyFont="1" applyBorder="1" applyAlignment="1">
      <alignment horizontal="center"/>
    </xf>
    <xf numFmtId="0" fontId="11" fillId="0" borderId="25" xfId="0" applyFont="1" applyBorder="1"/>
    <xf numFmtId="0" fontId="11" fillId="0" borderId="0" xfId="0" applyFont="1"/>
    <xf numFmtId="3" fontId="11" fillId="0" borderId="25" xfId="0" applyNumberFormat="1" applyFont="1" applyBorder="1"/>
    <xf numFmtId="0" fontId="12" fillId="0" borderId="29" xfId="0" applyFont="1" applyBorder="1" applyAlignment="1">
      <alignment horizontal="center"/>
    </xf>
    <xf numFmtId="3" fontId="12" fillId="0" borderId="25" xfId="0" applyNumberFormat="1" applyFont="1" applyBorder="1"/>
    <xf numFmtId="0" fontId="11" fillId="0" borderId="0" xfId="0" applyFont="1" applyAlignment="1">
      <alignment wrapText="1"/>
    </xf>
    <xf numFmtId="3" fontId="11" fillId="0" borderId="0" xfId="0" applyNumberFormat="1" applyFont="1"/>
    <xf numFmtId="0" fontId="7" fillId="6" borderId="1" xfId="0" applyFont="1" applyFill="1" applyBorder="1"/>
    <xf numFmtId="169" fontId="7" fillId="6" borderId="1" xfId="0" applyNumberFormat="1" applyFont="1" applyFill="1" applyBorder="1"/>
    <xf numFmtId="49" fontId="3" fillId="5" borderId="1" xfId="0" applyNumberFormat="1" applyFont="1" applyFill="1" applyBorder="1" applyAlignment="1">
      <alignment horizontal="center" vertical="center" wrapText="1"/>
    </xf>
    <xf numFmtId="168" fontId="13" fillId="5" borderId="1" xfId="1" applyNumberFormat="1" applyFont="1" applyFill="1" applyBorder="1" applyAlignment="1">
      <alignment horizontal="center" vertical="center" wrapText="1"/>
    </xf>
    <xf numFmtId="168" fontId="13" fillId="12" borderId="1" xfId="1" applyNumberFormat="1" applyFont="1" applyFill="1" applyBorder="1" applyAlignment="1">
      <alignment horizontal="center" vertical="center" wrapText="1"/>
    </xf>
    <xf numFmtId="168" fontId="13" fillId="13" borderId="1" xfId="1" applyNumberFormat="1" applyFont="1" applyFill="1" applyBorder="1" applyAlignment="1">
      <alignment horizontal="right" vertical="center" wrapText="1"/>
    </xf>
    <xf numFmtId="168" fontId="2" fillId="2" borderId="2" xfId="0" applyNumberFormat="1" applyFont="1" applyFill="1" applyBorder="1" applyAlignment="1">
      <alignment horizontal="center" vertical="center" wrapText="1"/>
    </xf>
    <xf numFmtId="168" fontId="2" fillId="2" borderId="3" xfId="0" applyNumberFormat="1" applyFont="1" applyFill="1" applyBorder="1" applyAlignment="1">
      <alignment horizontal="center" vertical="center" wrapText="1"/>
    </xf>
    <xf numFmtId="168" fontId="2" fillId="2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168" fontId="13" fillId="6" borderId="1" xfId="1" applyNumberFormat="1" applyFont="1" applyFill="1" applyBorder="1" applyAlignment="1">
      <alignment horizontal="center" vertical="center" wrapText="1"/>
    </xf>
    <xf numFmtId="168" fontId="2" fillId="9" borderId="1" xfId="1" applyNumberFormat="1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25" xfId="0" applyFont="1" applyBorder="1"/>
    <xf numFmtId="165" fontId="10" fillId="0" borderId="25" xfId="0" applyNumberFormat="1" applyFont="1" applyBorder="1"/>
    <xf numFmtId="0" fontId="10" fillId="0" borderId="26" xfId="0" applyFont="1" applyBorder="1" applyAlignment="1">
      <alignment horizontal="right" vertical="center"/>
    </xf>
    <xf numFmtId="0" fontId="10" fillId="0" borderId="26" xfId="0" applyFont="1" applyBorder="1" applyAlignment="1">
      <alignment horizontal="center"/>
    </xf>
    <xf numFmtId="3" fontId="10" fillId="0" borderId="26" xfId="0" applyNumberFormat="1" applyFont="1" applyBorder="1"/>
    <xf numFmtId="0" fontId="12" fillId="0" borderId="35" xfId="0" applyFont="1" applyBorder="1" applyAlignment="1">
      <alignment horizontal="center"/>
    </xf>
    <xf numFmtId="0" fontId="12" fillId="0" borderId="36" xfId="0" applyFont="1" applyBorder="1" applyAlignment="1">
      <alignment horizontal="center"/>
    </xf>
    <xf numFmtId="0" fontId="12" fillId="0" borderId="37" xfId="0" applyFont="1" applyBorder="1" applyAlignment="1">
      <alignment horizontal="center"/>
    </xf>
    <xf numFmtId="3" fontId="12" fillId="0" borderId="38" xfId="0" applyNumberFormat="1" applyFont="1" applyBorder="1"/>
    <xf numFmtId="3" fontId="14" fillId="0" borderId="0" xfId="0" applyNumberFormat="1" applyFont="1"/>
    <xf numFmtId="165" fontId="11" fillId="0" borderId="0" xfId="0" applyNumberFormat="1" applyFont="1"/>
    <xf numFmtId="0" fontId="15" fillId="0" borderId="0" xfId="0" applyFont="1"/>
    <xf numFmtId="169" fontId="15" fillId="0" borderId="0" xfId="0" applyNumberFormat="1" applyFont="1"/>
    <xf numFmtId="164" fontId="16" fillId="0" borderId="1" xfId="3" applyNumberFormat="1" applyFont="1" applyBorder="1" applyAlignment="1">
      <alignment horizontal="center" vertical="center" wrapText="1"/>
    </xf>
    <xf numFmtId="0" fontId="0" fillId="0" borderId="25" xfId="0" applyBorder="1"/>
    <xf numFmtId="0" fontId="5" fillId="3" borderId="25" xfId="0" applyFont="1" applyFill="1" applyBorder="1" applyAlignment="1">
      <alignment vertical="center" wrapText="1"/>
    </xf>
    <xf numFmtId="0" fontId="4" fillId="4" borderId="25" xfId="0" applyFont="1" applyFill="1" applyBorder="1" applyAlignment="1">
      <alignment horizontal="center" vertical="center" wrapText="1"/>
    </xf>
    <xf numFmtId="49" fontId="3" fillId="5" borderId="25" xfId="0" applyNumberFormat="1" applyFont="1" applyFill="1" applyBorder="1" applyAlignment="1">
      <alignment horizontal="center" vertical="center" wrapText="1"/>
    </xf>
    <xf numFmtId="168" fontId="3" fillId="5" borderId="25" xfId="0" applyNumberFormat="1" applyFont="1" applyFill="1" applyBorder="1" applyAlignment="1">
      <alignment horizontal="justify" vertical="center" wrapText="1"/>
    </xf>
    <xf numFmtId="168" fontId="3" fillId="5" borderId="25" xfId="0" applyNumberFormat="1" applyFont="1" applyFill="1" applyBorder="1" applyAlignment="1">
      <alignment horizontal="center" vertical="center" wrapText="1"/>
    </xf>
    <xf numFmtId="168" fontId="3" fillId="6" borderId="25" xfId="1" applyNumberFormat="1" applyFont="1" applyFill="1" applyBorder="1" applyAlignment="1">
      <alignment horizontal="center" vertical="center" wrapText="1"/>
    </xf>
    <xf numFmtId="168" fontId="3" fillId="5" borderId="25" xfId="1" applyNumberFormat="1" applyFont="1" applyFill="1" applyBorder="1" applyAlignment="1">
      <alignment horizontal="center" vertical="center" wrapText="1"/>
    </xf>
    <xf numFmtId="168" fontId="2" fillId="2" borderId="25" xfId="0" applyNumberFormat="1" applyFont="1" applyFill="1" applyBorder="1" applyAlignment="1">
      <alignment horizontal="center" vertical="center" wrapText="1"/>
    </xf>
    <xf numFmtId="0" fontId="0" fillId="6" borderId="25" xfId="0" applyFill="1" applyBorder="1"/>
    <xf numFmtId="168" fontId="2" fillId="6" borderId="25" xfId="1" applyNumberFormat="1" applyFont="1" applyFill="1" applyBorder="1" applyAlignment="1">
      <alignment horizontal="center" vertical="center" wrapText="1"/>
    </xf>
    <xf numFmtId="168" fontId="2" fillId="0" borderId="25" xfId="1" applyNumberFormat="1" applyFont="1" applyBorder="1" applyAlignment="1">
      <alignment horizontal="center" vertical="center" wrapText="1"/>
    </xf>
    <xf numFmtId="168" fontId="3" fillId="0" borderId="1" xfId="1" applyNumberFormat="1" applyFont="1" applyFill="1" applyBorder="1" applyAlignment="1">
      <alignment horizontal="center" vertical="center" wrapText="1"/>
    </xf>
    <xf numFmtId="170" fontId="0" fillId="0" borderId="0" xfId="0" applyNumberFormat="1"/>
    <xf numFmtId="0" fontId="7" fillId="17" borderId="25" xfId="0" applyFont="1" applyFill="1" applyBorder="1" applyAlignment="1">
      <alignment horizontal="center" wrapText="1"/>
    </xf>
    <xf numFmtId="168" fontId="0" fillId="0" borderId="25" xfId="0" applyNumberFormat="1" applyBorder="1"/>
    <xf numFmtId="170" fontId="0" fillId="0" borderId="25" xfId="0" applyNumberFormat="1" applyBorder="1"/>
    <xf numFmtId="168" fontId="2" fillId="9" borderId="2" xfId="1" applyNumberFormat="1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9" fontId="7" fillId="9" borderId="25" xfId="0" applyNumberFormat="1" applyFont="1" applyFill="1" applyBorder="1"/>
    <xf numFmtId="168" fontId="2" fillId="9" borderId="25" xfId="1" applyNumberFormat="1" applyFont="1" applyFill="1" applyBorder="1" applyAlignment="1">
      <alignment horizontal="center" vertical="center" wrapText="1"/>
    </xf>
    <xf numFmtId="49" fontId="3" fillId="5" borderId="14" xfId="0" applyNumberFormat="1" applyFont="1" applyFill="1" applyBorder="1" applyAlignment="1">
      <alignment horizontal="center" vertical="center" wrapText="1"/>
    </xf>
    <xf numFmtId="168" fontId="3" fillId="5" borderId="14" xfId="0" applyNumberFormat="1" applyFont="1" applyFill="1" applyBorder="1" applyAlignment="1">
      <alignment horizontal="justify" vertical="center" wrapText="1"/>
    </xf>
    <xf numFmtId="168" fontId="3" fillId="6" borderId="26" xfId="1" applyNumberFormat="1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18" fillId="18" borderId="42" xfId="0" applyFont="1" applyFill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horizontal="center" vertical="center" wrapText="1"/>
    </xf>
    <xf numFmtId="168" fontId="2" fillId="2" borderId="2" xfId="0" applyNumberFormat="1" applyFont="1" applyFill="1" applyBorder="1" applyAlignment="1">
      <alignment horizontal="center" vertical="center" wrapText="1"/>
    </xf>
    <xf numFmtId="168" fontId="2" fillId="2" borderId="3" xfId="0" applyNumberFormat="1" applyFont="1" applyFill="1" applyBorder="1" applyAlignment="1">
      <alignment horizontal="center" vertical="center" wrapText="1"/>
    </xf>
    <xf numFmtId="168" fontId="2" fillId="2" borderId="4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7" fillId="18" borderId="2" xfId="0" applyFont="1" applyFill="1" applyBorder="1" applyAlignment="1">
      <alignment horizontal="center" vertical="center" wrapText="1"/>
    </xf>
    <xf numFmtId="0" fontId="17" fillId="18" borderId="3" xfId="0" applyFont="1" applyFill="1" applyBorder="1" applyAlignment="1">
      <alignment horizontal="center" vertical="center" wrapText="1"/>
    </xf>
    <xf numFmtId="0" fontId="17" fillId="18" borderId="4" xfId="0" applyFont="1" applyFill="1" applyBorder="1" applyAlignment="1">
      <alignment horizontal="center" vertical="center" wrapText="1"/>
    </xf>
    <xf numFmtId="168" fontId="2" fillId="2" borderId="27" xfId="0" applyNumberFormat="1" applyFont="1" applyFill="1" applyBorder="1" applyAlignment="1">
      <alignment horizontal="center" vertical="center" wrapText="1"/>
    </xf>
    <xf numFmtId="168" fontId="2" fillId="2" borderId="28" xfId="0" applyNumberFormat="1" applyFont="1" applyFill="1" applyBorder="1" applyAlignment="1">
      <alignment horizontal="center" vertical="center" wrapText="1"/>
    </xf>
    <xf numFmtId="168" fontId="2" fillId="2" borderId="29" xfId="0" applyNumberFormat="1" applyFont="1" applyFill="1" applyBorder="1" applyAlignment="1">
      <alignment horizontal="center" vertical="center" wrapText="1"/>
    </xf>
    <xf numFmtId="168" fontId="2" fillId="2" borderId="39" xfId="0" applyNumberFormat="1" applyFont="1" applyFill="1" applyBorder="1" applyAlignment="1">
      <alignment horizontal="center" vertical="center" wrapText="1"/>
    </xf>
    <xf numFmtId="168" fontId="2" fillId="2" borderId="40" xfId="0" applyNumberFormat="1" applyFont="1" applyFill="1" applyBorder="1" applyAlignment="1">
      <alignment horizontal="center" vertical="center" wrapText="1"/>
    </xf>
    <xf numFmtId="168" fontId="2" fillId="2" borderId="41" xfId="0" applyNumberFormat="1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3" fillId="9" borderId="3" xfId="0" applyFont="1" applyFill="1" applyBorder="1" applyAlignment="1">
      <alignment horizontal="center" vertical="center" wrapText="1"/>
    </xf>
    <xf numFmtId="0" fontId="13" fillId="9" borderId="4" xfId="0" applyFont="1" applyFill="1" applyBorder="1" applyAlignment="1">
      <alignment horizontal="center" vertical="center" wrapText="1"/>
    </xf>
    <xf numFmtId="168" fontId="2" fillId="2" borderId="30" xfId="0" applyNumberFormat="1" applyFont="1" applyFill="1" applyBorder="1" applyAlignment="1">
      <alignment horizontal="center" vertical="center" wrapText="1"/>
    </xf>
    <xf numFmtId="168" fontId="2" fillId="2" borderId="31" xfId="0" applyNumberFormat="1" applyFont="1" applyFill="1" applyBorder="1" applyAlignment="1">
      <alignment horizontal="center" vertical="center" wrapText="1"/>
    </xf>
    <xf numFmtId="168" fontId="2" fillId="2" borderId="32" xfId="0" applyNumberFormat="1" applyFont="1" applyFill="1" applyBorder="1" applyAlignment="1">
      <alignment horizontal="center" vertical="center" wrapText="1"/>
    </xf>
    <xf numFmtId="168" fontId="2" fillId="2" borderId="33" xfId="0" applyNumberFormat="1" applyFont="1" applyFill="1" applyBorder="1" applyAlignment="1">
      <alignment horizontal="center" vertical="center" wrapText="1"/>
    </xf>
    <xf numFmtId="168" fontId="2" fillId="2" borderId="0" xfId="0" applyNumberFormat="1" applyFont="1" applyFill="1" applyAlignment="1">
      <alignment horizontal="center" vertical="center" wrapText="1"/>
    </xf>
    <xf numFmtId="168" fontId="2" fillId="2" borderId="34" xfId="0" applyNumberFormat="1" applyFont="1" applyFill="1" applyBorder="1" applyAlignment="1">
      <alignment horizontal="center" vertical="center" wrapText="1"/>
    </xf>
    <xf numFmtId="0" fontId="13" fillId="11" borderId="2" xfId="0" applyFont="1" applyFill="1" applyBorder="1" applyAlignment="1">
      <alignment horizontal="center" vertical="center" wrapText="1"/>
    </xf>
    <xf numFmtId="0" fontId="13" fillId="11" borderId="3" xfId="0" applyFont="1" applyFill="1" applyBorder="1" applyAlignment="1">
      <alignment horizontal="center" vertical="center" wrapText="1"/>
    </xf>
    <xf numFmtId="0" fontId="13" fillId="11" borderId="4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5" fillId="3" borderId="25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5" fillId="14" borderId="3" xfId="0" applyFont="1" applyFill="1" applyBorder="1" applyAlignment="1">
      <alignment horizontal="center" vertical="center" wrapText="1"/>
    </xf>
    <xf numFmtId="0" fontId="5" fillId="14" borderId="4" xfId="0" applyFont="1" applyFill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center" vertical="center" wrapText="1"/>
    </xf>
    <xf numFmtId="0" fontId="5" fillId="15" borderId="3" xfId="0" applyFont="1" applyFill="1" applyBorder="1" applyAlignment="1">
      <alignment horizontal="center" vertical="center" wrapText="1"/>
    </xf>
    <xf numFmtId="0" fontId="5" fillId="15" borderId="4" xfId="0" applyFont="1" applyFill="1" applyBorder="1" applyAlignment="1">
      <alignment horizontal="center" vertical="center" wrapText="1"/>
    </xf>
    <xf numFmtId="0" fontId="5" fillId="16" borderId="2" xfId="0" applyFont="1" applyFill="1" applyBorder="1" applyAlignment="1">
      <alignment horizontal="center" vertical="center" wrapText="1"/>
    </xf>
    <xf numFmtId="0" fontId="5" fillId="16" borderId="3" xfId="0" applyFont="1" applyFill="1" applyBorder="1" applyAlignment="1">
      <alignment horizontal="center" vertical="center" wrapText="1"/>
    </xf>
    <xf numFmtId="0" fontId="5" fillId="16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9" fillId="9" borderId="11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20" xfId="0" applyFont="1" applyFill="1" applyBorder="1" applyAlignment="1">
      <alignment horizontal="center" vertical="center" wrapText="1"/>
    </xf>
    <xf numFmtId="0" fontId="9" fillId="9" borderId="21" xfId="0" applyFont="1" applyFill="1" applyBorder="1" applyAlignment="1">
      <alignment horizontal="center" vertical="center" wrapText="1"/>
    </xf>
    <xf numFmtId="164" fontId="9" fillId="6" borderId="22" xfId="4" applyNumberFormat="1" applyFont="1" applyFill="1" applyBorder="1" applyAlignment="1">
      <alignment horizontal="right" vertical="center" wrapText="1"/>
    </xf>
    <xf numFmtId="164" fontId="9" fillId="6" borderId="23" xfId="4" applyNumberFormat="1" applyFont="1" applyFill="1" applyBorder="1" applyAlignment="1">
      <alignment horizontal="right" vertical="center" wrapText="1"/>
    </xf>
    <xf numFmtId="0" fontId="9" fillId="9" borderId="16" xfId="0" applyFont="1" applyFill="1" applyBorder="1" applyAlignment="1">
      <alignment horizontal="center" vertical="center" wrapText="1"/>
    </xf>
    <xf numFmtId="0" fontId="9" fillId="9" borderId="17" xfId="0" applyFont="1" applyFill="1" applyBorder="1" applyAlignment="1">
      <alignment horizontal="center" vertical="center" wrapText="1"/>
    </xf>
    <xf numFmtId="166" fontId="9" fillId="6" borderId="18" xfId="4" applyNumberFormat="1" applyFont="1" applyFill="1" applyBorder="1" applyAlignment="1">
      <alignment horizontal="right" vertical="center" wrapText="1"/>
    </xf>
    <xf numFmtId="166" fontId="9" fillId="6" borderId="19" xfId="4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wrapText="1"/>
    </xf>
  </cellXfs>
  <cellStyles count="5">
    <cellStyle name="Millares" xfId="3" builtinId="3"/>
    <cellStyle name="Moneda" xfId="1" builtinId="4"/>
    <cellStyle name="Moneda 2" xfId="4" xr:uid="{00000000-0005-0000-0000-000002000000}"/>
    <cellStyle name="Normal" xfId="0" builtinId="0"/>
    <cellStyle name="Porcentaje" xfId="2" builtinId="5"/>
  </cellStyles>
  <dxfs count="20"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&quot;$&quot;\ * #,##0_-;\-&quot;$&quot;\ * #,##0_-;_-&quot;$&quot;\ * &quot;-&quot;??_-;_-@_-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&quot;$&quot;\ * #,##0_-;\-&quot;$&quot;\ * #,##0_-;_-&quot;$&quot;\ * &quot;-&quot;??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fill>
        <patternFill>
          <fgColor rgb="FF000000"/>
          <bgColor rgb="FFFFFFFF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>
          <fgColor indexed="64"/>
          <bgColor theme="0" tint="-0.34998626667073579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&quot;$&quot;\ * #,##0_-;\-&quot;$&quot;\ * #,##0_-;_-&quot;$&quot;\ * &quot;-&quot;??_-;_-@_-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-&quot;$&quot;\ * #,##0_-;\-&quot;$&quot;\ * #,##0_-;_-&quot;$&quot;\ * &quot;-&quot;??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>
          <fgColor indexed="64"/>
          <bgColor theme="0" tint="-0.34998626667073579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Users/YURANI/Downloads/INVITACI&#211;N%20A%20COTIZAR%20RAMA%20JUDICIAL%20(1)%20(1)%20(2).xlsx" TargetMode="External"/><Relationship Id="rId1" Type="http://schemas.openxmlformats.org/officeDocument/2006/relationships/externalLinkPath" Target="/Users/YURANI/Downloads/INVITACI&#211;N%20A%20COTIZAR%20RAMA%20JUDICIAL%20(1)%20(1)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alor 25 dic al 31 dic"/>
      <sheetName val="valor del 1 de oct al 24 dic"/>
      <sheetName val="Hoja1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_A_44" displayName="S_A_44" ref="A3:E12" headerRowDxfId="19" dataDxfId="18" totalsRowDxfId="17" headerRowBorderDxfId="16">
  <tableColumns count="5">
    <tableColumn id="1" xr3:uid="{00000000-0010-0000-0000-000001000000}" name="ITEM" totalsRowLabel="COSTO DIRECTO" dataDxfId="15"/>
    <tableColumn id="2" xr3:uid="{00000000-0010-0000-0000-000002000000}" name="DESCRIPCION" dataDxfId="14"/>
    <tableColumn id="3" xr3:uid="{00000000-0010-0000-0000-000003000000}" name="CANT" dataDxfId="12" totalsRowDxfId="13"/>
    <tableColumn id="5" xr3:uid="{00000000-0010-0000-0000-000005000000}" name="PRECIO UNITARIO ANTES IVA" dataDxfId="11" dataCellStyle="Moneda">
      <calculatedColumnFormula>+[1]Hoja1!#REF!</calculatedColumnFormula>
    </tableColumn>
    <tableColumn id="8" xr3:uid="{00000000-0010-0000-0000-000008000000}" name="VALOR TOTAL ANTES DE IVA" totalsRowFunction="sum" dataDxfId="10" dataCellStyle="Moneda">
      <calculatedColumnFormula>S_A_44[[#This Row],[PRECIO UNITARIO ANTES IVA]]*S_A_44[[#This Row],[CANT]]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S_A_442" displayName="S_A_442" ref="H3:L12" headerRowDxfId="9" dataDxfId="8" totalsRowDxfId="7" headerRowBorderDxfId="6">
  <tableColumns count="5">
    <tableColumn id="1" xr3:uid="{00000000-0010-0000-0100-000001000000}" name="ITEM" totalsRowLabel="COSTO DIRECTO" dataDxfId="5"/>
    <tableColumn id="2" xr3:uid="{00000000-0010-0000-0100-000002000000}" name="DESCRIPCION" dataDxfId="4"/>
    <tableColumn id="3" xr3:uid="{00000000-0010-0000-0100-000003000000}" name="CANT" dataDxfId="2" totalsRowDxfId="3"/>
    <tableColumn id="5" xr3:uid="{00000000-0010-0000-0100-000005000000}" name="PRECIO UNITARIO ANTES IVA" dataDxfId="1" dataCellStyle="Moneda">
      <calculatedColumnFormula>+[1]Hoja1!#REF!</calculatedColumnFormula>
    </tableColumn>
    <tableColumn id="8" xr3:uid="{00000000-0010-0000-0100-000008000000}" name="VALOR TOTAL ANTES DE IVA" totalsRowFunction="sum" dataDxfId="0" dataCellStyle="Moneda">
      <calculatedColumnFormula>S_A_442[[#This Row],[PRECIO UNITARIO ANTES IVA]]*S_A_442[[#This Row],[CANT]]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89F99-DD36-47EF-9B87-E6A88D0FA64C}">
  <dimension ref="A1:AI53"/>
  <sheetViews>
    <sheetView topLeftCell="A16" zoomScaleNormal="100" workbookViewId="0">
      <selection activeCell="A14" sqref="A14:K22"/>
    </sheetView>
  </sheetViews>
  <sheetFormatPr defaultColWidth="11.42578125" defaultRowHeight="15" customHeight="1"/>
  <cols>
    <col min="2" max="2" width="27" customWidth="1"/>
    <col min="3" max="3" width="9.140625"/>
    <col min="4" max="4" width="17" customWidth="1"/>
    <col min="5" max="5" width="17.7109375" customWidth="1"/>
    <col min="6" max="6" width="14.7109375" bestFit="1" customWidth="1"/>
    <col min="7" max="7" width="11.85546875" bestFit="1" customWidth="1"/>
    <col min="8" max="8" width="13.85546875" customWidth="1"/>
    <col min="9" max="9" width="13" bestFit="1" customWidth="1"/>
    <col min="10" max="10" width="20" customWidth="1"/>
    <col min="11" max="11" width="16.5703125" bestFit="1" customWidth="1"/>
    <col min="12" max="12" width="12.42578125" customWidth="1"/>
    <col min="13" max="13" width="13.140625" customWidth="1"/>
    <col min="14" max="14" width="17.5703125" bestFit="1" customWidth="1"/>
    <col min="15" max="15" width="14.42578125" customWidth="1"/>
    <col min="16" max="16" width="13.7109375" customWidth="1"/>
    <col min="17" max="17" width="14.140625" customWidth="1"/>
    <col min="18" max="18" width="12.140625" customWidth="1"/>
    <col min="19" max="19" width="9.140625"/>
    <col min="20" max="20" width="15.140625" customWidth="1"/>
    <col min="21" max="21" width="11.42578125" customWidth="1"/>
    <col min="22" max="22" width="11.140625" customWidth="1"/>
    <col min="23" max="23" width="14.85546875" customWidth="1"/>
    <col min="24" max="24" width="13" customWidth="1"/>
    <col min="25" max="25" width="9.140625"/>
    <col min="26" max="26" width="13.140625" customWidth="1"/>
    <col min="27" max="27" width="13.85546875" customWidth="1"/>
    <col min="28" max="28" width="15.7109375" customWidth="1"/>
    <col min="29" max="29" width="20" customWidth="1"/>
    <col min="30" max="30" width="17.7109375" customWidth="1"/>
    <col min="31" max="32" width="18.5703125" customWidth="1"/>
    <col min="33" max="33" width="19.5703125" customWidth="1"/>
    <col min="34" max="34" width="17.85546875" customWidth="1"/>
    <col min="35" max="35" width="5.5703125" customWidth="1"/>
  </cols>
  <sheetData>
    <row r="1" spans="1:35" ht="53.25" customHeight="1">
      <c r="B1" s="11"/>
      <c r="C1" s="11"/>
      <c r="D1" s="141" t="s">
        <v>0</v>
      </c>
      <c r="E1" s="142"/>
      <c r="F1" s="135" t="s">
        <v>1</v>
      </c>
      <c r="G1" s="136"/>
      <c r="H1" s="136"/>
      <c r="I1" s="136"/>
      <c r="J1" s="136"/>
      <c r="K1" s="137"/>
      <c r="L1" s="132" t="s">
        <v>2</v>
      </c>
      <c r="M1" s="133"/>
      <c r="N1" s="133"/>
      <c r="O1" s="133"/>
      <c r="P1" s="133"/>
      <c r="Q1" s="134"/>
      <c r="R1" s="129" t="s">
        <v>3</v>
      </c>
      <c r="S1" s="130"/>
      <c r="T1" s="130"/>
      <c r="U1" s="130"/>
      <c r="V1" s="130"/>
      <c r="W1" s="131"/>
    </row>
    <row r="2" spans="1:35" ht="36">
      <c r="A2" s="1" t="s">
        <v>4</v>
      </c>
      <c r="B2" s="1" t="s">
        <v>5</v>
      </c>
      <c r="C2" s="1" t="s">
        <v>6</v>
      </c>
      <c r="D2" s="1" t="s">
        <v>0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1" t="s">
        <v>8</v>
      </c>
      <c r="S2" s="1" t="s">
        <v>9</v>
      </c>
      <c r="T2" s="1" t="s">
        <v>10</v>
      </c>
      <c r="U2" s="1" t="s">
        <v>11</v>
      </c>
      <c r="V2" s="1" t="s">
        <v>12</v>
      </c>
      <c r="W2" s="1" t="s">
        <v>13</v>
      </c>
    </row>
    <row r="3" spans="1:35" ht="36">
      <c r="A3" s="59">
        <v>1</v>
      </c>
      <c r="B3" s="5" t="s">
        <v>14</v>
      </c>
      <c r="C3" s="3">
        <v>33</v>
      </c>
      <c r="D3" s="68">
        <f>ROUND(AVERAGE(J3,P3,V3),0)</f>
        <v>15299912</v>
      </c>
      <c r="E3" s="62">
        <f>+D3*C3</f>
        <v>504897096</v>
      </c>
      <c r="F3" s="2">
        <f>1423500*9.77</f>
        <v>13907595</v>
      </c>
      <c r="G3" s="2">
        <v>1500</v>
      </c>
      <c r="H3" s="2">
        <f>SUM(F3:G3)</f>
        <v>13909095</v>
      </c>
      <c r="I3" s="2">
        <f>H3*10%</f>
        <v>1390909.5</v>
      </c>
      <c r="J3" s="2">
        <f>SUM(H3:I3)</f>
        <v>15300004.5</v>
      </c>
      <c r="K3" s="2">
        <f>+J3*C3</f>
        <v>504900148.5</v>
      </c>
      <c r="L3" s="2">
        <f>1423500*9.77</f>
        <v>13907595</v>
      </c>
      <c r="M3" s="2">
        <v>999</v>
      </c>
      <c r="N3" s="2">
        <f>SUM(L3:M3)</f>
        <v>13908594</v>
      </c>
      <c r="O3" s="2">
        <f>N3*10%</f>
        <v>1390859.4000000001</v>
      </c>
      <c r="P3" s="2">
        <f>SUM(N3:O3)</f>
        <v>15299453.4</v>
      </c>
      <c r="Q3" s="2">
        <f>+P3*C3</f>
        <v>504881962.19999999</v>
      </c>
      <c r="R3" s="2">
        <f>1423500*9.77</f>
        <v>13907595</v>
      </c>
      <c r="S3" s="2">
        <v>1750</v>
      </c>
      <c r="T3" s="2">
        <f>SUM(R3:S3)</f>
        <v>13909345</v>
      </c>
      <c r="U3" s="2">
        <f>T3*10%</f>
        <v>1390934.5</v>
      </c>
      <c r="V3" s="2">
        <f>SUM(T3:U3)</f>
        <v>15300279.5</v>
      </c>
      <c r="W3" s="2">
        <f>+V3*C3</f>
        <v>504909223.5</v>
      </c>
      <c r="AI3" s="6"/>
    </row>
    <row r="4" spans="1:35" ht="36">
      <c r="A4" s="59">
        <v>2</v>
      </c>
      <c r="B4" s="5" t="s">
        <v>15</v>
      </c>
      <c r="C4" s="3">
        <v>3</v>
      </c>
      <c r="D4" s="68">
        <f t="shared" ref="D4:D6" si="0">ROUND(AVERAGE(J4,P4,V4),0)</f>
        <v>15021732</v>
      </c>
      <c r="E4" s="62">
        <f t="shared" ref="E4:E6" si="1">+D4*C4</f>
        <v>45065196</v>
      </c>
      <c r="F4" s="2">
        <f>1423500*9.77</f>
        <v>13907595</v>
      </c>
      <c r="G4" s="2">
        <v>1500</v>
      </c>
      <c r="H4" s="2">
        <f>SUM(F4:G4)</f>
        <v>13909095</v>
      </c>
      <c r="I4" s="2">
        <f>H4*8%</f>
        <v>1112727.6000000001</v>
      </c>
      <c r="J4" s="2">
        <f>SUM(H4:I4)</f>
        <v>15021822.6</v>
      </c>
      <c r="K4" s="2">
        <f>+J4*C4</f>
        <v>45065467.799999997</v>
      </c>
      <c r="L4" s="2">
        <f>1423500*9.77</f>
        <v>13907595</v>
      </c>
      <c r="M4" s="2">
        <v>999</v>
      </c>
      <c r="N4" s="2">
        <f>SUM(L4:M4)</f>
        <v>13908594</v>
      </c>
      <c r="O4" s="2">
        <f>N4*8%</f>
        <v>1112687.52</v>
      </c>
      <c r="P4" s="2">
        <f>SUM(N4:O4)</f>
        <v>15021281.52</v>
      </c>
      <c r="Q4" s="2">
        <f>+P4*C4</f>
        <v>45063844.560000002</v>
      </c>
      <c r="R4" s="2">
        <f>1423500*9.77</f>
        <v>13907595</v>
      </c>
      <c r="S4" s="2">
        <v>1750</v>
      </c>
      <c r="T4" s="2">
        <f>SUM(R4:S4)</f>
        <v>13909345</v>
      </c>
      <c r="U4" s="2">
        <f>T4*8%</f>
        <v>1112747.6000000001</v>
      </c>
      <c r="V4" s="2">
        <f>SUM(T4:U4)</f>
        <v>15022092.6</v>
      </c>
      <c r="W4" s="2">
        <f>+V4*C4</f>
        <v>45066277.799999997</v>
      </c>
    </row>
    <row r="5" spans="1:35" ht="36">
      <c r="A5" s="59">
        <v>3</v>
      </c>
      <c r="B5" s="5" t="s">
        <v>16</v>
      </c>
      <c r="C5" s="3">
        <v>27</v>
      </c>
      <c r="D5" s="68">
        <f t="shared" si="0"/>
        <v>4567126</v>
      </c>
      <c r="E5" s="62">
        <f t="shared" si="1"/>
        <v>123312402</v>
      </c>
      <c r="F5" s="2">
        <f>1423500*9.77</f>
        <v>13907595</v>
      </c>
      <c r="G5" s="2">
        <v>1500</v>
      </c>
      <c r="H5" s="2">
        <f>SUM(F5:G5)*0.5597/15*12/30*20</f>
        <v>4151957.5848000003</v>
      </c>
      <c r="I5" s="2">
        <f>H5*10%</f>
        <v>415195.75848000008</v>
      </c>
      <c r="J5" s="2">
        <f>SUM(H5:I5)</f>
        <v>4567153.3432800006</v>
      </c>
      <c r="K5" s="2">
        <f>+J5*C5</f>
        <v>123313140.26856002</v>
      </c>
      <c r="L5" s="2">
        <f>1423500*9.77</f>
        <v>13907595</v>
      </c>
      <c r="M5" s="2">
        <v>999</v>
      </c>
      <c r="N5" s="2">
        <f>SUM(L5:M5)*0.5597/15*12/30*20</f>
        <v>4151808.0329599995</v>
      </c>
      <c r="O5" s="2">
        <f>N5*10%</f>
        <v>415180.803296</v>
      </c>
      <c r="P5" s="2">
        <f>SUM(N5:O5)</f>
        <v>4566988.8362559993</v>
      </c>
      <c r="Q5" s="2">
        <f>+P5*C5</f>
        <v>123308698.57891198</v>
      </c>
      <c r="R5" s="2">
        <f>1423500*9.77</f>
        <v>13907595</v>
      </c>
      <c r="S5" s="2">
        <v>1750</v>
      </c>
      <c r="T5" s="2">
        <f>SUM(R5:S5)*0.5597/15*12/30*20</f>
        <v>4152032.2114666668</v>
      </c>
      <c r="U5" s="2">
        <f>T5*10%</f>
        <v>415203.22114666668</v>
      </c>
      <c r="V5" s="2">
        <f>SUM(T5:U5)</f>
        <v>4567235.4326133337</v>
      </c>
      <c r="W5" s="2">
        <f>+V5*C5</f>
        <v>123315356.68056001</v>
      </c>
    </row>
    <row r="6" spans="1:35" ht="60">
      <c r="A6" s="59">
        <v>4</v>
      </c>
      <c r="B6" s="5" t="s">
        <v>17</v>
      </c>
      <c r="C6" s="3">
        <v>3</v>
      </c>
      <c r="D6" s="68">
        <f t="shared" si="0"/>
        <v>4608618</v>
      </c>
      <c r="E6" s="62">
        <f t="shared" si="1"/>
        <v>13825854</v>
      </c>
      <c r="F6" s="2">
        <f>1423500*9.77</f>
        <v>13907595</v>
      </c>
      <c r="G6" s="2">
        <v>1500</v>
      </c>
      <c r="H6" s="2">
        <f>SUM(F6:G6)*0.5597/15*12/30*20</f>
        <v>4151957.5848000003</v>
      </c>
      <c r="I6" s="2">
        <f>H6*11%</f>
        <v>456715.33432800003</v>
      </c>
      <c r="J6" s="2">
        <f>SUM(H6:I6)</f>
        <v>4608672.9191280007</v>
      </c>
      <c r="K6" s="2">
        <f>+J6*C6</f>
        <v>13826018.757384002</v>
      </c>
      <c r="L6" s="2">
        <f>1423500*9.77</f>
        <v>13907595</v>
      </c>
      <c r="M6" s="2">
        <v>999</v>
      </c>
      <c r="N6" s="2">
        <f>SUM(L6:M6)*0.5597/15*12/30*20</f>
        <v>4151808.0329599995</v>
      </c>
      <c r="O6" s="2">
        <f>N6*11%</f>
        <v>456698.88362559996</v>
      </c>
      <c r="P6" s="2">
        <f>SUM(N6:O6)</f>
        <v>4608506.9165855991</v>
      </c>
      <c r="Q6" s="2">
        <f>+P6*C6</f>
        <v>13825520.749756798</v>
      </c>
      <c r="R6" s="2">
        <f>1423500*9.77</f>
        <v>13907595</v>
      </c>
      <c r="S6" s="2">
        <v>1500</v>
      </c>
      <c r="T6" s="2">
        <f>SUM(R6:S6)*0.5597/15*12/30*20</f>
        <v>4151957.5848000003</v>
      </c>
      <c r="U6" s="2">
        <f>T6*11%</f>
        <v>456715.33432800003</v>
      </c>
      <c r="V6" s="2">
        <f>SUM(T6:U6)</f>
        <v>4608672.9191280007</v>
      </c>
      <c r="W6" s="2">
        <f>+V6*C6</f>
        <v>13826018.757384002</v>
      </c>
    </row>
    <row r="7" spans="1:35" ht="15" customHeight="1">
      <c r="A7" s="143" t="s">
        <v>18</v>
      </c>
      <c r="B7" s="144"/>
      <c r="C7" s="144"/>
      <c r="D7" s="145"/>
      <c r="E7" s="69">
        <f>SUM(E3:E6)</f>
        <v>687100548</v>
      </c>
      <c r="F7" s="64"/>
      <c r="G7" s="64"/>
      <c r="H7" s="64"/>
      <c r="I7" s="64"/>
      <c r="J7" s="65"/>
      <c r="K7" s="4">
        <f>SUM(K3:K6)</f>
        <v>687104775.32594395</v>
      </c>
      <c r="Q7" s="4">
        <f>SUM(Q3:Q6)</f>
        <v>687080026.08866882</v>
      </c>
      <c r="W7" s="4">
        <f>SUM(W3:W6)</f>
        <v>687116876.73794389</v>
      </c>
    </row>
    <row r="8" spans="1:35" ht="15" customHeight="1">
      <c r="A8" s="146" t="s">
        <v>19</v>
      </c>
      <c r="B8" s="147"/>
      <c r="C8" s="147"/>
      <c r="D8" s="148"/>
      <c r="E8" s="69">
        <f>ROUND(E7*10%,0)</f>
        <v>68710055</v>
      </c>
      <c r="F8" s="64"/>
      <c r="G8" s="64"/>
      <c r="H8" s="64"/>
      <c r="I8" s="64"/>
      <c r="J8" s="65"/>
      <c r="K8" s="4">
        <f>ROUND(K7*10%,0)</f>
        <v>68710478</v>
      </c>
      <c r="Q8" s="4">
        <f>ROUND(Q7*10%,0)</f>
        <v>68708003</v>
      </c>
      <c r="W8" s="4">
        <f>ROUND(W7*10%,0)</f>
        <v>68711688</v>
      </c>
    </row>
    <row r="9" spans="1:35" ht="15" customHeight="1">
      <c r="A9" s="146" t="s">
        <v>20</v>
      </c>
      <c r="B9" s="147"/>
      <c r="C9" s="147"/>
      <c r="D9" s="148"/>
      <c r="E9" s="69">
        <f>ROUND(E8*19%,0)</f>
        <v>13054910</v>
      </c>
      <c r="F9" s="64"/>
      <c r="G9" s="64"/>
      <c r="H9" s="64"/>
      <c r="I9" s="64"/>
      <c r="J9" s="65"/>
      <c r="K9" s="4">
        <f>ROUND(K8*19%,0)</f>
        <v>13054991</v>
      </c>
      <c r="Q9" s="4">
        <f>ROUND(Q8*19%,0)</f>
        <v>13054521</v>
      </c>
      <c r="W9" s="4">
        <f>ROUND(W8*19%,0)</f>
        <v>13055221</v>
      </c>
    </row>
    <row r="10" spans="1:35">
      <c r="A10" s="146" t="s">
        <v>21</v>
      </c>
      <c r="B10" s="147"/>
      <c r="C10" s="147"/>
      <c r="D10" s="148"/>
      <c r="E10" s="69">
        <f>+E7+E9</f>
        <v>700155458</v>
      </c>
      <c r="F10" s="64"/>
      <c r="G10" s="64"/>
      <c r="H10" s="64"/>
      <c r="I10" s="64"/>
      <c r="J10" s="65"/>
      <c r="K10" s="4">
        <f>+K7+K9</f>
        <v>700159766.32594395</v>
      </c>
      <c r="N10" s="6"/>
      <c r="Q10" s="4">
        <f>+Q7+Q9</f>
        <v>700134547.08866882</v>
      </c>
      <c r="W10" s="4">
        <f>+W7+W9</f>
        <v>700172097.73794389</v>
      </c>
    </row>
    <row r="11" spans="1:35"/>
    <row r="12" spans="1:35"/>
    <row r="13" spans="1:35"/>
    <row r="14" spans="1:35" ht="15.75" customHeight="1">
      <c r="B14" s="11"/>
      <c r="C14" s="11"/>
      <c r="D14" s="138" t="s">
        <v>22</v>
      </c>
      <c r="E14" s="139"/>
      <c r="F14" s="135" t="s">
        <v>23</v>
      </c>
      <c r="G14" s="137"/>
      <c r="H14" s="138" t="s">
        <v>24</v>
      </c>
      <c r="I14" s="139"/>
      <c r="J14" s="139" t="s">
        <v>25</v>
      </c>
      <c r="K14" s="140"/>
    </row>
    <row r="15" spans="1:35" ht="24">
      <c r="A15" s="1" t="s">
        <v>4</v>
      </c>
      <c r="B15" s="1" t="s">
        <v>5</v>
      </c>
      <c r="C15" s="1" t="s">
        <v>6</v>
      </c>
      <c r="D15" s="1" t="s">
        <v>8</v>
      </c>
      <c r="E15" s="1" t="s">
        <v>13</v>
      </c>
      <c r="F15" s="1" t="s">
        <v>8</v>
      </c>
      <c r="G15" s="1" t="s">
        <v>13</v>
      </c>
      <c r="H15" s="1" t="s">
        <v>8</v>
      </c>
      <c r="I15" s="1" t="s">
        <v>13</v>
      </c>
      <c r="J15" s="1" t="s">
        <v>8</v>
      </c>
      <c r="K15" s="1" t="s">
        <v>13</v>
      </c>
    </row>
    <row r="16" spans="1:35" ht="84">
      <c r="A16" s="59">
        <v>1</v>
      </c>
      <c r="B16" s="5" t="s">
        <v>26</v>
      </c>
      <c r="C16" s="3">
        <v>6</v>
      </c>
      <c r="D16" s="12">
        <f>ROUND(AVERAGE(F16,H16,J16),0)</f>
        <v>694075</v>
      </c>
      <c r="E16" s="12">
        <f>+D16*C16</f>
        <v>4164450</v>
      </c>
      <c r="F16" s="2">
        <v>704184</v>
      </c>
      <c r="G16" s="3">
        <f>F16*C16</f>
        <v>4225104</v>
      </c>
      <c r="H16" s="2">
        <v>928039.62</v>
      </c>
      <c r="I16" s="2">
        <f>+H16*C16</f>
        <v>5568237.7199999997</v>
      </c>
      <c r="J16" s="2">
        <v>450000</v>
      </c>
      <c r="K16" s="2">
        <f>J16*C16</f>
        <v>2700000</v>
      </c>
    </row>
    <row r="17" spans="1:32" ht="48">
      <c r="A17" s="59">
        <v>2</v>
      </c>
      <c r="B17" s="5" t="s">
        <v>27</v>
      </c>
      <c r="C17" s="3">
        <v>4</v>
      </c>
      <c r="D17" s="12">
        <f>ROUND(AVERAGE(F17,H17,J17),0)</f>
        <v>516203</v>
      </c>
      <c r="E17" s="12">
        <f>+D17*C17</f>
        <v>2064812</v>
      </c>
      <c r="F17" s="2">
        <v>402158</v>
      </c>
      <c r="G17" s="3">
        <f>F17*C17</f>
        <v>1608632</v>
      </c>
      <c r="H17" s="2">
        <v>346452.21</v>
      </c>
      <c r="I17" s="2">
        <f>+H17*C17</f>
        <v>1385808.84</v>
      </c>
      <c r="J17" s="2">
        <v>800000</v>
      </c>
      <c r="K17" s="2">
        <f t="shared" ref="K17:K19" si="2">J17*C17</f>
        <v>3200000</v>
      </c>
    </row>
    <row r="18" spans="1:32" ht="36">
      <c r="A18" s="59">
        <v>3</v>
      </c>
      <c r="B18" s="5" t="s">
        <v>28</v>
      </c>
      <c r="C18" s="3">
        <v>2</v>
      </c>
      <c r="D18" s="12">
        <f>ROUND(AVERAGE(F18,H18,J18),0)</f>
        <v>476457</v>
      </c>
      <c r="E18" s="12">
        <f>+D18*C18</f>
        <v>952914</v>
      </c>
      <c r="F18" s="2">
        <v>282919</v>
      </c>
      <c r="G18" s="3">
        <f>F18*C18</f>
        <v>565838</v>
      </c>
      <c r="H18" s="2">
        <v>346452.21</v>
      </c>
      <c r="I18" s="2">
        <f>+H18*C18</f>
        <v>692904.42</v>
      </c>
      <c r="J18" s="2">
        <v>800000</v>
      </c>
      <c r="K18" s="2">
        <f t="shared" si="2"/>
        <v>1600000</v>
      </c>
    </row>
    <row r="19" spans="1:32" ht="48">
      <c r="A19" s="59">
        <v>4</v>
      </c>
      <c r="B19" s="5" t="s">
        <v>29</v>
      </c>
      <c r="C19" s="3">
        <v>6</v>
      </c>
      <c r="D19" s="12">
        <f>ROUND(AVERAGE(F19,H19,J19),0)</f>
        <v>1051712</v>
      </c>
      <c r="E19" s="12">
        <f>+D19*C19</f>
        <v>6310272</v>
      </c>
      <c r="F19" s="2">
        <v>1152582</v>
      </c>
      <c r="G19" s="3">
        <f>F19*C19</f>
        <v>6915492</v>
      </c>
      <c r="H19" s="2">
        <v>1152554.23</v>
      </c>
      <c r="I19" s="2">
        <f>+H19*C19</f>
        <v>6915325.3799999999</v>
      </c>
      <c r="J19" s="2">
        <v>850000</v>
      </c>
      <c r="K19" s="2">
        <f t="shared" si="2"/>
        <v>5100000</v>
      </c>
    </row>
    <row r="20" spans="1:32" ht="14.25" customHeight="1">
      <c r="A20" s="63" t="s">
        <v>30</v>
      </c>
      <c r="B20" s="64"/>
      <c r="C20" s="64"/>
      <c r="D20" s="13"/>
      <c r="E20" s="14">
        <f>SUM(E16:E19)</f>
        <v>13492448</v>
      </c>
      <c r="F20" s="64"/>
      <c r="G20" s="4">
        <f>SUM(G16:G19)</f>
        <v>13315066</v>
      </c>
      <c r="I20" s="4">
        <f>SUM(I16:I19)</f>
        <v>14562276.359999999</v>
      </c>
      <c r="J20" s="4"/>
      <c r="K20" s="4">
        <f>SUM(K16:K19)</f>
        <v>12600000</v>
      </c>
    </row>
    <row r="21" spans="1:32" ht="14.25" customHeight="1">
      <c r="A21" s="63" t="s">
        <v>31</v>
      </c>
      <c r="B21" s="64"/>
      <c r="C21" s="64"/>
      <c r="D21" s="13"/>
      <c r="E21" s="14">
        <f>E20*19%</f>
        <v>2563565.12</v>
      </c>
      <c r="F21" s="64"/>
      <c r="G21" s="4">
        <f>G20*19%</f>
        <v>2529862.54</v>
      </c>
      <c r="I21" s="4">
        <f>I20*19%</f>
        <v>2766832.5083999997</v>
      </c>
      <c r="J21" s="39"/>
      <c r="K21" s="4">
        <f>K20*19%</f>
        <v>2394000</v>
      </c>
    </row>
    <row r="22" spans="1:32">
      <c r="A22" s="63" t="s">
        <v>21</v>
      </c>
      <c r="B22" s="64"/>
      <c r="C22" s="64"/>
      <c r="D22" s="13"/>
      <c r="E22" s="14">
        <f>+E20+E21</f>
        <v>16056013.120000001</v>
      </c>
      <c r="F22" s="64"/>
      <c r="G22" s="4">
        <f>+G20+G21</f>
        <v>15844928.539999999</v>
      </c>
      <c r="I22" s="4">
        <f>+I20+I21</f>
        <v>17329108.8684</v>
      </c>
      <c r="J22" s="39"/>
      <c r="K22" s="4">
        <f>+K20+K21</f>
        <v>14994000</v>
      </c>
    </row>
    <row r="23" spans="1:32"/>
    <row r="24" spans="1:32"/>
    <row r="25" spans="1:32">
      <c r="N25" s="10"/>
      <c r="Z25" s="10"/>
      <c r="AF25" s="10"/>
    </row>
    <row r="27" spans="1:32">
      <c r="E27" s="57" t="s">
        <v>32</v>
      </c>
      <c r="F27" s="57"/>
      <c r="G27" s="57"/>
      <c r="H27" s="58">
        <f>+E10</f>
        <v>700155458</v>
      </c>
    </row>
    <row r="28" spans="1:32">
      <c r="E28" s="15" t="s">
        <v>33</v>
      </c>
      <c r="F28" s="15"/>
      <c r="G28" s="15"/>
      <c r="H28" s="17">
        <f>+E22</f>
        <v>16056013.120000001</v>
      </c>
    </row>
    <row r="29" spans="1:32">
      <c r="E29" s="15" t="s">
        <v>34</v>
      </c>
      <c r="F29" s="15"/>
      <c r="G29" s="15"/>
      <c r="H29" s="16">
        <f>+H27+H28</f>
        <v>716211471.12</v>
      </c>
    </row>
    <row r="30" spans="1:32">
      <c r="E30" s="15" t="s">
        <v>35</v>
      </c>
      <c r="F30" s="15"/>
      <c r="G30" s="15"/>
      <c r="H30" s="17">
        <f>+H29/30</f>
        <v>23873715.704</v>
      </c>
    </row>
    <row r="32" spans="1:32" ht="15" customHeight="1">
      <c r="J32" s="67"/>
    </row>
    <row r="33" spans="5:15">
      <c r="E33" s="73"/>
      <c r="F33" s="74" t="s">
        <v>35</v>
      </c>
      <c r="G33" s="74"/>
      <c r="H33" s="75">
        <f>+H30</f>
        <v>23873715.704</v>
      </c>
      <c r="N33" s="66"/>
    </row>
    <row r="34" spans="5:15">
      <c r="E34" s="70" t="s">
        <v>36</v>
      </c>
      <c r="F34" s="71">
        <v>5</v>
      </c>
      <c r="G34" s="71"/>
      <c r="H34" s="72">
        <f>+H33*F34</f>
        <v>119368578.52</v>
      </c>
      <c r="J34" s="10"/>
      <c r="K34" s="47"/>
      <c r="N34" s="10"/>
    </row>
    <row r="35" spans="5:15">
      <c r="E35" s="49" t="s">
        <v>37</v>
      </c>
      <c r="F35" s="50">
        <v>6</v>
      </c>
      <c r="G35" s="50"/>
      <c r="H35" s="52">
        <f>+H29*F35</f>
        <v>4297268826.7200003</v>
      </c>
      <c r="J35" s="10"/>
      <c r="K35" s="43"/>
      <c r="L35" s="10"/>
      <c r="N35" s="10"/>
    </row>
    <row r="36" spans="5:15">
      <c r="E36" s="49" t="s">
        <v>38</v>
      </c>
      <c r="F36" s="50">
        <v>25</v>
      </c>
      <c r="G36" s="50"/>
      <c r="H36" s="52">
        <f>+F36*H33</f>
        <v>596842892.60000002</v>
      </c>
      <c r="I36" s="43"/>
      <c r="J36" s="10"/>
      <c r="K36" s="43"/>
      <c r="L36" s="10"/>
      <c r="N36" s="10"/>
    </row>
    <row r="37" spans="5:15">
      <c r="E37" s="76" t="s">
        <v>39</v>
      </c>
      <c r="F37" s="77"/>
      <c r="G37" s="78"/>
      <c r="H37" s="79">
        <f>+H34+H35+H36</f>
        <v>5013480297.8400011</v>
      </c>
      <c r="J37" s="10"/>
      <c r="K37" s="10"/>
      <c r="N37" s="10"/>
    </row>
    <row r="38" spans="5:15">
      <c r="H38" s="43"/>
      <c r="K38" s="10"/>
      <c r="M38" s="82"/>
      <c r="N38" s="83"/>
      <c r="O38" s="66"/>
    </row>
    <row r="39" spans="5:15">
      <c r="M39" s="82"/>
      <c r="N39" s="83"/>
      <c r="O39" s="66"/>
    </row>
    <row r="40" spans="5:15">
      <c r="M40" s="82"/>
      <c r="N40" s="83"/>
    </row>
    <row r="41" spans="5:15">
      <c r="M41" s="82"/>
      <c r="N41" s="83"/>
      <c r="O41" s="66"/>
    </row>
    <row r="42" spans="5:15">
      <c r="M42" s="82"/>
      <c r="N42" s="83"/>
    </row>
    <row r="43" spans="5:15">
      <c r="J43" s="51"/>
      <c r="K43" s="51"/>
      <c r="L43" s="51"/>
      <c r="M43" s="51"/>
    </row>
    <row r="44" spans="5:15">
      <c r="J44" s="80"/>
      <c r="K44" s="81"/>
      <c r="L44" s="51"/>
      <c r="M44" s="56"/>
    </row>
    <row r="45" spans="5:15">
      <c r="J45" s="51"/>
      <c r="K45" s="51"/>
      <c r="L45" s="51"/>
      <c r="M45" s="56"/>
      <c r="N45" s="9"/>
      <c r="O45" s="43"/>
    </row>
    <row r="46" spans="5:15">
      <c r="J46" s="80"/>
      <c r="K46" s="56"/>
      <c r="L46" s="51"/>
      <c r="M46" s="56"/>
    </row>
    <row r="47" spans="5:15">
      <c r="J47" s="51"/>
      <c r="K47" s="51"/>
      <c r="L47" s="51"/>
      <c r="M47" s="51"/>
    </row>
    <row r="49" spans="13:13">
      <c r="M49" s="43"/>
    </row>
    <row r="50" spans="13:13">
      <c r="M50" s="43"/>
    </row>
    <row r="53" spans="13:13">
      <c r="M53" s="43"/>
    </row>
  </sheetData>
  <mergeCells count="12">
    <mergeCell ref="D14:E14"/>
    <mergeCell ref="D1:E1"/>
    <mergeCell ref="A7:D7"/>
    <mergeCell ref="A8:D8"/>
    <mergeCell ref="A9:D9"/>
    <mergeCell ref="A10:D10"/>
    <mergeCell ref="R1:W1"/>
    <mergeCell ref="L1:Q1"/>
    <mergeCell ref="F1:K1"/>
    <mergeCell ref="F14:G14"/>
    <mergeCell ref="H14:I14"/>
    <mergeCell ref="J14:K14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workbookViewId="0">
      <selection activeCell="J5" sqref="J5"/>
    </sheetView>
  </sheetViews>
  <sheetFormatPr defaultColWidth="11.42578125" defaultRowHeight="15"/>
  <cols>
    <col min="2" max="2" width="31.140625" customWidth="1"/>
    <col min="4" max="4" width="14.7109375" bestFit="1" customWidth="1"/>
    <col min="5" max="5" width="16.5703125" bestFit="1" customWidth="1"/>
    <col min="6" max="6" width="15.42578125" customWidth="1"/>
    <col min="7" max="9" width="14.140625" customWidth="1"/>
    <col min="10" max="10" width="13.85546875" customWidth="1"/>
    <col min="11" max="11" width="16.140625" customWidth="1"/>
  </cols>
  <sheetData>
    <row r="1" spans="1:11" ht="70.5" customHeight="1">
      <c r="B1" s="11"/>
      <c r="C1" s="11"/>
      <c r="D1" s="135" t="s">
        <v>23</v>
      </c>
      <c r="E1" s="137"/>
      <c r="F1" s="138" t="s">
        <v>24</v>
      </c>
      <c r="G1" s="139"/>
      <c r="H1" s="139" t="s">
        <v>25</v>
      </c>
      <c r="I1" s="140"/>
      <c r="J1" s="138" t="s">
        <v>22</v>
      </c>
      <c r="K1" s="139"/>
    </row>
    <row r="2" spans="1:11" ht="24">
      <c r="A2" s="1" t="s">
        <v>4</v>
      </c>
      <c r="B2" s="1" t="s">
        <v>5</v>
      </c>
      <c r="C2" s="1" t="s">
        <v>6</v>
      </c>
      <c r="D2" s="1" t="s">
        <v>8</v>
      </c>
      <c r="E2" s="1" t="s">
        <v>13</v>
      </c>
      <c r="F2" s="1" t="s">
        <v>8</v>
      </c>
      <c r="G2" s="1" t="s">
        <v>13</v>
      </c>
      <c r="H2" s="1" t="s">
        <v>8</v>
      </c>
      <c r="I2" s="1" t="s">
        <v>13</v>
      </c>
      <c r="J2" s="1" t="s">
        <v>8</v>
      </c>
      <c r="K2" s="1" t="s">
        <v>13</v>
      </c>
    </row>
    <row r="3" spans="1:11" ht="72">
      <c r="A3" s="59">
        <v>1</v>
      </c>
      <c r="B3" s="5" t="s">
        <v>26</v>
      </c>
      <c r="C3" s="3">
        <v>6</v>
      </c>
      <c r="D3" s="2">
        <v>704184</v>
      </c>
      <c r="E3" s="3">
        <f>D3*C3</f>
        <v>4225104</v>
      </c>
      <c r="F3" s="2">
        <v>928039.62</v>
      </c>
      <c r="G3" s="2">
        <f>+F3*C3</f>
        <v>5568237.7199999997</v>
      </c>
      <c r="H3" s="40">
        <v>450000</v>
      </c>
      <c r="I3" s="2">
        <f>H3*C3</f>
        <v>2700000</v>
      </c>
      <c r="J3" s="12">
        <f>ROUND(AVERAGE(D3,F3,H3),0)</f>
        <v>694075</v>
      </c>
      <c r="K3" s="12">
        <f>+J3*C3</f>
        <v>4164450</v>
      </c>
    </row>
    <row r="4" spans="1:11" ht="36">
      <c r="A4" s="59">
        <v>2</v>
      </c>
      <c r="B4" s="5" t="s">
        <v>27</v>
      </c>
      <c r="C4" s="3">
        <v>4</v>
      </c>
      <c r="D4" s="2">
        <v>402158</v>
      </c>
      <c r="E4" s="3">
        <f>D4*C4</f>
        <v>1608632</v>
      </c>
      <c r="F4" s="2">
        <v>346452.21</v>
      </c>
      <c r="G4" s="2">
        <f>+F4*C4</f>
        <v>1385808.84</v>
      </c>
      <c r="H4" s="40">
        <v>800000</v>
      </c>
      <c r="I4" s="2">
        <f t="shared" ref="I4:I6" si="0">H4*C4</f>
        <v>3200000</v>
      </c>
      <c r="J4" s="12">
        <f>ROUND(AVERAGE(D4,F4,),0)</f>
        <v>249537</v>
      </c>
      <c r="K4" s="12">
        <f>+J4*C4</f>
        <v>998148</v>
      </c>
    </row>
    <row r="5" spans="1:11" ht="36">
      <c r="A5" s="59">
        <v>3</v>
      </c>
      <c r="B5" s="5" t="s">
        <v>28</v>
      </c>
      <c r="C5" s="3">
        <v>2</v>
      </c>
      <c r="D5" s="2">
        <v>282919</v>
      </c>
      <c r="E5" s="3">
        <f>D5*C5</f>
        <v>565838</v>
      </c>
      <c r="F5" s="2">
        <v>346452.21</v>
      </c>
      <c r="G5" s="2">
        <f>+F5*C5</f>
        <v>692904.42</v>
      </c>
      <c r="H5" s="40">
        <v>800000</v>
      </c>
      <c r="I5" s="2">
        <f t="shared" si="0"/>
        <v>1600000</v>
      </c>
      <c r="J5" s="12">
        <f>ROUND(AVERAGE(D5,F5,H5),0)</f>
        <v>476457</v>
      </c>
      <c r="K5" s="12">
        <f>+J5*C5</f>
        <v>952914</v>
      </c>
    </row>
    <row r="6" spans="1:11" ht="36">
      <c r="A6" s="59">
        <v>4</v>
      </c>
      <c r="B6" s="5" t="s">
        <v>29</v>
      </c>
      <c r="C6" s="3">
        <v>6</v>
      </c>
      <c r="D6" s="2">
        <v>1152582</v>
      </c>
      <c r="E6" s="3">
        <f>D6*C6</f>
        <v>6915492</v>
      </c>
      <c r="F6" s="2">
        <v>1152554.23</v>
      </c>
      <c r="G6" s="2">
        <f>+F6*C6</f>
        <v>6915325.3799999999</v>
      </c>
      <c r="H6" s="40">
        <v>850000</v>
      </c>
      <c r="I6" s="2">
        <f t="shared" si="0"/>
        <v>5100000</v>
      </c>
      <c r="J6" s="12">
        <f>ROUND(AVERAGE(D6,F6,H6),0)</f>
        <v>1051712</v>
      </c>
      <c r="K6" s="12">
        <f>+J6*C6</f>
        <v>6310272</v>
      </c>
    </row>
    <row r="7" spans="1:11" ht="15" customHeight="1">
      <c r="A7" s="115" t="s">
        <v>30</v>
      </c>
      <c r="B7" s="116"/>
      <c r="C7" s="116"/>
      <c r="D7" s="116"/>
      <c r="E7" s="4">
        <f>SUM(E3:E6)</f>
        <v>13315066</v>
      </c>
      <c r="G7" s="4">
        <f>SUM(G3:G6)</f>
        <v>14562276.359999999</v>
      </c>
      <c r="H7" s="4"/>
      <c r="I7" s="4">
        <f>SUM(I3:I6)</f>
        <v>12600000</v>
      </c>
      <c r="J7" s="13"/>
      <c r="K7" s="14">
        <f>SUM(K3:K6)</f>
        <v>12425784</v>
      </c>
    </row>
    <row r="8" spans="1:11" ht="15" customHeight="1">
      <c r="A8" s="115" t="s">
        <v>31</v>
      </c>
      <c r="B8" s="116"/>
      <c r="C8" s="116"/>
      <c r="D8" s="116"/>
      <c r="E8" s="4">
        <f>E7*19%</f>
        <v>2529862.54</v>
      </c>
      <c r="G8" s="4">
        <f>G7*19%</f>
        <v>2766832.5083999997</v>
      </c>
      <c r="H8" s="39"/>
      <c r="I8" s="4">
        <f>I7*19%</f>
        <v>2394000</v>
      </c>
      <c r="J8" s="13"/>
      <c r="K8" s="14">
        <f>K7*19%</f>
        <v>2360898.96</v>
      </c>
    </row>
    <row r="9" spans="1:11">
      <c r="A9" s="115" t="s">
        <v>21</v>
      </c>
      <c r="B9" s="116"/>
      <c r="C9" s="116"/>
      <c r="D9" s="116"/>
      <c r="E9" s="4">
        <f>+E7+E8</f>
        <v>15844928.539999999</v>
      </c>
      <c r="G9" s="4">
        <f>+G7+G8</f>
        <v>17329108.8684</v>
      </c>
      <c r="H9" s="39"/>
      <c r="I9" s="4">
        <f>+I7+I8</f>
        <v>14994000</v>
      </c>
      <c r="J9" s="13"/>
      <c r="K9" s="14">
        <f>+K7+K8</f>
        <v>14786682.960000001</v>
      </c>
    </row>
    <row r="11" spans="1:11">
      <c r="K11" s="9"/>
    </row>
    <row r="12" spans="1:11">
      <c r="E12" s="9"/>
      <c r="G12" s="9"/>
      <c r="H12" s="9"/>
      <c r="I12" s="9"/>
    </row>
    <row r="13" spans="1:11">
      <c r="E13" s="9"/>
      <c r="G13" s="9"/>
      <c r="H13" s="9"/>
      <c r="I13" s="9"/>
      <c r="J13" s="4"/>
    </row>
  </sheetData>
  <mergeCells count="7">
    <mergeCell ref="A9:D9"/>
    <mergeCell ref="D1:E1"/>
    <mergeCell ref="F1:G1"/>
    <mergeCell ref="J1:K1"/>
    <mergeCell ref="A7:D7"/>
    <mergeCell ref="A8:D8"/>
    <mergeCell ref="H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45"/>
  <sheetViews>
    <sheetView topLeftCell="D5" zoomScaleNormal="100" workbookViewId="0">
      <selection activeCell="L20" sqref="L20"/>
    </sheetView>
  </sheetViews>
  <sheetFormatPr defaultColWidth="11.42578125" defaultRowHeight="15" customHeight="1"/>
  <cols>
    <col min="2" max="2" width="27" customWidth="1"/>
    <col min="4" max="4" width="14.7109375" bestFit="1" customWidth="1"/>
    <col min="5" max="5" width="11.85546875" bestFit="1" customWidth="1"/>
    <col min="6" max="6" width="13.85546875" customWidth="1"/>
    <col min="7" max="7" width="13" bestFit="1" customWidth="1"/>
    <col min="8" max="8" width="13.85546875" bestFit="1" customWidth="1"/>
    <col min="9" max="9" width="16.5703125" bestFit="1" customWidth="1"/>
    <col min="11" max="11" width="13.140625" customWidth="1"/>
    <col min="12" max="12" width="17.5703125" bestFit="1" customWidth="1"/>
    <col min="13" max="13" width="14.42578125" customWidth="1"/>
    <col min="15" max="15" width="14.140625" customWidth="1"/>
    <col min="21" max="21" width="13.140625" customWidth="1"/>
    <col min="24" max="24" width="13.140625" customWidth="1"/>
    <col min="27" max="27" width="13" customWidth="1"/>
    <col min="30" max="30" width="13.140625" customWidth="1"/>
    <col min="33" max="33" width="20" customWidth="1"/>
    <col min="36" max="36" width="13.140625" customWidth="1"/>
    <col min="39" max="39" width="20" customWidth="1"/>
    <col min="40" max="40" width="17.7109375" customWidth="1"/>
    <col min="41" max="42" width="18.5703125" customWidth="1"/>
    <col min="43" max="43" width="19.5703125" customWidth="1"/>
    <col min="44" max="44" width="17.85546875" customWidth="1"/>
    <col min="45" max="45" width="17" customWidth="1"/>
    <col min="46" max="46" width="13.85546875" customWidth="1"/>
  </cols>
  <sheetData>
    <row r="1" spans="1:46" ht="53.25" customHeight="1">
      <c r="B1" s="11"/>
      <c r="C1" s="11"/>
      <c r="D1" s="135" t="s">
        <v>40</v>
      </c>
      <c r="E1" s="136"/>
      <c r="F1" s="136"/>
      <c r="G1" s="136"/>
      <c r="H1" s="136"/>
      <c r="I1" s="137"/>
      <c r="J1" s="135" t="s">
        <v>1</v>
      </c>
      <c r="K1" s="136"/>
      <c r="L1" s="136"/>
      <c r="M1" s="136"/>
      <c r="N1" s="136"/>
      <c r="O1" s="137"/>
      <c r="P1" s="132" t="s">
        <v>41</v>
      </c>
      <c r="Q1" s="133"/>
      <c r="R1" s="133"/>
      <c r="S1" s="133"/>
      <c r="T1" s="133"/>
      <c r="U1" s="134"/>
      <c r="V1" s="132" t="s">
        <v>2</v>
      </c>
      <c r="W1" s="133"/>
      <c r="X1" s="133"/>
      <c r="Y1" s="133"/>
      <c r="Z1" s="133"/>
      <c r="AA1" s="134"/>
      <c r="AB1" s="129" t="s">
        <v>42</v>
      </c>
      <c r="AC1" s="130"/>
      <c r="AD1" s="130"/>
      <c r="AE1" s="130"/>
      <c r="AF1" s="130"/>
      <c r="AG1" s="131"/>
      <c r="AH1" s="129" t="s">
        <v>3</v>
      </c>
      <c r="AI1" s="130"/>
      <c r="AJ1" s="130"/>
      <c r="AK1" s="130"/>
      <c r="AL1" s="130"/>
      <c r="AM1" s="131"/>
      <c r="AN1" s="149" t="s">
        <v>43</v>
      </c>
      <c r="AO1" s="150"/>
      <c r="AP1" s="150"/>
      <c r="AQ1" s="150"/>
      <c r="AR1" s="151"/>
    </row>
    <row r="2" spans="1:46" ht="36">
      <c r="A2" s="1" t="s">
        <v>4</v>
      </c>
      <c r="B2" s="1" t="s">
        <v>5</v>
      </c>
      <c r="C2" s="1" t="s">
        <v>6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8</v>
      </c>
      <c r="Q2" s="1" t="s">
        <v>9</v>
      </c>
      <c r="R2" s="1" t="s">
        <v>10</v>
      </c>
      <c r="S2" s="1" t="s">
        <v>11</v>
      </c>
      <c r="T2" s="1" t="s">
        <v>12</v>
      </c>
      <c r="U2" s="1" t="s">
        <v>13</v>
      </c>
      <c r="V2" s="1" t="s">
        <v>8</v>
      </c>
      <c r="W2" s="1" t="s">
        <v>9</v>
      </c>
      <c r="X2" s="1" t="s">
        <v>10</v>
      </c>
      <c r="Y2" s="1" t="s">
        <v>11</v>
      </c>
      <c r="Z2" s="1" t="s">
        <v>12</v>
      </c>
      <c r="AA2" s="1" t="s">
        <v>13</v>
      </c>
      <c r="AB2" s="1" t="s">
        <v>8</v>
      </c>
      <c r="AC2" s="1" t="s">
        <v>9</v>
      </c>
      <c r="AD2" s="1" t="s">
        <v>10</v>
      </c>
      <c r="AE2" s="1" t="s">
        <v>11</v>
      </c>
      <c r="AF2" s="1" t="s">
        <v>12</v>
      </c>
      <c r="AG2" s="1" t="s">
        <v>13</v>
      </c>
      <c r="AH2" s="1" t="s">
        <v>8</v>
      </c>
      <c r="AI2" s="1" t="s">
        <v>9</v>
      </c>
      <c r="AJ2" s="1" t="s">
        <v>10</v>
      </c>
      <c r="AK2" s="1" t="s">
        <v>11</v>
      </c>
      <c r="AL2" s="1" t="s">
        <v>12</v>
      </c>
      <c r="AM2" s="1" t="s">
        <v>13</v>
      </c>
      <c r="AN2" s="1" t="s">
        <v>44</v>
      </c>
      <c r="AO2" s="1" t="s">
        <v>45</v>
      </c>
      <c r="AP2" s="1" t="s">
        <v>46</v>
      </c>
      <c r="AQ2" s="1" t="s">
        <v>47</v>
      </c>
      <c r="AR2" s="1" t="s">
        <v>7</v>
      </c>
    </row>
    <row r="3" spans="1:46" ht="36">
      <c r="A3" s="59">
        <v>1</v>
      </c>
      <c r="B3" s="5" t="s">
        <v>14</v>
      </c>
      <c r="C3" s="3">
        <v>33</v>
      </c>
      <c r="D3" s="2">
        <f>1423500*9.53</f>
        <v>13565955</v>
      </c>
      <c r="E3" s="2">
        <v>1500</v>
      </c>
      <c r="F3" s="2">
        <f>SUM(D3:E3)</f>
        <v>13567455</v>
      </c>
      <c r="G3" s="2">
        <f>F3*10%</f>
        <v>1356745.5</v>
      </c>
      <c r="H3" s="2">
        <f>SUM(F3:G3)</f>
        <v>14924200.5</v>
      </c>
      <c r="I3" s="2">
        <f>H3*C3</f>
        <v>492498616.5</v>
      </c>
      <c r="J3" s="2">
        <f>1423500*9.77</f>
        <v>13907595</v>
      </c>
      <c r="K3" s="2">
        <v>1500</v>
      </c>
      <c r="L3" s="2">
        <f>SUM(J3:K3)</f>
        <v>13909095</v>
      </c>
      <c r="M3" s="2">
        <f>L3*10%</f>
        <v>1390909.5</v>
      </c>
      <c r="N3" s="2">
        <f>SUM(L3:M3)</f>
        <v>15300004.5</v>
      </c>
      <c r="O3" s="2">
        <f>+N3*C3</f>
        <v>504900148.5</v>
      </c>
      <c r="P3" s="2">
        <f>1423500*9.53</f>
        <v>13565955</v>
      </c>
      <c r="Q3" s="2">
        <v>999</v>
      </c>
      <c r="R3" s="2">
        <f>SUM(P3:Q3)</f>
        <v>13566954</v>
      </c>
      <c r="S3" s="2">
        <f>R3*10%</f>
        <v>1356695.4000000001</v>
      </c>
      <c r="T3" s="2">
        <f>SUM(R3:S3)</f>
        <v>14923649.4</v>
      </c>
      <c r="U3" s="2">
        <f>T3*C3</f>
        <v>492480430.19999999</v>
      </c>
      <c r="V3" s="2">
        <f>1423500*9.77</f>
        <v>13907595</v>
      </c>
      <c r="W3" s="2">
        <v>999</v>
      </c>
      <c r="X3" s="2">
        <f>SUM(V3:W3)</f>
        <v>13908594</v>
      </c>
      <c r="Y3" s="2">
        <f>X3*10%</f>
        <v>1390859.4000000001</v>
      </c>
      <c r="Z3" s="2">
        <f>SUM(X3:Y3)</f>
        <v>15299453.4</v>
      </c>
      <c r="AA3" s="2">
        <f>+Z3*C3</f>
        <v>504881962.19999999</v>
      </c>
      <c r="AB3" s="2">
        <f>1423500*9.53</f>
        <v>13565955</v>
      </c>
      <c r="AC3" s="2">
        <v>1500</v>
      </c>
      <c r="AD3" s="2">
        <f>SUM(AB3:AC3)</f>
        <v>13567455</v>
      </c>
      <c r="AE3" s="2">
        <f>AD3*10%</f>
        <v>1356745.5</v>
      </c>
      <c r="AF3" s="2">
        <f>SUM(AD3:AE3)</f>
        <v>14924200.5</v>
      </c>
      <c r="AG3" s="2">
        <f>+AF3*C3</f>
        <v>492498616.5</v>
      </c>
      <c r="AH3" s="2">
        <f>1423500*9.77</f>
        <v>13907595</v>
      </c>
      <c r="AI3" s="2">
        <v>1750</v>
      </c>
      <c r="AJ3" s="2">
        <f>SUM(AH3:AI3)</f>
        <v>13909345</v>
      </c>
      <c r="AK3" s="2">
        <f>AJ3*10%</f>
        <v>1390934.5</v>
      </c>
      <c r="AL3" s="2">
        <f>SUM(AJ3:AK3)</f>
        <v>15300279.5</v>
      </c>
      <c r="AM3" s="2">
        <f>+AL3*C3</f>
        <v>504909223.5</v>
      </c>
      <c r="AN3" s="60">
        <f>((H3/30)*24+(N3/30)*6)</f>
        <v>14999361.299999999</v>
      </c>
      <c r="AO3" s="60">
        <f>((T3/30)*24+(Z3/30)*6)</f>
        <v>14998810.200000001</v>
      </c>
      <c r="AP3" s="60">
        <f>((AF3/30)*24+(AL3/30)*6)</f>
        <v>14999416.299999999</v>
      </c>
      <c r="AQ3" s="61">
        <f>ROUND(AVERAGE(AN3:AP3),0)</f>
        <v>14999196</v>
      </c>
      <c r="AR3" s="62">
        <f>ROUND(AQ3*C3,0)-1</f>
        <v>494973467</v>
      </c>
      <c r="AS3" s="6"/>
    </row>
    <row r="4" spans="1:46" ht="36">
      <c r="A4" s="59">
        <v>2</v>
      </c>
      <c r="B4" s="5" t="s">
        <v>15</v>
      </c>
      <c r="C4" s="3">
        <v>3</v>
      </c>
      <c r="D4" s="2">
        <f>1423500*9.53</f>
        <v>13565955</v>
      </c>
      <c r="E4" s="2">
        <v>1500</v>
      </c>
      <c r="F4" s="2">
        <f>SUM(D4:E4)</f>
        <v>13567455</v>
      </c>
      <c r="G4" s="2">
        <f>F4*8%</f>
        <v>1085396.3999999999</v>
      </c>
      <c r="H4" s="2">
        <f>SUM(F4:G4)</f>
        <v>14652851.4</v>
      </c>
      <c r="I4" s="2">
        <f>H4*C4</f>
        <v>43958554.200000003</v>
      </c>
      <c r="J4" s="2">
        <f>1423500*9.77</f>
        <v>13907595</v>
      </c>
      <c r="K4" s="2">
        <v>1500</v>
      </c>
      <c r="L4" s="2">
        <f>SUM(J4:K4)</f>
        <v>13909095</v>
      </c>
      <c r="M4" s="2">
        <f>L4*8%</f>
        <v>1112727.6000000001</v>
      </c>
      <c r="N4" s="2">
        <f>SUM(L4:M4)</f>
        <v>15021822.6</v>
      </c>
      <c r="O4" s="2">
        <f t="shared" ref="O4:O6" si="0">+N4*C4</f>
        <v>45065467.799999997</v>
      </c>
      <c r="P4" s="2">
        <f>1423500*9.53</f>
        <v>13565955</v>
      </c>
      <c r="Q4" s="2">
        <v>999</v>
      </c>
      <c r="R4" s="2">
        <f>SUM(P4:Q4)</f>
        <v>13566954</v>
      </c>
      <c r="S4" s="2">
        <f>R4*8%</f>
        <v>1085356.32</v>
      </c>
      <c r="T4" s="2">
        <f>SUM(R4:S4)</f>
        <v>14652310.32</v>
      </c>
      <c r="U4" s="2">
        <f t="shared" ref="U4:U6" si="1">T4*C4</f>
        <v>43956930.960000001</v>
      </c>
      <c r="V4" s="2">
        <f>1423500*9.77</f>
        <v>13907595</v>
      </c>
      <c r="W4" s="2">
        <v>999</v>
      </c>
      <c r="X4" s="2">
        <f>SUM(V4:W4)</f>
        <v>13908594</v>
      </c>
      <c r="Y4" s="2">
        <f>X4*8%</f>
        <v>1112687.52</v>
      </c>
      <c r="Z4" s="2">
        <f>SUM(X4:Y4)</f>
        <v>15021281.52</v>
      </c>
      <c r="AA4" s="2">
        <f t="shared" ref="AA4:AA6" si="2">+Z4*C4</f>
        <v>45063844.560000002</v>
      </c>
      <c r="AB4" s="2">
        <f>1423500*9.53</f>
        <v>13565955</v>
      </c>
      <c r="AC4" s="2">
        <v>1500</v>
      </c>
      <c r="AD4" s="2">
        <f>SUM(AB4:AC4)</f>
        <v>13567455</v>
      </c>
      <c r="AE4" s="2">
        <f>AD4*8%</f>
        <v>1085396.3999999999</v>
      </c>
      <c r="AF4" s="2">
        <f>SUM(AD4:AE4)</f>
        <v>14652851.4</v>
      </c>
      <c r="AG4" s="2">
        <f t="shared" ref="AG4:AG6" si="3">+AF4*C4</f>
        <v>43958554.200000003</v>
      </c>
      <c r="AH4" s="2">
        <f>1423500*9.77</f>
        <v>13907595</v>
      </c>
      <c r="AI4" s="2">
        <v>1750</v>
      </c>
      <c r="AJ4" s="2">
        <f>SUM(AH4:AI4)</f>
        <v>13909345</v>
      </c>
      <c r="AK4" s="2">
        <f>AJ4*8%</f>
        <v>1112747.6000000001</v>
      </c>
      <c r="AL4" s="2">
        <f>SUM(AJ4:AK4)</f>
        <v>15022092.6</v>
      </c>
      <c r="AM4" s="2">
        <f t="shared" ref="AM4:AM6" si="4">+AL4*C4</f>
        <v>45066277.799999997</v>
      </c>
      <c r="AN4" s="60">
        <f t="shared" ref="AN4:AN6" si="5">((H4/30)*24+(N4/30)*6)</f>
        <v>14726645.640000001</v>
      </c>
      <c r="AO4" s="60">
        <f>((T4/30)*24+(Z4/30)*6)</f>
        <v>14726104.559999999</v>
      </c>
      <c r="AP4" s="60">
        <f>((AF4/30)*24+(AL4/30)*6)</f>
        <v>14726699.640000001</v>
      </c>
      <c r="AQ4" s="61">
        <f>ROUND(AVERAGE(AN4:AP4),0)</f>
        <v>14726483</v>
      </c>
      <c r="AR4" s="62">
        <f>ROUND(AQ4*C4,0)</f>
        <v>44179449</v>
      </c>
      <c r="AT4" s="6"/>
    </row>
    <row r="5" spans="1:46" ht="36">
      <c r="A5" s="59">
        <v>3</v>
      </c>
      <c r="B5" s="5" t="s">
        <v>16</v>
      </c>
      <c r="C5" s="3">
        <v>27</v>
      </c>
      <c r="D5" s="2">
        <f>1423500*9.53</f>
        <v>13565955</v>
      </c>
      <c r="E5" s="2">
        <v>1500</v>
      </c>
      <c r="F5" s="2">
        <f>SUM(D5:E5)*0.5597/15*12/30*20</f>
        <v>4049975.7671999997</v>
      </c>
      <c r="G5" s="2">
        <f>F5*10%</f>
        <v>404997.57672000001</v>
      </c>
      <c r="H5" s="2">
        <f>SUM(F5:G5)</f>
        <v>4454973.3439199999</v>
      </c>
      <c r="I5" s="2">
        <f>H5*C5</f>
        <v>120284280.28584</v>
      </c>
      <c r="J5" s="2">
        <f>1423500*9.77</f>
        <v>13907595</v>
      </c>
      <c r="K5" s="2">
        <v>1500</v>
      </c>
      <c r="L5" s="2">
        <f>SUM(J5:K5)*0.5597/15*12/30*20</f>
        <v>4151957.5848000003</v>
      </c>
      <c r="M5" s="2">
        <f>L5*10%</f>
        <v>415195.75848000008</v>
      </c>
      <c r="N5" s="2">
        <f>SUM(L5:M5)</f>
        <v>4567153.3432800006</v>
      </c>
      <c r="O5" s="2">
        <f t="shared" si="0"/>
        <v>123313140.26856002</v>
      </c>
      <c r="P5" s="2">
        <f>1423500*9.53</f>
        <v>13565955</v>
      </c>
      <c r="Q5" s="2">
        <v>999</v>
      </c>
      <c r="R5" s="2">
        <f>SUM(P5:Q5)*0.5597/15*12/30*20</f>
        <v>4049826.2153599993</v>
      </c>
      <c r="S5" s="2">
        <f>R5*10%</f>
        <v>404982.62153599993</v>
      </c>
      <c r="T5" s="2">
        <f>SUM(R5:S5)</f>
        <v>4454808.8368959995</v>
      </c>
      <c r="U5" s="2">
        <f t="shared" si="1"/>
        <v>120279838.59619199</v>
      </c>
      <c r="V5" s="2">
        <f>1423500*9.77</f>
        <v>13907595</v>
      </c>
      <c r="W5" s="2">
        <v>999</v>
      </c>
      <c r="X5" s="2">
        <f>SUM(V5:W5)*0.5597/15*12/30*20</f>
        <v>4151808.0329599995</v>
      </c>
      <c r="Y5" s="2">
        <f>X5*10%</f>
        <v>415180.803296</v>
      </c>
      <c r="Z5" s="2">
        <f>SUM(X5:Y5)</f>
        <v>4566988.8362559993</v>
      </c>
      <c r="AA5" s="2">
        <f t="shared" si="2"/>
        <v>123308698.57891198</v>
      </c>
      <c r="AB5" s="2">
        <f>1423500*9.53</f>
        <v>13565955</v>
      </c>
      <c r="AC5" s="2">
        <v>1500</v>
      </c>
      <c r="AD5" s="2">
        <f>SUM(AB5:AC5)*0.5597/15*12/30*20</f>
        <v>4049975.7671999997</v>
      </c>
      <c r="AE5" s="2">
        <f>AD5*10%</f>
        <v>404997.57672000001</v>
      </c>
      <c r="AF5" s="2">
        <f>SUM(AD5:AE5)</f>
        <v>4454973.3439199999</v>
      </c>
      <c r="AG5" s="2">
        <f t="shared" si="3"/>
        <v>120284280.28584</v>
      </c>
      <c r="AH5" s="2">
        <f>1423500*9.77</f>
        <v>13907595</v>
      </c>
      <c r="AI5" s="2">
        <v>1750</v>
      </c>
      <c r="AJ5" s="2">
        <f>SUM(AH5:AI5)*0.5597/15*12/30*20</f>
        <v>4152032.2114666668</v>
      </c>
      <c r="AK5" s="2">
        <f>AJ5*10%</f>
        <v>415203.22114666668</v>
      </c>
      <c r="AL5" s="2">
        <f>SUM(AJ5:AK5)</f>
        <v>4567235.4326133337</v>
      </c>
      <c r="AM5" s="2">
        <f t="shared" si="4"/>
        <v>123315356.68056001</v>
      </c>
      <c r="AN5" s="60">
        <f t="shared" si="5"/>
        <v>4477409.3437919999</v>
      </c>
      <c r="AO5" s="60">
        <f>((T5/30)*24+(Z5/30)*6)</f>
        <v>4477244.8367679995</v>
      </c>
      <c r="AP5" s="60">
        <f>((AF5/30)*24+(AL5/30)*6)</f>
        <v>4477425.7616586667</v>
      </c>
      <c r="AQ5" s="61">
        <f>ROUND(AVERAGE(AN5:AP5),0)</f>
        <v>4477360</v>
      </c>
      <c r="AR5" s="62">
        <f>ROUND(AQ5*C5,0)</f>
        <v>120888720</v>
      </c>
    </row>
    <row r="6" spans="1:46" ht="60">
      <c r="A6" s="59">
        <v>4</v>
      </c>
      <c r="B6" s="5" t="s">
        <v>17</v>
      </c>
      <c r="C6" s="3">
        <v>3</v>
      </c>
      <c r="D6" s="2">
        <f>1423500*9.53</f>
        <v>13565955</v>
      </c>
      <c r="E6" s="2">
        <v>1500</v>
      </c>
      <c r="F6" s="2">
        <f>SUM(D6:E6)*0.5597/15*12/30*20</f>
        <v>4049975.7671999997</v>
      </c>
      <c r="G6" s="2">
        <f>F6*11%</f>
        <v>445497.33439199999</v>
      </c>
      <c r="H6" s="2">
        <f>SUM(F6:G6)</f>
        <v>4495473.1015919996</v>
      </c>
      <c r="I6" s="2">
        <f>H6*C6</f>
        <v>13486419.304775998</v>
      </c>
      <c r="J6" s="2">
        <f>1423500*9.77</f>
        <v>13907595</v>
      </c>
      <c r="K6" s="2">
        <v>1500</v>
      </c>
      <c r="L6" s="2">
        <f>SUM(J6:K6)*0.5597/15*12/30*20</f>
        <v>4151957.5848000003</v>
      </c>
      <c r="M6" s="2">
        <f>L6*11%</f>
        <v>456715.33432800003</v>
      </c>
      <c r="N6" s="2">
        <f>SUM(L6:M6)</f>
        <v>4608672.9191280007</v>
      </c>
      <c r="O6" s="2">
        <f t="shared" si="0"/>
        <v>13826018.757384002</v>
      </c>
      <c r="P6" s="2">
        <f>1423500*9.53</f>
        <v>13565955</v>
      </c>
      <c r="Q6" s="2">
        <v>999</v>
      </c>
      <c r="R6" s="2">
        <f>SUM(P6:Q6)*0.5597/15*12/30*20</f>
        <v>4049826.2153599993</v>
      </c>
      <c r="S6" s="2">
        <f>R6*11%</f>
        <v>445480.88368959993</v>
      </c>
      <c r="T6" s="2">
        <f>SUM(R6:S6)</f>
        <v>4495307.0990495989</v>
      </c>
      <c r="U6" s="2">
        <f t="shared" si="1"/>
        <v>13485921.297148798</v>
      </c>
      <c r="V6" s="2">
        <f>1423500*9.77</f>
        <v>13907595</v>
      </c>
      <c r="W6" s="2">
        <v>999</v>
      </c>
      <c r="X6" s="2">
        <f>SUM(V6:W6)*0.5597/15*12/30*20</f>
        <v>4151808.0329599995</v>
      </c>
      <c r="Y6" s="2">
        <f>X6*11%</f>
        <v>456698.88362559996</v>
      </c>
      <c r="Z6" s="2">
        <f>SUM(X6:Y6)</f>
        <v>4608506.9165855991</v>
      </c>
      <c r="AA6" s="2">
        <f t="shared" si="2"/>
        <v>13825520.749756798</v>
      </c>
      <c r="AB6" s="2">
        <f>1423500*9.53</f>
        <v>13565955</v>
      </c>
      <c r="AC6" s="2">
        <v>1500</v>
      </c>
      <c r="AD6" s="2">
        <f>SUM(AB6:AC6)*0.5597/15*12/30*20</f>
        <v>4049975.7671999997</v>
      </c>
      <c r="AE6" s="2">
        <f>AD6*11%</f>
        <v>445497.33439199999</v>
      </c>
      <c r="AF6" s="2">
        <f>SUM(AD6:AE6)</f>
        <v>4495473.1015919996</v>
      </c>
      <c r="AG6" s="2">
        <f t="shared" si="3"/>
        <v>13486419.304775998</v>
      </c>
      <c r="AH6" s="2">
        <f>1423500*9.77</f>
        <v>13907595</v>
      </c>
      <c r="AI6" s="2">
        <v>1500</v>
      </c>
      <c r="AJ6" s="2">
        <f>SUM(AH6:AI6)*0.5597/15*12/30*20</f>
        <v>4151957.5848000003</v>
      </c>
      <c r="AK6" s="2">
        <f>AJ6*11%</f>
        <v>456715.33432800003</v>
      </c>
      <c r="AL6" s="2">
        <f>SUM(AJ6:AK6)</f>
        <v>4608672.9191280007</v>
      </c>
      <c r="AM6" s="2">
        <f t="shared" si="4"/>
        <v>13826018.757384002</v>
      </c>
      <c r="AN6" s="60">
        <f t="shared" si="5"/>
        <v>4518113.0650991993</v>
      </c>
      <c r="AO6" s="60">
        <f>((T6/30)*24+(Z6/30)*6)</f>
        <v>4517947.0625567995</v>
      </c>
      <c r="AP6" s="60">
        <f>((AF6/30)*24+(AL6/30)*6)</f>
        <v>4518113.0650991993</v>
      </c>
      <c r="AQ6" s="61">
        <f>ROUND(AVERAGE(AN6:AP6),0)</f>
        <v>4518058</v>
      </c>
      <c r="AR6" s="62">
        <f>ROUND(AQ6*C6,0)-1</f>
        <v>13554173</v>
      </c>
    </row>
    <row r="7" spans="1:46" ht="15" customHeight="1">
      <c r="A7" s="115" t="s">
        <v>18</v>
      </c>
      <c r="B7" s="116"/>
      <c r="C7" s="116"/>
      <c r="D7" s="116"/>
      <c r="E7" s="116"/>
      <c r="F7" s="116"/>
      <c r="G7" s="116"/>
      <c r="H7" s="117"/>
      <c r="I7" s="4">
        <f>SUM(I3:I6)</f>
        <v>670227870.29061592</v>
      </c>
      <c r="O7" s="4">
        <f>SUM(O3:O6)</f>
        <v>687104775.32594395</v>
      </c>
      <c r="U7" s="4">
        <f>SUM(U3:U6)</f>
        <v>670203121.05334079</v>
      </c>
      <c r="AA7" s="4">
        <f>SUM(AA3:AA6)</f>
        <v>687080026.08866882</v>
      </c>
      <c r="AG7" s="4">
        <f>SUM(AG3:AG6)</f>
        <v>670227870.29061592</v>
      </c>
      <c r="AM7" s="4">
        <f>SUM(AM3:AM6)</f>
        <v>687116876.73794389</v>
      </c>
      <c r="AR7" s="4">
        <f>SUM(AR3:AR6)</f>
        <v>673595809</v>
      </c>
      <c r="AS7">
        <v>687100559.38418555</v>
      </c>
    </row>
    <row r="8" spans="1:46" ht="15" customHeight="1">
      <c r="A8" s="115" t="s">
        <v>19</v>
      </c>
      <c r="B8" s="116"/>
      <c r="C8" s="116"/>
      <c r="D8" s="116"/>
      <c r="E8" s="116"/>
      <c r="F8" s="116"/>
      <c r="G8" s="116"/>
      <c r="H8" s="117"/>
      <c r="I8" s="4">
        <f>SUM(I3:I6)*10%</f>
        <v>67022787.029061593</v>
      </c>
      <c r="O8" s="4">
        <f>SUM(O3:O6)*10%</f>
        <v>68710477.532594398</v>
      </c>
      <c r="U8" s="4">
        <f>SUM(U3:U6)*10%</f>
        <v>67020312.105334081</v>
      </c>
      <c r="AA8" s="4">
        <f>SUM(AA3:AA6)*10%</f>
        <v>68708002.608866885</v>
      </c>
      <c r="AG8" s="4">
        <f>SUM(AG3:AG6)*10%</f>
        <v>67022787.029061593</v>
      </c>
      <c r="AM8" s="4">
        <f>SUM(AM3:AM6)*10%</f>
        <v>68711687.673794389</v>
      </c>
      <c r="AR8" s="4">
        <f>ROUND(AR7*10%,0)</f>
        <v>67359581</v>
      </c>
      <c r="AS8">
        <v>68710056</v>
      </c>
    </row>
    <row r="9" spans="1:46" ht="15" customHeight="1">
      <c r="A9" s="115" t="s">
        <v>20</v>
      </c>
      <c r="B9" s="116"/>
      <c r="C9" s="116"/>
      <c r="D9" s="116"/>
      <c r="E9" s="116"/>
      <c r="F9" s="116"/>
      <c r="G9" s="116"/>
      <c r="H9" s="117"/>
      <c r="I9" s="4">
        <f>I8*19%</f>
        <v>12734329.535521703</v>
      </c>
      <c r="O9" s="4">
        <f>O8*19%</f>
        <v>13054990.731192935</v>
      </c>
      <c r="U9" s="4">
        <f>U8*19%</f>
        <v>12733859.300013475</v>
      </c>
      <c r="AA9" s="4">
        <f>AA8*19%</f>
        <v>13054520.495684708</v>
      </c>
      <c r="AG9" s="4">
        <f>AG8*19%</f>
        <v>12734329.535521703</v>
      </c>
      <c r="AM9" s="4">
        <f>AM8*19%</f>
        <v>13055220.658020934</v>
      </c>
      <c r="AR9" s="4">
        <f>ROUND(AR8*19%,0)</f>
        <v>12798320</v>
      </c>
      <c r="AS9">
        <v>13054911</v>
      </c>
    </row>
    <row r="10" spans="1:46">
      <c r="A10" s="115" t="s">
        <v>21</v>
      </c>
      <c r="B10" s="116"/>
      <c r="C10" s="116"/>
      <c r="D10" s="116"/>
      <c r="E10" s="116"/>
      <c r="F10" s="116"/>
      <c r="G10" s="116"/>
      <c r="H10" s="117"/>
      <c r="I10" s="4">
        <f>+I7+I9</f>
        <v>682962199.82613766</v>
      </c>
      <c r="L10" s="6"/>
      <c r="O10" s="4">
        <f>O7+O9</f>
        <v>700159766.05713689</v>
      </c>
      <c r="U10" s="4">
        <f>U7+U9</f>
        <v>682936980.35335422</v>
      </c>
      <c r="AA10" s="4">
        <f>AA7+AA9</f>
        <v>700134546.58435357</v>
      </c>
      <c r="AG10" s="4">
        <f>AG7+AG9</f>
        <v>682962199.82613766</v>
      </c>
      <c r="AM10" s="4">
        <f>AM7+AM9</f>
        <v>700172097.39596486</v>
      </c>
      <c r="AR10" s="4">
        <f>+AR7+AR9</f>
        <v>686394129</v>
      </c>
      <c r="AS10">
        <v>700155470.38418555</v>
      </c>
      <c r="AT10" s="6">
        <f>+AR10-AS10</f>
        <v>-13761341.384185553</v>
      </c>
    </row>
    <row r="11" spans="1:46"/>
    <row r="12" spans="1:46"/>
    <row r="13" spans="1:46">
      <c r="G13" t="s">
        <v>35</v>
      </c>
      <c r="I13" s="9">
        <f>+I10/30</f>
        <v>22765406.660871256</v>
      </c>
      <c r="O13" s="9">
        <f>+O10/30</f>
        <v>23338658.868571229</v>
      </c>
      <c r="S13" t="s">
        <v>35</v>
      </c>
      <c r="U13" s="9">
        <f>+U10/30</f>
        <v>22764566.011778474</v>
      </c>
      <c r="AA13" s="9">
        <f>+AA10/30</f>
        <v>23337818.219478451</v>
      </c>
      <c r="AG13" s="9">
        <f>+AG10/30</f>
        <v>22765406.660871256</v>
      </c>
      <c r="AM13" s="9">
        <f>+AM10/30</f>
        <v>23339069.913198829</v>
      </c>
      <c r="AR13" s="9"/>
    </row>
    <row r="14" spans="1:46">
      <c r="G14" t="s">
        <v>48</v>
      </c>
      <c r="H14">
        <v>24</v>
      </c>
      <c r="I14" s="9">
        <f>+I13*H14</f>
        <v>546369759.86091018</v>
      </c>
      <c r="M14" t="s">
        <v>49</v>
      </c>
      <c r="N14">
        <v>6</v>
      </c>
      <c r="O14" s="9">
        <f>+O13*N14</f>
        <v>140031953.21142739</v>
      </c>
      <c r="S14" t="s">
        <v>48</v>
      </c>
      <c r="T14">
        <v>24</v>
      </c>
      <c r="U14" s="9">
        <f>+U13*T14</f>
        <v>546349584.28268337</v>
      </c>
      <c r="Y14" t="s">
        <v>49</v>
      </c>
      <c r="Z14">
        <v>6</v>
      </c>
      <c r="AA14" s="9">
        <f>+AA13*Z14</f>
        <v>140026909.31687069</v>
      </c>
      <c r="AE14" t="s">
        <v>48</v>
      </c>
      <c r="AF14">
        <v>24</v>
      </c>
      <c r="AG14" s="9">
        <f>+AG13*AF14</f>
        <v>546369759.86091018</v>
      </c>
      <c r="AK14" t="s">
        <v>49</v>
      </c>
      <c r="AL14">
        <v>6</v>
      </c>
      <c r="AM14" s="9">
        <f>+AM13*AL14</f>
        <v>140034419.47919297</v>
      </c>
      <c r="AR14" s="9"/>
    </row>
    <row r="15" spans="1:46">
      <c r="I15" s="9"/>
      <c r="O15" s="9"/>
      <c r="U15" s="9"/>
      <c r="AA15" s="9"/>
      <c r="AG15" s="9"/>
      <c r="AM15" s="9"/>
      <c r="AR15" s="9"/>
    </row>
    <row r="16" spans="1:46"/>
    <row r="17" spans="8:42"/>
    <row r="18" spans="8:42">
      <c r="I18" t="s">
        <v>44</v>
      </c>
      <c r="J18" t="s">
        <v>50</v>
      </c>
      <c r="L18" s="10">
        <f>+I14+O14</f>
        <v>686401713.07233763</v>
      </c>
      <c r="U18" t="s">
        <v>45</v>
      </c>
      <c r="V18" t="s">
        <v>50</v>
      </c>
      <c r="X18" s="10">
        <f>+U14+AA14</f>
        <v>686376493.59955406</v>
      </c>
      <c r="AD18" s="10"/>
      <c r="AG18" t="s">
        <v>46</v>
      </c>
      <c r="AH18" t="s">
        <v>50</v>
      </c>
      <c r="AJ18" s="10">
        <f>+AG14+AM14</f>
        <v>686404179.34010315</v>
      </c>
      <c r="AP18" s="10"/>
    </row>
    <row r="20" spans="8:42">
      <c r="I20" s="57" t="s">
        <v>32</v>
      </c>
      <c r="J20" s="57"/>
      <c r="K20" s="57"/>
      <c r="L20" s="58">
        <f>ROUND(AVERAGE(L18,X18,AJ18),0)</f>
        <v>686394129</v>
      </c>
      <c r="M20" s="10">
        <v>700155470</v>
      </c>
      <c r="N20" s="10">
        <f>+L20-M20</f>
        <v>-13761341</v>
      </c>
    </row>
    <row r="21" spans="8:42">
      <c r="I21" s="15" t="s">
        <v>33</v>
      </c>
      <c r="J21" s="15"/>
      <c r="K21" s="15"/>
      <c r="L21" s="17">
        <f>+EQUIPOS!K9</f>
        <v>14786682.960000001</v>
      </c>
      <c r="M21" s="10">
        <v>14786683</v>
      </c>
    </row>
    <row r="22" spans="8:42">
      <c r="I22" s="15" t="s">
        <v>34</v>
      </c>
      <c r="J22" s="15"/>
      <c r="K22" s="15"/>
      <c r="L22" s="16">
        <f>+L20+L21</f>
        <v>701180811.96000004</v>
      </c>
      <c r="M22" s="10">
        <f>+M20+M21</f>
        <v>714942153</v>
      </c>
    </row>
    <row r="23" spans="8:42">
      <c r="I23" s="15" t="s">
        <v>35</v>
      </c>
      <c r="J23" s="15"/>
      <c r="K23" s="15"/>
      <c r="L23" s="17">
        <f>+L22/30</f>
        <v>23372693.732000001</v>
      </c>
      <c r="M23" s="10">
        <f>+M22/30</f>
        <v>23831405.100000001</v>
      </c>
      <c r="N23" s="10"/>
    </row>
    <row r="26" spans="8:42">
      <c r="H26" s="41"/>
      <c r="I26" s="42" t="s">
        <v>35</v>
      </c>
      <c r="J26" s="42"/>
      <c r="K26" s="44">
        <f>+L23</f>
        <v>23372693.732000001</v>
      </c>
    </row>
    <row r="27" spans="8:42">
      <c r="H27" s="45" t="s">
        <v>36</v>
      </c>
      <c r="I27" s="46">
        <v>13</v>
      </c>
      <c r="J27" s="46"/>
      <c r="K27" s="48">
        <f>+K26*I27</f>
        <v>303845018.51600003</v>
      </c>
      <c r="L27" s="10"/>
      <c r="M27" s="47"/>
    </row>
    <row r="28" spans="8:42">
      <c r="H28" s="49" t="s">
        <v>37</v>
      </c>
      <c r="I28" s="50">
        <v>7</v>
      </c>
      <c r="J28" s="50"/>
      <c r="K28" s="52">
        <f>+L22*I28</f>
        <v>4908265683.7200003</v>
      </c>
    </row>
    <row r="29" spans="8:42">
      <c r="H29" s="152" t="s">
        <v>39</v>
      </c>
      <c r="I29" s="153"/>
      <c r="J29" s="53"/>
      <c r="K29" s="54">
        <f>+K27+K28</f>
        <v>5212110702.2360001</v>
      </c>
    </row>
    <row r="30" spans="8:42">
      <c r="H30" s="51"/>
      <c r="I30" s="51"/>
      <c r="J30" s="51"/>
      <c r="K30" s="51"/>
    </row>
    <row r="31" spans="8:42">
      <c r="H31" s="51"/>
      <c r="I31" s="51"/>
      <c r="J31" s="51"/>
      <c r="K31" s="51"/>
    </row>
    <row r="32" spans="8:42">
      <c r="H32" s="51"/>
      <c r="I32" s="51"/>
      <c r="J32" s="51"/>
      <c r="K32" s="51"/>
    </row>
    <row r="33" spans="8:13" ht="23.25">
      <c r="H33" s="51"/>
      <c r="I33" s="51"/>
      <c r="J33" s="55" t="s">
        <v>51</v>
      </c>
      <c r="K33" s="56">
        <v>8086548096</v>
      </c>
      <c r="L33" s="43">
        <f>+K33-M37</f>
        <v>5485751970</v>
      </c>
      <c r="M33" s="43">
        <f>+L33-K29</f>
        <v>273641267.76399994</v>
      </c>
    </row>
    <row r="34" spans="8:13">
      <c r="H34" s="51"/>
      <c r="I34" s="51"/>
      <c r="J34" s="51"/>
      <c r="K34" s="51"/>
    </row>
    <row r="35" spans="8:13">
      <c r="H35" s="51"/>
      <c r="I35" s="51"/>
      <c r="J35" s="51"/>
      <c r="K35" s="51"/>
    </row>
    <row r="36" spans="8:13">
      <c r="H36" s="51"/>
      <c r="I36" s="51"/>
      <c r="J36" s="51" t="s">
        <v>52</v>
      </c>
      <c r="K36" s="56">
        <f>+K33-K29</f>
        <v>2874437393.7639999</v>
      </c>
    </row>
    <row r="37" spans="8:13">
      <c r="H37" s="51"/>
      <c r="I37" s="51"/>
      <c r="J37" s="51" t="s">
        <v>53</v>
      </c>
      <c r="K37" s="56">
        <v>2766804390</v>
      </c>
      <c r="L37" s="9">
        <v>166008264</v>
      </c>
      <c r="M37" s="43">
        <f>+K37-L37</f>
        <v>2600796126</v>
      </c>
    </row>
    <row r="38" spans="8:13">
      <c r="H38" s="51"/>
      <c r="I38" s="51"/>
      <c r="J38" s="51" t="s">
        <v>54</v>
      </c>
      <c r="K38" s="56">
        <f>+K36-K37</f>
        <v>107633003.76399994</v>
      </c>
    </row>
    <row r="39" spans="8:13">
      <c r="H39" s="51"/>
      <c r="I39" s="51"/>
      <c r="J39" s="51"/>
      <c r="K39" s="51"/>
    </row>
    <row r="41" spans="8:13">
      <c r="K41" s="43">
        <f>+K33-K28</f>
        <v>3178282412.2799997</v>
      </c>
    </row>
    <row r="42" spans="8:13">
      <c r="K42" s="43">
        <f>+K41-M37</f>
        <v>577486286.27999973</v>
      </c>
    </row>
    <row r="45" spans="8:13">
      <c r="K45" s="43"/>
    </row>
  </sheetData>
  <mergeCells count="12">
    <mergeCell ref="AN1:AR1"/>
    <mergeCell ref="H29:I29"/>
    <mergeCell ref="AB1:AG1"/>
    <mergeCell ref="AH1:AM1"/>
    <mergeCell ref="A10:H10"/>
    <mergeCell ref="D1:I1"/>
    <mergeCell ref="J1:O1"/>
    <mergeCell ref="P1:U1"/>
    <mergeCell ref="V1:AA1"/>
    <mergeCell ref="A7:H7"/>
    <mergeCell ref="A8:H8"/>
    <mergeCell ref="A9:H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DACF3-BA8A-40E2-9D60-06BDE8ADA49D}">
  <dimension ref="A1:Z25"/>
  <sheetViews>
    <sheetView topLeftCell="O1" zoomScaleNormal="100" workbookViewId="0">
      <selection activeCell="V11" sqref="V11"/>
    </sheetView>
  </sheetViews>
  <sheetFormatPr defaultColWidth="11.42578125" defaultRowHeight="15" customHeight="1"/>
  <cols>
    <col min="2" max="2" width="27" customWidth="1"/>
    <col min="3" max="3" width="9.140625"/>
    <col min="4" max="4" width="17" customWidth="1"/>
    <col min="5" max="5" width="17.7109375" customWidth="1"/>
    <col min="6" max="6" width="14.140625" customWidth="1"/>
    <col min="7" max="7" width="13.140625" customWidth="1"/>
    <col min="8" max="8" width="17.5703125" bestFit="1" customWidth="1"/>
    <col min="9" max="9" width="14.42578125" customWidth="1"/>
    <col min="10" max="10" width="13.7109375" customWidth="1"/>
    <col min="11" max="13" width="13.7109375" hidden="1" customWidth="1"/>
    <col min="14" max="14" width="14.140625" customWidth="1"/>
    <col min="15" max="15" width="12.140625" customWidth="1"/>
    <col min="16" max="16" width="17.28515625" bestFit="1" customWidth="1"/>
    <col min="17" max="17" width="15.140625" customWidth="1"/>
    <col min="18" max="18" width="11.42578125" customWidth="1"/>
    <col min="19" max="19" width="15.5703125" customWidth="1"/>
    <col min="20" max="20" width="15.140625" bestFit="1" customWidth="1"/>
    <col min="21" max="21" width="20" customWidth="1"/>
    <col min="22" max="22" width="17.7109375" customWidth="1"/>
    <col min="23" max="24" width="18.5703125" customWidth="1"/>
    <col min="25" max="25" width="19.5703125" customWidth="1"/>
    <col min="26" max="26" width="19.28515625" bestFit="1" customWidth="1"/>
  </cols>
  <sheetData>
    <row r="1" spans="1:26" ht="53.25" customHeight="1">
      <c r="B1" s="11"/>
      <c r="C1" s="11"/>
      <c r="D1" s="141" t="s">
        <v>55</v>
      </c>
      <c r="E1" s="142"/>
      <c r="F1" s="132" t="s">
        <v>56</v>
      </c>
      <c r="G1" s="133"/>
      <c r="H1" s="133"/>
      <c r="I1" s="133"/>
      <c r="J1" s="133"/>
      <c r="K1" s="133"/>
      <c r="L1" s="133"/>
      <c r="M1" s="133"/>
      <c r="N1" s="134"/>
      <c r="O1" s="155" t="s">
        <v>57</v>
      </c>
      <c r="P1" s="156"/>
      <c r="Q1" s="156"/>
      <c r="R1" s="156"/>
      <c r="S1" s="156"/>
      <c r="T1" s="157"/>
      <c r="U1" s="158" t="s">
        <v>58</v>
      </c>
      <c r="V1" s="159"/>
      <c r="W1" s="159"/>
      <c r="X1" s="159"/>
      <c r="Y1" s="159"/>
      <c r="Z1" s="160"/>
    </row>
    <row r="2" spans="1:26" ht="41.25" customHeight="1">
      <c r="A2" s="1" t="s">
        <v>4</v>
      </c>
      <c r="B2" s="1" t="s">
        <v>5</v>
      </c>
      <c r="C2" s="1" t="s">
        <v>6</v>
      </c>
      <c r="D2" s="1" t="s">
        <v>0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59</v>
      </c>
      <c r="L2" s="1" t="s">
        <v>60</v>
      </c>
      <c r="M2" s="1" t="s">
        <v>61</v>
      </c>
      <c r="N2" s="1" t="s">
        <v>13</v>
      </c>
      <c r="O2" s="1" t="s">
        <v>8</v>
      </c>
      <c r="P2" s="1" t="s">
        <v>9</v>
      </c>
      <c r="Q2" s="1" t="s">
        <v>10</v>
      </c>
      <c r="R2" s="1" t="s">
        <v>11</v>
      </c>
      <c r="S2" s="1" t="s">
        <v>62</v>
      </c>
      <c r="T2" s="1" t="s">
        <v>13</v>
      </c>
      <c r="U2" s="1" t="s">
        <v>8</v>
      </c>
      <c r="V2" s="1" t="s">
        <v>9</v>
      </c>
      <c r="W2" s="1" t="s">
        <v>10</v>
      </c>
      <c r="X2" s="1" t="s">
        <v>11</v>
      </c>
      <c r="Y2" s="1" t="s">
        <v>12</v>
      </c>
      <c r="Z2" s="1" t="s">
        <v>13</v>
      </c>
    </row>
    <row r="3" spans="1:26" ht="36">
      <c r="A3" s="59">
        <v>1</v>
      </c>
      <c r="B3" s="5" t="s">
        <v>14</v>
      </c>
      <c r="C3" s="3">
        <v>30</v>
      </c>
      <c r="D3" s="68">
        <f>ROUND(AVERAGE(J3,S3,Y3),0)</f>
        <v>19668649</v>
      </c>
      <c r="E3" s="62">
        <f>+D3*C3</f>
        <v>590059470</v>
      </c>
      <c r="F3" s="2">
        <f>1750905*10.21</f>
        <v>17876740.050000001</v>
      </c>
      <c r="G3" s="2">
        <v>6300</v>
      </c>
      <c r="H3" s="2">
        <f>SUM(F3:G3)</f>
        <v>17883040.050000001</v>
      </c>
      <c r="I3" s="2">
        <f>H3*10%</f>
        <v>1788304.0050000001</v>
      </c>
      <c r="J3" s="2">
        <f>SUM(H3:I3)</f>
        <v>19671344.055</v>
      </c>
      <c r="K3" s="84" t="e">
        <f>ROUND(#REF!*10%,0)</f>
        <v>#REF!</v>
      </c>
      <c r="L3" s="84" t="e">
        <f>ROUND(K3*19%,0)</f>
        <v>#REF!</v>
      </c>
      <c r="M3" s="84" t="e">
        <f>+#REF!+L3</f>
        <v>#REF!</v>
      </c>
      <c r="N3" s="2">
        <f>+J3*C3</f>
        <v>590140321.64999998</v>
      </c>
      <c r="O3" s="2">
        <f>1750905*10.21</f>
        <v>17876740.050000001</v>
      </c>
      <c r="P3" s="2">
        <v>1500</v>
      </c>
      <c r="Q3" s="2">
        <f>SUM(O3:P3)</f>
        <v>17878240.050000001</v>
      </c>
      <c r="R3" s="2">
        <f>Q3*10%</f>
        <v>1787824.0050000001</v>
      </c>
      <c r="S3" s="2">
        <f>SUM(Q3:R3)</f>
        <v>19666064.055</v>
      </c>
      <c r="T3" s="2">
        <f>+S3*C3</f>
        <v>589981921.64999998</v>
      </c>
      <c r="U3" s="2">
        <f>1750905*10.21</f>
        <v>17876740.050000001</v>
      </c>
      <c r="V3" s="2">
        <v>3750</v>
      </c>
      <c r="W3" s="2">
        <f>SUM(U3:V3)</f>
        <v>17880490.050000001</v>
      </c>
      <c r="X3" s="2">
        <f>W3*10%</f>
        <v>1788049.0050000001</v>
      </c>
      <c r="Y3" s="2">
        <f>SUM(W3:X3)</f>
        <v>19668539.055</v>
      </c>
      <c r="Z3" s="2">
        <f>+Y3*C3</f>
        <v>590056171.64999998</v>
      </c>
    </row>
    <row r="4" spans="1:26" ht="36">
      <c r="A4" s="59">
        <v>2</v>
      </c>
      <c r="B4" s="5" t="s">
        <v>15</v>
      </c>
      <c r="C4" s="3">
        <v>3</v>
      </c>
      <c r="D4" s="68">
        <f>ROUND(AVERAGE(J4,S4,Y4),0)</f>
        <v>19311037</v>
      </c>
      <c r="E4" s="62">
        <f t="shared" ref="E4:E6" si="0">+D4*C4</f>
        <v>57933111</v>
      </c>
      <c r="F4" s="2">
        <f t="shared" ref="F4:F6" si="1">1750905*10.21</f>
        <v>17876740.050000001</v>
      </c>
      <c r="G4" s="2">
        <v>6300</v>
      </c>
      <c r="H4" s="2">
        <f>SUM(F4:G4)</f>
        <v>17883040.050000001</v>
      </c>
      <c r="I4" s="2">
        <f>H4*8%</f>
        <v>1430643.2040000001</v>
      </c>
      <c r="J4" s="2">
        <f>SUM(H4:I4)</f>
        <v>19313683.254000001</v>
      </c>
      <c r="K4" s="84" t="e">
        <f>ROUND(#REF!*10%,0)</f>
        <v>#REF!</v>
      </c>
      <c r="L4" s="84" t="e">
        <f t="shared" ref="L4:L6" si="2">ROUND(K4*19%,0)</f>
        <v>#REF!</v>
      </c>
      <c r="M4" s="84" t="e">
        <f>+#REF!+L4</f>
        <v>#REF!</v>
      </c>
      <c r="N4" s="2">
        <f t="shared" ref="N4:N6" si="3">+J4*C4</f>
        <v>57941049.762000002</v>
      </c>
      <c r="O4" s="2">
        <f t="shared" ref="O4:O6" si="4">1750905*10.21</f>
        <v>17876740.050000001</v>
      </c>
      <c r="P4" s="2">
        <v>1500</v>
      </c>
      <c r="Q4" s="2">
        <f>SUM(O4:P4)</f>
        <v>17878240.050000001</v>
      </c>
      <c r="R4" s="2">
        <f>Q4*8%</f>
        <v>1430259.2040000001</v>
      </c>
      <c r="S4" s="2">
        <f t="shared" ref="S4:S6" si="5">SUM(Q4:R4)</f>
        <v>19308499.254000001</v>
      </c>
      <c r="T4" s="2">
        <f t="shared" ref="T4:T5" si="6">+S4*C4</f>
        <v>57925497.762000002</v>
      </c>
      <c r="U4" s="2">
        <f t="shared" ref="U4:U6" si="7">1750905*10.21</f>
        <v>17876740.050000001</v>
      </c>
      <c r="V4" s="2">
        <v>3750</v>
      </c>
      <c r="W4" s="2">
        <f>SUM(U4:V4)</f>
        <v>17880490.050000001</v>
      </c>
      <c r="X4" s="2">
        <f>W4*8%</f>
        <v>1430439.2040000001</v>
      </c>
      <c r="Y4" s="2">
        <f>SUM(W4:X4)</f>
        <v>19310929.254000001</v>
      </c>
      <c r="Z4" s="2">
        <f t="shared" ref="Z4:Z6" si="8">+Y4*C4</f>
        <v>57932787.762000002</v>
      </c>
    </row>
    <row r="5" spans="1:26" ht="36">
      <c r="A5" s="59">
        <v>3</v>
      </c>
      <c r="B5" s="5" t="s">
        <v>16</v>
      </c>
      <c r="C5" s="3">
        <v>25</v>
      </c>
      <c r="D5" s="68">
        <f>ROUND(AVERAGE(J5,S5,Y5),0)</f>
        <v>5759922</v>
      </c>
      <c r="E5" s="62">
        <f t="shared" si="0"/>
        <v>143998050</v>
      </c>
      <c r="F5" s="2">
        <f t="shared" si="1"/>
        <v>17876740.050000001</v>
      </c>
      <c r="G5" s="2">
        <v>6300</v>
      </c>
      <c r="H5" s="2">
        <f>SUM(F5:G5)*47.59%/30*20/13*12</f>
        <v>5237254.621412308</v>
      </c>
      <c r="I5" s="2">
        <f>H5*10%</f>
        <v>523725.46214123082</v>
      </c>
      <c r="J5" s="2">
        <f>SUM(H5:I5)</f>
        <v>5760980.0835535387</v>
      </c>
      <c r="K5" s="84" t="e">
        <f>ROUND(#REF!*10%,0)</f>
        <v>#REF!</v>
      </c>
      <c r="L5" s="84" t="e">
        <f t="shared" si="2"/>
        <v>#REF!</v>
      </c>
      <c r="M5" s="84" t="e">
        <f>+#REF!+L5</f>
        <v>#REF!</v>
      </c>
      <c r="N5" s="2">
        <f t="shared" si="3"/>
        <v>144024502.08883846</v>
      </c>
      <c r="O5" s="2">
        <f t="shared" si="4"/>
        <v>17876740.050000001</v>
      </c>
      <c r="P5" s="2">
        <v>1500</v>
      </c>
      <c r="Q5" s="2">
        <f>SUM(O5:P5)*47.59%/30*20/13*12</f>
        <v>5235848.8860276928</v>
      </c>
      <c r="R5" s="2">
        <f>Q5*10%</f>
        <v>523584.88860276929</v>
      </c>
      <c r="S5" s="2">
        <f t="shared" si="5"/>
        <v>5759433.7746304618</v>
      </c>
      <c r="T5" s="2">
        <f t="shared" si="6"/>
        <v>143985844.36576155</v>
      </c>
      <c r="U5" s="2">
        <f t="shared" si="7"/>
        <v>17876740.050000001</v>
      </c>
      <c r="V5" s="2">
        <v>1250</v>
      </c>
      <c r="W5" s="2">
        <f>SUM(U5:V5)*47.59%/30*20/13*12</f>
        <v>5235775.6706430772</v>
      </c>
      <c r="X5" s="2">
        <f>W5*10%</f>
        <v>523577.56706430775</v>
      </c>
      <c r="Y5" s="2">
        <f>SUM(W5:X5)</f>
        <v>5759353.2377073849</v>
      </c>
      <c r="Z5" s="2">
        <f t="shared" si="8"/>
        <v>143983830.94268462</v>
      </c>
    </row>
    <row r="6" spans="1:26" ht="60">
      <c r="A6" s="59">
        <v>4</v>
      </c>
      <c r="B6" s="5" t="s">
        <v>17</v>
      </c>
      <c r="C6" s="3">
        <v>3</v>
      </c>
      <c r="D6" s="68">
        <f>ROUND(AVERAGE(J6,S6,Y6),0)</f>
        <v>5812285</v>
      </c>
      <c r="E6" s="62">
        <f t="shared" si="0"/>
        <v>17436855</v>
      </c>
      <c r="F6" s="2">
        <f t="shared" si="1"/>
        <v>17876740.050000001</v>
      </c>
      <c r="G6" s="2">
        <v>6300</v>
      </c>
      <c r="H6" s="2">
        <f>SUM(F6:G6)*47.59%/30*20/13*12</f>
        <v>5237254.621412308</v>
      </c>
      <c r="I6" s="2">
        <f>H6*11%</f>
        <v>576098.00835535384</v>
      </c>
      <c r="J6" s="2">
        <f>SUM(H6:I6)</f>
        <v>5813352.6297676619</v>
      </c>
      <c r="K6" s="84" t="e">
        <f>ROUND(#REF!*10%,0)</f>
        <v>#REF!</v>
      </c>
      <c r="L6" s="84" t="e">
        <f t="shared" si="2"/>
        <v>#REF!</v>
      </c>
      <c r="M6" s="84" t="e">
        <f>+#REF!+L6</f>
        <v>#REF!</v>
      </c>
      <c r="N6" s="2">
        <f t="shared" si="3"/>
        <v>17440057.889302984</v>
      </c>
      <c r="O6" s="2">
        <f t="shared" si="4"/>
        <v>17876740.050000001</v>
      </c>
      <c r="P6" s="2">
        <v>1500</v>
      </c>
      <c r="Q6" s="2">
        <f>SUM(O6:P6)*47.59%/30*20/13*12</f>
        <v>5235848.8860276928</v>
      </c>
      <c r="R6" s="2">
        <f>Q6*11%</f>
        <v>575943.37746304623</v>
      </c>
      <c r="S6" s="2">
        <f t="shared" si="5"/>
        <v>5811792.2634907393</v>
      </c>
      <c r="T6" s="2">
        <f>+S6*C6</f>
        <v>17435376.790472217</v>
      </c>
      <c r="U6" s="2">
        <f t="shared" si="7"/>
        <v>17876740.050000001</v>
      </c>
      <c r="V6" s="2">
        <v>1250</v>
      </c>
      <c r="W6" s="2">
        <f>SUM(U6:V6)*47.59%/30*20/13*12</f>
        <v>5235775.6706430772</v>
      </c>
      <c r="X6" s="2">
        <f>W6*11%</f>
        <v>575935.32377073856</v>
      </c>
      <c r="Y6" s="2">
        <f>SUM(W6:X6)</f>
        <v>5811710.9944138154</v>
      </c>
      <c r="Z6" s="2">
        <f t="shared" si="8"/>
        <v>17435132.983241446</v>
      </c>
    </row>
    <row r="7" spans="1:26">
      <c r="A7" s="143" t="s">
        <v>18</v>
      </c>
      <c r="B7" s="144"/>
      <c r="C7" s="144"/>
      <c r="D7" s="145"/>
      <c r="E7" s="69">
        <f>SUM(E3:E6)</f>
        <v>809427486</v>
      </c>
      <c r="N7" s="4">
        <f>SUM(N3:N6)</f>
        <v>809545931.39014137</v>
      </c>
      <c r="T7" s="4">
        <f>SUM(T3:T6)</f>
        <v>809328640.56823373</v>
      </c>
      <c r="Z7" s="4">
        <f>SUM(Z3:Z6)</f>
        <v>809407923.33792603</v>
      </c>
    </row>
    <row r="8" spans="1:26">
      <c r="A8" s="146" t="s">
        <v>19</v>
      </c>
      <c r="B8" s="147"/>
      <c r="C8" s="147"/>
      <c r="D8" s="148"/>
      <c r="E8" s="69">
        <f>ROUND(E7*10%,0)</f>
        <v>80942749</v>
      </c>
      <c r="N8" s="4">
        <f>ROUND(N7*10%,0)</f>
        <v>80954593</v>
      </c>
      <c r="T8" s="4">
        <f>ROUND(T7*10%,0)</f>
        <v>80932864</v>
      </c>
      <c r="Z8" s="4">
        <f>ROUND(Z7*10%,0)</f>
        <v>80940792</v>
      </c>
    </row>
    <row r="9" spans="1:26">
      <c r="A9" s="146" t="s">
        <v>20</v>
      </c>
      <c r="B9" s="147"/>
      <c r="C9" s="147"/>
      <c r="D9" s="148"/>
      <c r="E9" s="69">
        <f>ROUND(E8*19%,0)</f>
        <v>15379122</v>
      </c>
      <c r="N9" s="4">
        <f>ROUND(N8*19%,0)</f>
        <v>15381373</v>
      </c>
      <c r="T9" s="4">
        <f>ROUND(T8*19%,0)</f>
        <v>15377244</v>
      </c>
      <c r="Z9" s="4">
        <f>ROUND(Z8*19%,0)</f>
        <v>15378750</v>
      </c>
    </row>
    <row r="10" spans="1:26">
      <c r="A10" s="146" t="s">
        <v>21</v>
      </c>
      <c r="B10" s="147"/>
      <c r="C10" s="147"/>
      <c r="D10" s="148"/>
      <c r="E10" s="69">
        <f>+E7+E9</f>
        <v>824806608</v>
      </c>
      <c r="F10" s="6">
        <f>+E10+E19</f>
        <v>835085375.79999995</v>
      </c>
      <c r="N10" s="4">
        <f>+N7+N9</f>
        <v>824927304.39014137</v>
      </c>
      <c r="T10" s="4">
        <f>+T7+T9</f>
        <v>824705884.56823373</v>
      </c>
      <c r="Z10" s="4">
        <f>+Z7+Z9</f>
        <v>824786673.33792603</v>
      </c>
    </row>
    <row r="11" spans="1:26"/>
    <row r="12" spans="1:26" ht="34.5" customHeight="1">
      <c r="A12" s="86"/>
      <c r="B12" s="86"/>
      <c r="C12" s="86"/>
      <c r="D12" s="154" t="s">
        <v>22</v>
      </c>
      <c r="E12" s="154"/>
      <c r="F12" s="154" t="s">
        <v>24</v>
      </c>
      <c r="G12" s="154"/>
      <c r="H12" s="154" t="s">
        <v>63</v>
      </c>
      <c r="I12" s="154"/>
      <c r="J12" s="154" t="s">
        <v>64</v>
      </c>
      <c r="K12" s="154"/>
      <c r="L12" s="154"/>
      <c r="M12" s="154"/>
      <c r="N12" s="154"/>
    </row>
    <row r="13" spans="1:26" ht="24">
      <c r="A13" s="87" t="s">
        <v>4</v>
      </c>
      <c r="B13" s="87" t="s">
        <v>5</v>
      </c>
      <c r="C13" s="87" t="s">
        <v>6</v>
      </c>
      <c r="D13" s="87" t="s">
        <v>8</v>
      </c>
      <c r="E13" s="87" t="s">
        <v>13</v>
      </c>
      <c r="F13" s="87" t="s">
        <v>8</v>
      </c>
      <c r="G13" s="87" t="s">
        <v>13</v>
      </c>
      <c r="H13" s="87" t="s">
        <v>8</v>
      </c>
      <c r="I13" s="87" t="s">
        <v>13</v>
      </c>
      <c r="J13" s="87" t="s">
        <v>8</v>
      </c>
      <c r="K13" s="87" t="s">
        <v>13</v>
      </c>
      <c r="L13" s="85"/>
      <c r="M13" s="85"/>
      <c r="N13" s="87" t="s">
        <v>13</v>
      </c>
    </row>
    <row r="14" spans="1:26" ht="84">
      <c r="A14" s="88">
        <v>1</v>
      </c>
      <c r="B14" s="89" t="s">
        <v>26</v>
      </c>
      <c r="C14" s="90">
        <v>6</v>
      </c>
      <c r="D14" s="91">
        <f>ROUND(AVERAGE(F14,H14,J14),0)</f>
        <v>814164</v>
      </c>
      <c r="E14" s="91">
        <f>+D14*C14</f>
        <v>4884984</v>
      </c>
      <c r="F14" s="92">
        <v>951944</v>
      </c>
      <c r="G14" s="90">
        <f>F14*C14</f>
        <v>5711664</v>
      </c>
      <c r="H14" s="92">
        <v>940000</v>
      </c>
      <c r="I14" s="92">
        <f>+H14*C14</f>
        <v>5640000</v>
      </c>
      <c r="J14" s="92">
        <v>550547</v>
      </c>
      <c r="K14" s="92">
        <f>J14*C14</f>
        <v>3303282</v>
      </c>
      <c r="L14" s="85"/>
      <c r="M14" s="85"/>
      <c r="N14" s="92">
        <f>+J14*C14</f>
        <v>3303282</v>
      </c>
    </row>
    <row r="15" spans="1:26" ht="48">
      <c r="A15" s="88">
        <v>2</v>
      </c>
      <c r="B15" s="89" t="s">
        <v>27</v>
      </c>
      <c r="C15" s="90">
        <v>4</v>
      </c>
      <c r="D15" s="91">
        <f>ROUND(AVERAGE(F15,H15,J15),0)</f>
        <v>638196</v>
      </c>
      <c r="E15" s="91">
        <f>+D15*C15</f>
        <v>2552784</v>
      </c>
      <c r="F15" s="92">
        <v>525131</v>
      </c>
      <c r="G15" s="90">
        <f>F15*C15</f>
        <v>2100524</v>
      </c>
      <c r="H15" s="92">
        <v>980000</v>
      </c>
      <c r="I15" s="92">
        <f>+H15*C15</f>
        <v>3920000</v>
      </c>
      <c r="J15" s="92">
        <v>409457</v>
      </c>
      <c r="K15" s="92">
        <f t="shared" ref="K15:K16" si="9">J15*C15</f>
        <v>1637828</v>
      </c>
      <c r="L15" s="85"/>
      <c r="M15" s="85"/>
      <c r="N15" s="92">
        <f>+J15*C15</f>
        <v>1637828</v>
      </c>
    </row>
    <row r="16" spans="1:26" ht="36">
      <c r="A16" s="88">
        <v>3</v>
      </c>
      <c r="B16" s="89" t="s">
        <v>28</v>
      </c>
      <c r="C16" s="90">
        <v>2</v>
      </c>
      <c r="D16" s="91">
        <f>ROUND(AVERAGE(F16,H16,J16),0)</f>
        <v>599926</v>
      </c>
      <c r="E16" s="91">
        <f>+D16*C16</f>
        <v>1199852</v>
      </c>
      <c r="F16" s="92">
        <v>441848</v>
      </c>
      <c r="G16" s="90">
        <f>F16*C16</f>
        <v>883696</v>
      </c>
      <c r="H16" s="92">
        <v>980000</v>
      </c>
      <c r="I16" s="92">
        <f>+H16*C16</f>
        <v>1960000</v>
      </c>
      <c r="J16" s="92">
        <v>377930</v>
      </c>
      <c r="K16" s="92">
        <f t="shared" si="9"/>
        <v>755860</v>
      </c>
      <c r="L16" s="85"/>
      <c r="M16" s="85"/>
      <c r="N16" s="92">
        <f>+J16*C16</f>
        <v>755860</v>
      </c>
    </row>
    <row r="17" spans="1:14" ht="48">
      <c r="A17" s="93" t="s">
        <v>30</v>
      </c>
      <c r="B17" s="93"/>
      <c r="C17" s="93"/>
      <c r="D17" s="94"/>
      <c r="E17" s="95">
        <f>SUM(E14:E16)</f>
        <v>8637620</v>
      </c>
      <c r="F17" s="93"/>
      <c r="G17" s="96">
        <f>SUM(G14:G16)</f>
        <v>8695884</v>
      </c>
      <c r="H17" s="85"/>
      <c r="I17" s="96">
        <f>SUM(I14:I16)</f>
        <v>11520000</v>
      </c>
      <c r="J17" s="96"/>
      <c r="K17" s="96">
        <f>SUM(K14:K16)</f>
        <v>5696970</v>
      </c>
      <c r="L17" s="85"/>
      <c r="M17" s="85"/>
      <c r="N17" s="96">
        <f>SUM(N14:N16)</f>
        <v>5696970</v>
      </c>
    </row>
    <row r="18" spans="1:14" ht="36">
      <c r="A18" s="93" t="s">
        <v>31</v>
      </c>
      <c r="B18" s="93"/>
      <c r="C18" s="93"/>
      <c r="D18" s="94"/>
      <c r="E18" s="95">
        <f>E17*19%</f>
        <v>1641147.8</v>
      </c>
      <c r="F18" s="93"/>
      <c r="G18" s="96">
        <f>G17*19%</f>
        <v>1652217.96</v>
      </c>
      <c r="H18" s="85"/>
      <c r="I18" s="96">
        <f>I17*19%</f>
        <v>2188800</v>
      </c>
      <c r="J18" s="96"/>
      <c r="K18" s="96">
        <f>K17*19%</f>
        <v>1082424.3</v>
      </c>
      <c r="L18" s="85"/>
      <c r="M18" s="85"/>
      <c r="N18" s="96">
        <f>N17*19%</f>
        <v>1082424.3</v>
      </c>
    </row>
    <row r="19" spans="1:14">
      <c r="A19" s="93" t="s">
        <v>21</v>
      </c>
      <c r="B19" s="93"/>
      <c r="C19" s="93"/>
      <c r="D19" s="94"/>
      <c r="E19" s="95">
        <f>+E17+E18</f>
        <v>10278767.800000001</v>
      </c>
      <c r="F19" s="93"/>
      <c r="G19" s="96">
        <f>+G17+G18</f>
        <v>10348101.960000001</v>
      </c>
      <c r="H19" s="85"/>
      <c r="I19" s="96">
        <f>+I17+I18</f>
        <v>13708800</v>
      </c>
      <c r="J19" s="96"/>
      <c r="K19" s="96">
        <f>+K17+K18</f>
        <v>6779394.2999999998</v>
      </c>
      <c r="L19" s="85"/>
      <c r="M19" s="85"/>
      <c r="N19" s="96">
        <f>+N17+N18</f>
        <v>6779394.2999999998</v>
      </c>
    </row>
    <row r="20" spans="1:14"/>
    <row r="21" spans="1:14"/>
    <row r="22" spans="1:14">
      <c r="G22" s="43"/>
      <c r="I22" s="6"/>
      <c r="N22" s="6"/>
    </row>
    <row r="23" spans="1:14" ht="15" customHeight="1">
      <c r="I23" s="6"/>
      <c r="N23" s="6"/>
    </row>
    <row r="24" spans="1:14" ht="15" customHeight="1">
      <c r="I24" s="6"/>
      <c r="N24" s="6"/>
    </row>
    <row r="25" spans="1:14">
      <c r="G25" s="43"/>
    </row>
  </sheetData>
  <mergeCells count="12">
    <mergeCell ref="D1:E1"/>
    <mergeCell ref="F1:N1"/>
    <mergeCell ref="O1:T1"/>
    <mergeCell ref="U1:Z1"/>
    <mergeCell ref="A7:D7"/>
    <mergeCell ref="J12:N12"/>
    <mergeCell ref="A8:D8"/>
    <mergeCell ref="A9:D9"/>
    <mergeCell ref="A10:D10"/>
    <mergeCell ref="D12:E12"/>
    <mergeCell ref="F12:G12"/>
    <mergeCell ref="H12:I12"/>
  </mergeCells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86119-39D5-4486-A182-093CD20AE5B5}">
  <dimension ref="A1:AF11"/>
  <sheetViews>
    <sheetView zoomScaleNormal="100" workbookViewId="0">
      <selection activeCell="J5" sqref="J5"/>
    </sheetView>
  </sheetViews>
  <sheetFormatPr defaultColWidth="11.42578125" defaultRowHeight="15" customHeight="1"/>
  <cols>
    <col min="2" max="2" width="27" customWidth="1"/>
    <col min="3" max="3" width="9.140625"/>
    <col min="4" max="4" width="17" customWidth="1"/>
    <col min="5" max="5" width="17.7109375" customWidth="1"/>
    <col min="6" max="6" width="14.7109375" bestFit="1" customWidth="1"/>
    <col min="7" max="7" width="19.28515625" customWidth="1"/>
    <col min="8" max="8" width="17.5703125" bestFit="1" customWidth="1"/>
    <col min="9" max="9" width="14.42578125" customWidth="1"/>
    <col min="10" max="10" width="13.7109375" customWidth="1"/>
    <col min="11" max="13" width="13.7109375" hidden="1" customWidth="1"/>
    <col min="14" max="14" width="14.140625" customWidth="1"/>
    <col min="15" max="15" width="12.140625" customWidth="1"/>
    <col min="16" max="16" width="17.28515625" bestFit="1" customWidth="1"/>
    <col min="17" max="17" width="15.140625" customWidth="1"/>
    <col min="18" max="18" width="11.42578125" customWidth="1"/>
    <col min="19" max="19" width="15.5703125" customWidth="1"/>
    <col min="20" max="20" width="15.140625" bestFit="1" customWidth="1"/>
    <col min="21" max="21" width="20" customWidth="1"/>
    <col min="22" max="22" width="17.7109375" customWidth="1"/>
    <col min="23" max="24" width="18.5703125" customWidth="1"/>
    <col min="25" max="25" width="19.5703125" customWidth="1"/>
    <col min="26" max="26" width="19.28515625" bestFit="1" customWidth="1"/>
    <col min="27" max="31" width="9.140625"/>
    <col min="32" max="32" width="18.28515625" bestFit="1" customWidth="1"/>
  </cols>
  <sheetData>
    <row r="1" spans="1:32" ht="53.25" customHeight="1">
      <c r="B1" s="11"/>
      <c r="C1" s="11"/>
      <c r="D1" s="141" t="s">
        <v>55</v>
      </c>
      <c r="E1" s="142"/>
      <c r="F1" s="132" t="s">
        <v>56</v>
      </c>
      <c r="G1" s="133"/>
      <c r="H1" s="133"/>
      <c r="I1" s="133"/>
      <c r="J1" s="133"/>
      <c r="K1" s="133"/>
      <c r="L1" s="133"/>
      <c r="M1" s="133"/>
      <c r="N1" s="134"/>
      <c r="O1" s="155" t="s">
        <v>57</v>
      </c>
      <c r="P1" s="156"/>
      <c r="Q1" s="156"/>
      <c r="R1" s="156"/>
      <c r="S1" s="156"/>
      <c r="T1" s="157"/>
      <c r="U1" s="158" t="s">
        <v>58</v>
      </c>
      <c r="V1" s="159"/>
      <c r="W1" s="159"/>
      <c r="X1" s="159"/>
      <c r="Y1" s="159"/>
      <c r="Z1" s="160"/>
      <c r="AA1" s="161" t="s">
        <v>65</v>
      </c>
      <c r="AB1" s="162"/>
      <c r="AC1" s="162"/>
      <c r="AD1" s="162"/>
      <c r="AE1" s="162"/>
      <c r="AF1" s="163"/>
    </row>
    <row r="2" spans="1:32" ht="41.25" customHeight="1">
      <c r="A2" s="1" t="s">
        <v>4</v>
      </c>
      <c r="B2" s="1" t="s">
        <v>5</v>
      </c>
      <c r="C2" s="1" t="s">
        <v>6</v>
      </c>
      <c r="D2" s="1" t="s">
        <v>0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59</v>
      </c>
      <c r="L2" s="1" t="s">
        <v>60</v>
      </c>
      <c r="M2" s="1" t="s">
        <v>61</v>
      </c>
      <c r="N2" s="1" t="s">
        <v>13</v>
      </c>
      <c r="O2" s="1" t="s">
        <v>8</v>
      </c>
      <c r="P2" s="1" t="s">
        <v>9</v>
      </c>
      <c r="Q2" s="1" t="s">
        <v>10</v>
      </c>
      <c r="R2" s="1" t="s">
        <v>11</v>
      </c>
      <c r="S2" s="1" t="s">
        <v>62</v>
      </c>
      <c r="T2" s="1" t="s">
        <v>13</v>
      </c>
      <c r="U2" s="1" t="s">
        <v>8</v>
      </c>
      <c r="V2" s="1" t="s">
        <v>9</v>
      </c>
      <c r="W2" s="1" t="s">
        <v>10</v>
      </c>
      <c r="X2" s="1" t="s">
        <v>11</v>
      </c>
      <c r="Y2" s="1" t="s">
        <v>12</v>
      </c>
      <c r="Z2" s="1" t="s">
        <v>13</v>
      </c>
      <c r="AA2" s="1" t="s">
        <v>8</v>
      </c>
      <c r="AB2" s="1" t="s">
        <v>9</v>
      </c>
      <c r="AC2" s="1" t="s">
        <v>10</v>
      </c>
      <c r="AD2" s="1" t="s">
        <v>11</v>
      </c>
      <c r="AE2" s="1" t="s">
        <v>12</v>
      </c>
      <c r="AF2" s="1" t="s">
        <v>13</v>
      </c>
    </row>
    <row r="3" spans="1:32" ht="36">
      <c r="A3" s="59">
        <v>1</v>
      </c>
      <c r="B3" s="5" t="s">
        <v>14</v>
      </c>
      <c r="C3" s="3">
        <v>30</v>
      </c>
      <c r="D3" s="68">
        <f>ROUND(AVERAGE(J3,S3,Y3,AE3),0)</f>
        <v>19668003</v>
      </c>
      <c r="E3" s="62">
        <f>+D3*C3</f>
        <v>590040090</v>
      </c>
      <c r="F3" s="2">
        <f>1750905*10.21</f>
        <v>17876740.050000001</v>
      </c>
      <c r="G3" s="2">
        <v>6300</v>
      </c>
      <c r="H3" s="2">
        <f>SUM(F3:G3)</f>
        <v>17883040.050000001</v>
      </c>
      <c r="I3" s="2">
        <f>H3*10%</f>
        <v>1788304.0050000001</v>
      </c>
      <c r="J3" s="2">
        <f>SUM(H3:I3)</f>
        <v>19671344.055</v>
      </c>
      <c r="K3" s="84" t="e">
        <f>ROUND(#REF!*10%,0)</f>
        <v>#REF!</v>
      </c>
      <c r="L3" s="84" t="e">
        <f>ROUND(K3*19%,0)</f>
        <v>#REF!</v>
      </c>
      <c r="M3" s="84" t="e">
        <f>+#REF!+L3</f>
        <v>#REF!</v>
      </c>
      <c r="N3" s="2">
        <f>+J3*C3</f>
        <v>590140321.64999998</v>
      </c>
      <c r="O3" s="2">
        <f>1750905*10.21</f>
        <v>17876740.050000001</v>
      </c>
      <c r="P3" s="2">
        <v>1500</v>
      </c>
      <c r="Q3" s="2">
        <f>SUM(O3:P3)</f>
        <v>17878240.050000001</v>
      </c>
      <c r="R3" s="2">
        <f>Q3*10%</f>
        <v>1787824.0050000001</v>
      </c>
      <c r="S3" s="2">
        <f>SUM(Q3:R3)</f>
        <v>19666064.055</v>
      </c>
      <c r="T3" s="2">
        <f>+S3*C3</f>
        <v>589981921.64999998</v>
      </c>
      <c r="U3" s="2">
        <f>1750905*10.21</f>
        <v>17876740.050000001</v>
      </c>
      <c r="V3" s="2">
        <v>3750</v>
      </c>
      <c r="W3" s="2">
        <f>SUM(U3:V3)</f>
        <v>17880490.050000001</v>
      </c>
      <c r="X3" s="2">
        <f>W3*10%</f>
        <v>1788049.0050000001</v>
      </c>
      <c r="Y3" s="2">
        <f>SUM(W3:X3)</f>
        <v>19668539.055</v>
      </c>
      <c r="Z3" s="2">
        <f>+Y3*C3</f>
        <v>590056171.64999998</v>
      </c>
      <c r="AA3" s="2">
        <f>1750905*10.21</f>
        <v>17876740.050000001</v>
      </c>
      <c r="AB3" s="97">
        <v>1500</v>
      </c>
      <c r="AC3" s="2">
        <f>SUM(AA3:AB3)</f>
        <v>17878240.050000001</v>
      </c>
      <c r="AD3" s="2">
        <f>AC3*10%</f>
        <v>1787824.0050000001</v>
      </c>
      <c r="AE3" s="2">
        <f>SUM(AC3:AD3)</f>
        <v>19666064.055</v>
      </c>
      <c r="AF3" s="2">
        <f>+AE3*C3</f>
        <v>589981921.64999998</v>
      </c>
    </row>
    <row r="4" spans="1:32" ht="36">
      <c r="A4" s="59">
        <v>2</v>
      </c>
      <c r="B4" s="5" t="s">
        <v>15</v>
      </c>
      <c r="C4" s="3">
        <v>3</v>
      </c>
      <c r="D4" s="68">
        <f>ROUND(AVERAGE(J4,S4,Y4,AE4),0)</f>
        <v>19310403</v>
      </c>
      <c r="E4" s="62">
        <f t="shared" ref="E4:E6" si="0">+D4*C4</f>
        <v>57931209</v>
      </c>
      <c r="F4" s="2">
        <f t="shared" ref="F4:F6" si="1">1750905*10.21</f>
        <v>17876740.050000001</v>
      </c>
      <c r="G4" s="2">
        <v>6300</v>
      </c>
      <c r="H4" s="2">
        <f>SUM(F4:G4)</f>
        <v>17883040.050000001</v>
      </c>
      <c r="I4" s="2">
        <f>H4*8%</f>
        <v>1430643.2040000001</v>
      </c>
      <c r="J4" s="2">
        <f>SUM(H4:I4)</f>
        <v>19313683.254000001</v>
      </c>
      <c r="K4" s="84" t="e">
        <f>ROUND(#REF!*10%,0)</f>
        <v>#REF!</v>
      </c>
      <c r="L4" s="84" t="e">
        <f t="shared" ref="L4:L6" si="2">ROUND(K4*19%,0)</f>
        <v>#REF!</v>
      </c>
      <c r="M4" s="84" t="e">
        <f>+#REF!+L4</f>
        <v>#REF!</v>
      </c>
      <c r="N4" s="2">
        <f t="shared" ref="N4:N6" si="3">+J4*C4</f>
        <v>57941049.762000002</v>
      </c>
      <c r="O4" s="2">
        <f t="shared" ref="O4:O6" si="4">1750905*10.21</f>
        <v>17876740.050000001</v>
      </c>
      <c r="P4" s="2">
        <v>1500</v>
      </c>
      <c r="Q4" s="2">
        <f>SUM(O4:P4)</f>
        <v>17878240.050000001</v>
      </c>
      <c r="R4" s="2">
        <f>Q4*8%</f>
        <v>1430259.2040000001</v>
      </c>
      <c r="S4" s="2">
        <f t="shared" ref="S4:S6" si="5">SUM(Q4:R4)</f>
        <v>19308499.254000001</v>
      </c>
      <c r="T4" s="2">
        <f t="shared" ref="T4:T5" si="6">+S4*C4</f>
        <v>57925497.762000002</v>
      </c>
      <c r="U4" s="2">
        <f t="shared" ref="U4:U6" si="7">1750905*10.21</f>
        <v>17876740.050000001</v>
      </c>
      <c r="V4" s="2">
        <v>3750</v>
      </c>
      <c r="W4" s="2">
        <f>SUM(U4:V4)</f>
        <v>17880490.050000001</v>
      </c>
      <c r="X4" s="2">
        <f>W4*8%</f>
        <v>1430439.2040000001</v>
      </c>
      <c r="Y4" s="2">
        <f>SUM(W4:X4)</f>
        <v>19310929.254000001</v>
      </c>
      <c r="Z4" s="2">
        <f t="shared" ref="Z4:Z6" si="8">+Y4*C4</f>
        <v>57932787.762000002</v>
      </c>
      <c r="AA4" s="2">
        <f t="shared" ref="AA4:AA6" si="9">1750905*10.21</f>
        <v>17876740.050000001</v>
      </c>
      <c r="AB4" s="97">
        <v>1500</v>
      </c>
      <c r="AC4" s="2">
        <f>SUM(AA4:AB4)</f>
        <v>17878240.050000001</v>
      </c>
      <c r="AD4" s="2">
        <f>AC4*8%</f>
        <v>1430259.2040000001</v>
      </c>
      <c r="AE4" s="2">
        <f>SUM(AC4:AD4)</f>
        <v>19308499.254000001</v>
      </c>
      <c r="AF4" s="2">
        <f t="shared" ref="AF4:AF6" si="10">+AE4*C4</f>
        <v>57925497.762000002</v>
      </c>
    </row>
    <row r="5" spans="1:32" ht="36">
      <c r="A5" s="59">
        <v>3</v>
      </c>
      <c r="B5" s="5" t="s">
        <v>16</v>
      </c>
      <c r="C5" s="3">
        <v>25</v>
      </c>
      <c r="D5" s="68">
        <f t="shared" ref="D5:D6" si="11">ROUND(AVERAGE(J5,S5,Y5,AE5),0)</f>
        <v>5759800</v>
      </c>
      <c r="E5" s="62">
        <f t="shared" si="0"/>
        <v>143995000</v>
      </c>
      <c r="F5" s="2">
        <f t="shared" si="1"/>
        <v>17876740.050000001</v>
      </c>
      <c r="G5" s="2">
        <v>6300</v>
      </c>
      <c r="H5" s="2">
        <f>SUM(F5:G5)*47.59%/30*20/13*12</f>
        <v>5237254.621412308</v>
      </c>
      <c r="I5" s="2">
        <f>H5*10%</f>
        <v>523725.46214123082</v>
      </c>
      <c r="J5" s="2">
        <f>SUM(H5:I5)</f>
        <v>5760980.0835535387</v>
      </c>
      <c r="K5" s="84" t="e">
        <f>ROUND(#REF!*10%,0)</f>
        <v>#REF!</v>
      </c>
      <c r="L5" s="84" t="e">
        <f t="shared" si="2"/>
        <v>#REF!</v>
      </c>
      <c r="M5" s="84" t="e">
        <f>+#REF!+L5</f>
        <v>#REF!</v>
      </c>
      <c r="N5" s="2">
        <f t="shared" si="3"/>
        <v>144024502.08883846</v>
      </c>
      <c r="O5" s="2">
        <f t="shared" si="4"/>
        <v>17876740.050000001</v>
      </c>
      <c r="P5" s="2">
        <v>1500</v>
      </c>
      <c r="Q5" s="2">
        <f>SUM(O5:P5)*47.59%/30*20/13*12</f>
        <v>5235848.8860276928</v>
      </c>
      <c r="R5" s="2">
        <f>Q5*10%</f>
        <v>523584.88860276929</v>
      </c>
      <c r="S5" s="2">
        <f t="shared" si="5"/>
        <v>5759433.7746304618</v>
      </c>
      <c r="T5" s="2">
        <f t="shared" si="6"/>
        <v>143985844.36576155</v>
      </c>
      <c r="U5" s="2">
        <f t="shared" si="7"/>
        <v>17876740.050000001</v>
      </c>
      <c r="V5" s="2">
        <v>1250</v>
      </c>
      <c r="W5" s="2">
        <f>SUM(U5:V5)*47.59%/30*20/13*12</f>
        <v>5235775.6706430772</v>
      </c>
      <c r="X5" s="2">
        <f>W5*10%</f>
        <v>523577.56706430775</v>
      </c>
      <c r="Y5" s="2">
        <f>SUM(W5:X5)</f>
        <v>5759353.2377073849</v>
      </c>
      <c r="Z5" s="2">
        <f t="shared" si="8"/>
        <v>143983830.94268462</v>
      </c>
      <c r="AA5" s="2">
        <f t="shared" si="9"/>
        <v>17876740.050000001</v>
      </c>
      <c r="AB5" s="97">
        <v>1500</v>
      </c>
      <c r="AC5" s="2">
        <f>SUM(AA5:AB5)*47.59%/30*20/13*12</f>
        <v>5235848.8860276928</v>
      </c>
      <c r="AD5" s="2">
        <f>AC5*10%</f>
        <v>523584.88860276929</v>
      </c>
      <c r="AE5" s="2">
        <f>SUM(AC5:AD5)</f>
        <v>5759433.7746304618</v>
      </c>
      <c r="AF5" s="2">
        <f t="shared" si="10"/>
        <v>143985844.36576155</v>
      </c>
    </row>
    <row r="6" spans="1:32" ht="60">
      <c r="A6" s="59">
        <v>4</v>
      </c>
      <c r="B6" s="5" t="s">
        <v>17</v>
      </c>
      <c r="C6" s="3">
        <v>3</v>
      </c>
      <c r="D6" s="68">
        <f t="shared" si="11"/>
        <v>5812162</v>
      </c>
      <c r="E6" s="62">
        <f t="shared" si="0"/>
        <v>17436486</v>
      </c>
      <c r="F6" s="2">
        <f t="shared" si="1"/>
        <v>17876740.050000001</v>
      </c>
      <c r="G6" s="2">
        <v>6300</v>
      </c>
      <c r="H6" s="2">
        <f>SUM(F6:G6)*47.59%/30*20/13*12</f>
        <v>5237254.621412308</v>
      </c>
      <c r="I6" s="2">
        <f>H6*11%</f>
        <v>576098.00835535384</v>
      </c>
      <c r="J6" s="2">
        <f>SUM(H6:I6)</f>
        <v>5813352.6297676619</v>
      </c>
      <c r="K6" s="84" t="e">
        <f>ROUND(#REF!*10%,0)</f>
        <v>#REF!</v>
      </c>
      <c r="L6" s="84" t="e">
        <f t="shared" si="2"/>
        <v>#REF!</v>
      </c>
      <c r="M6" s="84" t="e">
        <f>+#REF!+L6</f>
        <v>#REF!</v>
      </c>
      <c r="N6" s="2">
        <f t="shared" si="3"/>
        <v>17440057.889302984</v>
      </c>
      <c r="O6" s="2">
        <f t="shared" si="4"/>
        <v>17876740.050000001</v>
      </c>
      <c r="P6" s="2">
        <v>1500</v>
      </c>
      <c r="Q6" s="2">
        <f>SUM(O6:P6)*47.59%/30*20/13*12</f>
        <v>5235848.8860276928</v>
      </c>
      <c r="R6" s="2">
        <f>Q6*11%</f>
        <v>575943.37746304623</v>
      </c>
      <c r="S6" s="2">
        <f t="shared" si="5"/>
        <v>5811792.2634907393</v>
      </c>
      <c r="T6" s="2">
        <f>+S6*C6</f>
        <v>17435376.790472217</v>
      </c>
      <c r="U6" s="2">
        <f t="shared" si="7"/>
        <v>17876740.050000001</v>
      </c>
      <c r="V6" s="2">
        <v>1250</v>
      </c>
      <c r="W6" s="2">
        <f>SUM(U6:V6)*47.59%/30*20/13*12</f>
        <v>5235775.6706430772</v>
      </c>
      <c r="X6" s="2">
        <f>W6*11%</f>
        <v>575935.32377073856</v>
      </c>
      <c r="Y6" s="2">
        <f>SUM(W6:X6)</f>
        <v>5811710.9944138154</v>
      </c>
      <c r="Z6" s="2">
        <f t="shared" si="8"/>
        <v>17435132.983241446</v>
      </c>
      <c r="AA6" s="2">
        <f t="shared" si="9"/>
        <v>17876740.050000001</v>
      </c>
      <c r="AB6" s="97">
        <v>1500</v>
      </c>
      <c r="AC6" s="2">
        <f>SUM(AA6:AB6)*47.59%/30*20/13*12</f>
        <v>5235848.8860276928</v>
      </c>
      <c r="AD6" s="2">
        <f>AC6*11%</f>
        <v>575943.37746304623</v>
      </c>
      <c r="AE6" s="2">
        <f>SUM(AC6:AD6)</f>
        <v>5811792.2634907393</v>
      </c>
      <c r="AF6" s="2">
        <f t="shared" si="10"/>
        <v>17435376.790472217</v>
      </c>
    </row>
    <row r="7" spans="1:32">
      <c r="A7" s="143" t="s">
        <v>18</v>
      </c>
      <c r="B7" s="144"/>
      <c r="C7" s="144"/>
      <c r="D7" s="145"/>
      <c r="E7" s="69">
        <f>SUM(E3:E6)</f>
        <v>809402785</v>
      </c>
      <c r="N7" s="4">
        <f>SUM(N3:N6)</f>
        <v>809545931.39014137</v>
      </c>
      <c r="T7" s="4">
        <f>SUM(T3:T6)</f>
        <v>809328640.56823373</v>
      </c>
      <c r="Z7" s="4">
        <f>SUM(Z3:Z6)</f>
        <v>809407923.33792603</v>
      </c>
      <c r="AF7" s="4">
        <f>SUM(AF3:AF6)</f>
        <v>809328640.56823373</v>
      </c>
    </row>
    <row r="8" spans="1:32">
      <c r="A8" s="146" t="s">
        <v>19</v>
      </c>
      <c r="B8" s="147"/>
      <c r="C8" s="147"/>
      <c r="D8" s="148"/>
      <c r="E8" s="69">
        <f>ROUND(E7*10%,0)</f>
        <v>80940279</v>
      </c>
      <c r="N8" s="4">
        <f>ROUND(N7*10%,0)</f>
        <v>80954593</v>
      </c>
      <c r="T8" s="4">
        <f>ROUND(T7*10%,0)</f>
        <v>80932864</v>
      </c>
      <c r="Z8" s="4">
        <f>ROUND(Z7*10%,0)</f>
        <v>80940792</v>
      </c>
      <c r="AF8" s="4">
        <f>ROUND(AF7*10%,0)</f>
        <v>80932864</v>
      </c>
    </row>
    <row r="9" spans="1:32">
      <c r="A9" s="146" t="s">
        <v>20</v>
      </c>
      <c r="B9" s="147"/>
      <c r="C9" s="147"/>
      <c r="D9" s="148"/>
      <c r="E9" s="69">
        <f>ROUND(E8*19%,0)</f>
        <v>15378653</v>
      </c>
      <c r="N9" s="4">
        <f>ROUND(N8*19%,0)</f>
        <v>15381373</v>
      </c>
      <c r="T9" s="4">
        <f>ROUND(T8*19%,0)</f>
        <v>15377244</v>
      </c>
      <c r="Z9" s="4">
        <f>ROUND(Z8*19%,0)</f>
        <v>15378750</v>
      </c>
      <c r="AF9" s="4">
        <f>ROUND(AF8*19%,0)</f>
        <v>15377244</v>
      </c>
    </row>
    <row r="10" spans="1:32">
      <c r="A10" s="146" t="s">
        <v>21</v>
      </c>
      <c r="B10" s="147"/>
      <c r="C10" s="147"/>
      <c r="D10" s="148"/>
      <c r="E10" s="69">
        <f>+E7+E9</f>
        <v>824781438</v>
      </c>
      <c r="F10" s="6"/>
      <c r="G10" s="98"/>
      <c r="N10" s="4">
        <f>+N7+N9</f>
        <v>824927304.39014137</v>
      </c>
      <c r="T10" s="4">
        <f>+T7+T9</f>
        <v>824705884.56823373</v>
      </c>
      <c r="Z10" s="4">
        <f>+Z7+Z9</f>
        <v>824786673.33792603</v>
      </c>
      <c r="AF10" s="4">
        <f>+AF7+AF9</f>
        <v>824705884.56823373</v>
      </c>
    </row>
    <row r="11" spans="1:32"/>
  </sheetData>
  <mergeCells count="9">
    <mergeCell ref="A10:D10"/>
    <mergeCell ref="D1:E1"/>
    <mergeCell ref="F1:N1"/>
    <mergeCell ref="O1:T1"/>
    <mergeCell ref="U1:Z1"/>
    <mergeCell ref="AA1:AF1"/>
    <mergeCell ref="A7:D7"/>
    <mergeCell ref="A8:D8"/>
    <mergeCell ref="A9:D9"/>
  </mergeCells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20089-4E39-4D53-AB98-24CCC166385A}">
  <sheetPr>
    <tabColor theme="7" tint="0.79998168889431442"/>
  </sheetPr>
  <dimension ref="A1:AB11"/>
  <sheetViews>
    <sheetView zoomScaleNormal="100" workbookViewId="0">
      <selection activeCell="D3" sqref="D3:D6"/>
    </sheetView>
  </sheetViews>
  <sheetFormatPr defaultColWidth="11.42578125" defaultRowHeight="15" customHeight="1"/>
  <cols>
    <col min="2" max="2" width="27" customWidth="1"/>
    <col min="4" max="4" width="17" customWidth="1"/>
    <col min="5" max="5" width="17.7109375" customWidth="1"/>
    <col min="6" max="6" width="14.7109375" bestFit="1" customWidth="1"/>
    <col min="7" max="7" width="19.28515625" customWidth="1"/>
    <col min="8" max="8" width="17.5703125" bestFit="1" customWidth="1"/>
    <col min="9" max="9" width="14.42578125" customWidth="1"/>
    <col min="10" max="10" width="13.7109375" customWidth="1"/>
    <col min="11" max="13" width="13.7109375" hidden="1" customWidth="1"/>
    <col min="14" max="14" width="12.140625" customWidth="1"/>
    <col min="15" max="15" width="17.28515625" bestFit="1" customWidth="1"/>
    <col min="16" max="16" width="15.140625" customWidth="1"/>
    <col min="17" max="17" width="11.42578125" customWidth="1"/>
    <col min="18" max="18" width="15.5703125" customWidth="1"/>
    <col min="19" max="19" width="20" customWidth="1"/>
    <col min="20" max="20" width="17.7109375" customWidth="1"/>
    <col min="21" max="22" width="18.5703125" customWidth="1"/>
    <col min="23" max="23" width="19.5703125" customWidth="1"/>
  </cols>
  <sheetData>
    <row r="1" spans="1:28" ht="53.25" customHeight="1">
      <c r="B1" s="11"/>
      <c r="C1" s="11"/>
      <c r="D1" s="141" t="s">
        <v>55</v>
      </c>
      <c r="E1" s="142"/>
      <c r="F1" s="132" t="s">
        <v>56</v>
      </c>
      <c r="G1" s="133"/>
      <c r="H1" s="133"/>
      <c r="I1" s="133"/>
      <c r="J1" s="133"/>
      <c r="K1" s="133"/>
      <c r="L1" s="133"/>
      <c r="M1" s="133"/>
      <c r="N1" s="155" t="s">
        <v>57</v>
      </c>
      <c r="O1" s="156"/>
      <c r="P1" s="156"/>
      <c r="Q1" s="156"/>
      <c r="R1" s="156"/>
      <c r="S1" s="158" t="s">
        <v>58</v>
      </c>
      <c r="T1" s="159"/>
      <c r="U1" s="159"/>
      <c r="V1" s="159"/>
      <c r="W1" s="159"/>
      <c r="X1" s="161" t="s">
        <v>65</v>
      </c>
      <c r="Y1" s="162"/>
      <c r="Z1" s="162"/>
      <c r="AA1" s="162"/>
      <c r="AB1" s="162"/>
    </row>
    <row r="2" spans="1:28" ht="41.25" customHeight="1">
      <c r="A2" s="1" t="s">
        <v>4</v>
      </c>
      <c r="B2" s="1" t="s">
        <v>5</v>
      </c>
      <c r="C2" s="1" t="s">
        <v>6</v>
      </c>
      <c r="D2" s="1" t="s">
        <v>0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59</v>
      </c>
      <c r="L2" s="1" t="s">
        <v>60</v>
      </c>
      <c r="M2" s="1" t="s">
        <v>61</v>
      </c>
      <c r="N2" s="1" t="s">
        <v>8</v>
      </c>
      <c r="O2" s="1" t="s">
        <v>9</v>
      </c>
      <c r="P2" s="1" t="s">
        <v>10</v>
      </c>
      <c r="Q2" s="1" t="s">
        <v>11</v>
      </c>
      <c r="R2" s="1" t="s">
        <v>62</v>
      </c>
      <c r="S2" s="1" t="s">
        <v>8</v>
      </c>
      <c r="T2" s="1" t="s">
        <v>9</v>
      </c>
      <c r="U2" s="1" t="s">
        <v>10</v>
      </c>
      <c r="V2" s="1" t="s">
        <v>11</v>
      </c>
      <c r="W2" s="1" t="s">
        <v>12</v>
      </c>
      <c r="X2" s="1" t="s">
        <v>8</v>
      </c>
      <c r="Y2" s="1" t="s">
        <v>9</v>
      </c>
      <c r="Z2" s="1" t="s">
        <v>10</v>
      </c>
      <c r="AA2" s="1" t="s">
        <v>11</v>
      </c>
      <c r="AB2" s="1" t="s">
        <v>12</v>
      </c>
    </row>
    <row r="3" spans="1:28" ht="36">
      <c r="A3" s="59">
        <v>1</v>
      </c>
      <c r="B3" s="5" t="s">
        <v>14</v>
      </c>
      <c r="C3" s="3">
        <v>30</v>
      </c>
      <c r="D3" s="68">
        <f>ROUND(AVERAGE(J3,R3,W3,AB3),0)</f>
        <v>19668003</v>
      </c>
      <c r="E3" s="62">
        <f>+D3*C3</f>
        <v>590040090</v>
      </c>
      <c r="F3" s="2">
        <f>1750905*10.21</f>
        <v>17876740.050000001</v>
      </c>
      <c r="G3" s="2">
        <v>6300</v>
      </c>
      <c r="H3" s="2">
        <f>SUM(F3:G3)</f>
        <v>17883040.050000001</v>
      </c>
      <c r="I3" s="2">
        <f>H3*10%</f>
        <v>1788304.0050000001</v>
      </c>
      <c r="J3" s="2">
        <f>SUM(H3:I3)</f>
        <v>19671344.055</v>
      </c>
      <c r="K3" s="84" t="e">
        <f>ROUND(#REF!*10%,0)</f>
        <v>#REF!</v>
      </c>
      <c r="L3" s="84" t="e">
        <f>ROUND(K3*19%,0)</f>
        <v>#REF!</v>
      </c>
      <c r="M3" s="84" t="e">
        <f>+#REF!+L3</f>
        <v>#REF!</v>
      </c>
      <c r="N3" s="2">
        <f>1750905*10.21</f>
        <v>17876740.050000001</v>
      </c>
      <c r="O3" s="2">
        <v>1500</v>
      </c>
      <c r="P3" s="2">
        <f>SUM(N3:O3)</f>
        <v>17878240.050000001</v>
      </c>
      <c r="Q3" s="2">
        <f>P3*10%</f>
        <v>1787824.0050000001</v>
      </c>
      <c r="R3" s="2">
        <f>SUM(P3:Q3)</f>
        <v>19666064.055</v>
      </c>
      <c r="S3" s="2">
        <f>1750905*10.21</f>
        <v>17876740.050000001</v>
      </c>
      <c r="T3" s="2">
        <v>3750</v>
      </c>
      <c r="U3" s="2">
        <f>SUM(S3:T3)</f>
        <v>17880490.050000001</v>
      </c>
      <c r="V3" s="2">
        <f>U3*10%</f>
        <v>1788049.0050000001</v>
      </c>
      <c r="W3" s="2">
        <f>SUM(U3:V3)</f>
        <v>19668539.055</v>
      </c>
      <c r="X3" s="2">
        <f>1750905*10.21</f>
        <v>17876740.050000001</v>
      </c>
      <c r="Y3" s="97">
        <v>1500</v>
      </c>
      <c r="Z3" s="2">
        <f>SUM(X3:Y3)</f>
        <v>17878240.050000001</v>
      </c>
      <c r="AA3" s="2">
        <f>Z3*10%</f>
        <v>1787824.0050000001</v>
      </c>
      <c r="AB3" s="2">
        <f>SUM(Z3:AA3)</f>
        <v>19666064.055</v>
      </c>
    </row>
    <row r="4" spans="1:28" ht="36">
      <c r="A4" s="59">
        <v>2</v>
      </c>
      <c r="B4" s="5" t="s">
        <v>15</v>
      </c>
      <c r="C4" s="3">
        <v>3</v>
      </c>
      <c r="D4" s="68">
        <f t="shared" ref="D4:D6" si="0">ROUND(AVERAGE(J4,R4,W4,AB4),0)</f>
        <v>19310403</v>
      </c>
      <c r="E4" s="62">
        <f>+D4*C4</f>
        <v>57931209</v>
      </c>
      <c r="F4" s="2">
        <f t="shared" ref="F4:F6" si="1">1750905*10.21</f>
        <v>17876740.050000001</v>
      </c>
      <c r="G4" s="2">
        <v>6300</v>
      </c>
      <c r="H4" s="2">
        <f>SUM(F4:G4)</f>
        <v>17883040.050000001</v>
      </c>
      <c r="I4" s="2">
        <f>H4*8%</f>
        <v>1430643.2040000001</v>
      </c>
      <c r="J4" s="2">
        <f>SUM(H4:I4)</f>
        <v>19313683.254000001</v>
      </c>
      <c r="K4" s="84" t="e">
        <f>ROUND(#REF!*10%,0)</f>
        <v>#REF!</v>
      </c>
      <c r="L4" s="84" t="e">
        <f t="shared" ref="L4:L6" si="2">ROUND(K4*19%,0)</f>
        <v>#REF!</v>
      </c>
      <c r="M4" s="84" t="e">
        <f>+#REF!+L4</f>
        <v>#REF!</v>
      </c>
      <c r="N4" s="2">
        <f t="shared" ref="N4:N6" si="3">1750905*10.21</f>
        <v>17876740.050000001</v>
      </c>
      <c r="O4" s="2">
        <v>1500</v>
      </c>
      <c r="P4" s="2">
        <f>SUM(N4:O4)</f>
        <v>17878240.050000001</v>
      </c>
      <c r="Q4" s="2">
        <f>P4*8%</f>
        <v>1430259.2040000001</v>
      </c>
      <c r="R4" s="2">
        <f t="shared" ref="R4:R6" si="4">SUM(P4:Q4)</f>
        <v>19308499.254000001</v>
      </c>
      <c r="S4" s="2">
        <f t="shared" ref="S4:S6" si="5">1750905*10.21</f>
        <v>17876740.050000001</v>
      </c>
      <c r="T4" s="2">
        <v>3750</v>
      </c>
      <c r="U4" s="2">
        <f>SUM(S4:T4)</f>
        <v>17880490.050000001</v>
      </c>
      <c r="V4" s="2">
        <f>U4*8%</f>
        <v>1430439.2040000001</v>
      </c>
      <c r="W4" s="2">
        <f>SUM(U4:V4)</f>
        <v>19310929.254000001</v>
      </c>
      <c r="X4" s="2">
        <f t="shared" ref="X4:X6" si="6">1750905*10.21</f>
        <v>17876740.050000001</v>
      </c>
      <c r="Y4" s="97">
        <v>1500</v>
      </c>
      <c r="Z4" s="2">
        <f>SUM(X4:Y4)</f>
        <v>17878240.050000001</v>
      </c>
      <c r="AA4" s="2">
        <f>Z4*8%</f>
        <v>1430259.2040000001</v>
      </c>
      <c r="AB4" s="2">
        <f>SUM(Z4:AA4)</f>
        <v>19308499.254000001</v>
      </c>
    </row>
    <row r="5" spans="1:28" ht="36">
      <c r="A5" s="59">
        <v>3</v>
      </c>
      <c r="B5" s="5" t="s">
        <v>16</v>
      </c>
      <c r="C5" s="3">
        <v>25</v>
      </c>
      <c r="D5" s="68">
        <f t="shared" si="0"/>
        <v>5759800</v>
      </c>
      <c r="E5" s="62">
        <f>+D5*C5</f>
        <v>143995000</v>
      </c>
      <c r="F5" s="2">
        <f t="shared" si="1"/>
        <v>17876740.050000001</v>
      </c>
      <c r="G5" s="2">
        <v>6300</v>
      </c>
      <c r="H5" s="2">
        <f>SUM(F5:G5)*47.59%/30*20/13*12</f>
        <v>5237254.621412308</v>
      </c>
      <c r="I5" s="2">
        <f>H5*10%</f>
        <v>523725.46214123082</v>
      </c>
      <c r="J5" s="2">
        <f>SUM(H5:I5)</f>
        <v>5760980.0835535387</v>
      </c>
      <c r="K5" s="84" t="e">
        <f>ROUND(#REF!*10%,0)</f>
        <v>#REF!</v>
      </c>
      <c r="L5" s="84" t="e">
        <f t="shared" si="2"/>
        <v>#REF!</v>
      </c>
      <c r="M5" s="84" t="e">
        <f>+#REF!+L5</f>
        <v>#REF!</v>
      </c>
      <c r="N5" s="2">
        <f t="shared" si="3"/>
        <v>17876740.050000001</v>
      </c>
      <c r="O5" s="2">
        <v>1500</v>
      </c>
      <c r="P5" s="2">
        <f>SUM(N5:O5)*47.59%/30*20/13*12</f>
        <v>5235848.8860276928</v>
      </c>
      <c r="Q5" s="2">
        <f>P5*10%</f>
        <v>523584.88860276929</v>
      </c>
      <c r="R5" s="2">
        <f t="shared" si="4"/>
        <v>5759433.7746304618</v>
      </c>
      <c r="S5" s="2">
        <f t="shared" si="5"/>
        <v>17876740.050000001</v>
      </c>
      <c r="T5" s="2">
        <v>1250</v>
      </c>
      <c r="U5" s="2">
        <f>SUM(S5:T5)*47.59%/30*20/13*12</f>
        <v>5235775.6706430772</v>
      </c>
      <c r="V5" s="2">
        <f>U5*10%</f>
        <v>523577.56706430775</v>
      </c>
      <c r="W5" s="2">
        <f>SUM(U5:V5)</f>
        <v>5759353.2377073849</v>
      </c>
      <c r="X5" s="2">
        <f t="shared" si="6"/>
        <v>17876740.050000001</v>
      </c>
      <c r="Y5" s="97">
        <v>1500</v>
      </c>
      <c r="Z5" s="2">
        <f>SUM(X5:Y5)*47.59%/30*20/13*12</f>
        <v>5235848.8860276928</v>
      </c>
      <c r="AA5" s="2">
        <f>Z5*10%</f>
        <v>523584.88860276929</v>
      </c>
      <c r="AB5" s="2">
        <f>SUM(Z5:AA5)</f>
        <v>5759433.7746304618</v>
      </c>
    </row>
    <row r="6" spans="1:28" ht="60">
      <c r="A6" s="59">
        <v>4</v>
      </c>
      <c r="B6" s="5" t="s">
        <v>17</v>
      </c>
      <c r="C6" s="3">
        <v>3</v>
      </c>
      <c r="D6" s="68">
        <f t="shared" si="0"/>
        <v>5812162</v>
      </c>
      <c r="E6" s="62">
        <f>+D6*C6</f>
        <v>17436486</v>
      </c>
      <c r="F6" s="2">
        <f t="shared" si="1"/>
        <v>17876740.050000001</v>
      </c>
      <c r="G6" s="2">
        <v>6300</v>
      </c>
      <c r="H6" s="2">
        <f>SUM(F6:G6)*47.59%/30*20/13*12</f>
        <v>5237254.621412308</v>
      </c>
      <c r="I6" s="2">
        <f>H6*11%</f>
        <v>576098.00835535384</v>
      </c>
      <c r="J6" s="2">
        <f>SUM(H6:I6)</f>
        <v>5813352.6297676619</v>
      </c>
      <c r="K6" s="84" t="e">
        <f>ROUND(#REF!*10%,0)</f>
        <v>#REF!</v>
      </c>
      <c r="L6" s="84" t="e">
        <f t="shared" si="2"/>
        <v>#REF!</v>
      </c>
      <c r="M6" s="84" t="e">
        <f>+#REF!+L6</f>
        <v>#REF!</v>
      </c>
      <c r="N6" s="2">
        <f t="shared" si="3"/>
        <v>17876740.050000001</v>
      </c>
      <c r="O6" s="2">
        <v>1500</v>
      </c>
      <c r="P6" s="2">
        <f>SUM(N6:O6)*47.59%/30*20/13*12</f>
        <v>5235848.8860276928</v>
      </c>
      <c r="Q6" s="2">
        <f>P6*11%</f>
        <v>575943.37746304623</v>
      </c>
      <c r="R6" s="2">
        <f t="shared" si="4"/>
        <v>5811792.2634907393</v>
      </c>
      <c r="S6" s="2">
        <f t="shared" si="5"/>
        <v>17876740.050000001</v>
      </c>
      <c r="T6" s="2">
        <v>1250</v>
      </c>
      <c r="U6" s="2">
        <f>SUM(S6:T6)*47.59%/30*20/13*12</f>
        <v>5235775.6706430772</v>
      </c>
      <c r="V6" s="2">
        <f>U6*11%</f>
        <v>575935.32377073856</v>
      </c>
      <c r="W6" s="2">
        <f>SUM(U6:V6)</f>
        <v>5811710.9944138154</v>
      </c>
      <c r="X6" s="2">
        <f t="shared" si="6"/>
        <v>17876740.050000001</v>
      </c>
      <c r="Y6" s="97">
        <v>1500</v>
      </c>
      <c r="Z6" s="2">
        <f>SUM(X6:Y6)*47.59%/30*20/13*12</f>
        <v>5235848.8860276928</v>
      </c>
      <c r="AA6" s="2">
        <f>Z6*11%</f>
        <v>575943.37746304623</v>
      </c>
      <c r="AB6" s="2">
        <f>SUM(Z6:AA6)</f>
        <v>5811792.2634907393</v>
      </c>
    </row>
    <row r="7" spans="1:28">
      <c r="A7" s="143" t="s">
        <v>18</v>
      </c>
      <c r="B7" s="144"/>
      <c r="C7" s="144"/>
      <c r="D7" s="145"/>
      <c r="E7" s="69">
        <f>SUM(E3:E6)</f>
        <v>809402785</v>
      </c>
    </row>
    <row r="8" spans="1:28">
      <c r="A8" s="146" t="s">
        <v>19</v>
      </c>
      <c r="B8" s="147"/>
      <c r="C8" s="147"/>
      <c r="D8" s="148"/>
      <c r="E8" s="69">
        <f>ROUND(E7*10%,0)</f>
        <v>80940279</v>
      </c>
    </row>
    <row r="9" spans="1:28">
      <c r="A9" s="146" t="s">
        <v>20</v>
      </c>
      <c r="B9" s="147"/>
      <c r="C9" s="147"/>
      <c r="D9" s="148"/>
      <c r="E9" s="69">
        <f>ROUND(E8*19%,0)</f>
        <v>15378653</v>
      </c>
    </row>
    <row r="10" spans="1:28">
      <c r="A10" s="146" t="s">
        <v>21</v>
      </c>
      <c r="B10" s="147"/>
      <c r="C10" s="147"/>
      <c r="D10" s="148"/>
      <c r="E10" s="69">
        <f>+E7+E9</f>
        <v>824781438</v>
      </c>
      <c r="F10" s="6"/>
      <c r="G10" s="98"/>
    </row>
    <row r="11" spans="1:28"/>
  </sheetData>
  <mergeCells count="9">
    <mergeCell ref="A9:D9"/>
    <mergeCell ref="A10:D10"/>
    <mergeCell ref="D1:E1"/>
    <mergeCell ref="F1:M1"/>
    <mergeCell ref="N1:R1"/>
    <mergeCell ref="S1:W1"/>
    <mergeCell ref="X1:AB1"/>
    <mergeCell ref="A7:D7"/>
    <mergeCell ref="A8:D8"/>
  </mergeCells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C86D1-B075-4553-B2DD-03B93182B792}">
  <sheetPr>
    <tabColor theme="7" tint="0.79998168889431442"/>
  </sheetPr>
  <dimension ref="A1:I15"/>
  <sheetViews>
    <sheetView zoomScaleNormal="100" workbookViewId="0">
      <selection activeCell="D4" sqref="D4:D6"/>
    </sheetView>
  </sheetViews>
  <sheetFormatPr defaultColWidth="11.42578125" defaultRowHeight="15" customHeight="1"/>
  <cols>
    <col min="2" max="2" width="27" customWidth="1"/>
    <col min="4" max="4" width="17" customWidth="1"/>
    <col min="5" max="5" width="17.7109375" customWidth="1"/>
    <col min="6" max="6" width="14.7109375" bestFit="1" customWidth="1"/>
    <col min="7" max="7" width="17.5703125" bestFit="1" customWidth="1"/>
    <col min="8" max="8" width="13.7109375" customWidth="1"/>
    <col min="9" max="9" width="12.140625" customWidth="1"/>
    <col min="10" max="10" width="15.140625" customWidth="1"/>
    <col min="11" max="11" width="11.42578125" customWidth="1"/>
    <col min="12" max="12" width="15.5703125" customWidth="1"/>
    <col min="13" max="13" width="15.140625" bestFit="1" customWidth="1"/>
    <col min="14" max="14" width="20" customWidth="1"/>
    <col min="15" max="15" width="17.7109375" customWidth="1"/>
    <col min="16" max="17" width="18.5703125" customWidth="1"/>
    <col min="18" max="18" width="19.5703125" customWidth="1"/>
    <col min="19" max="19" width="19.28515625" bestFit="1" customWidth="1"/>
    <col min="25" max="25" width="18.28515625" bestFit="1" customWidth="1"/>
  </cols>
  <sheetData>
    <row r="1" spans="1:9"/>
    <row r="2" spans="1:9" ht="34.5" customHeight="1">
      <c r="A2" s="86"/>
      <c r="B2" s="86"/>
      <c r="C2" s="86"/>
      <c r="D2" s="154" t="s">
        <v>22</v>
      </c>
      <c r="E2" s="154"/>
      <c r="F2" s="103" t="s">
        <v>24</v>
      </c>
      <c r="G2" s="103" t="s">
        <v>63</v>
      </c>
      <c r="H2" s="103" t="s">
        <v>64</v>
      </c>
      <c r="I2" s="103" t="s">
        <v>23</v>
      </c>
    </row>
    <row r="3" spans="1:9">
      <c r="A3" s="87" t="s">
        <v>4</v>
      </c>
      <c r="B3" s="87" t="s">
        <v>5</v>
      </c>
      <c r="C3" s="87" t="s">
        <v>6</v>
      </c>
      <c r="D3" s="87" t="s">
        <v>8</v>
      </c>
      <c r="E3" s="87" t="s">
        <v>13</v>
      </c>
      <c r="F3" s="87" t="s">
        <v>8</v>
      </c>
      <c r="G3" s="87" t="s">
        <v>8</v>
      </c>
      <c r="H3" s="87" t="s">
        <v>8</v>
      </c>
      <c r="I3" s="87" t="s">
        <v>8</v>
      </c>
    </row>
    <row r="4" spans="1:9" ht="84">
      <c r="A4" s="88" t="s">
        <v>66</v>
      </c>
      <c r="B4" s="89" t="s">
        <v>26</v>
      </c>
      <c r="C4" s="90">
        <v>6</v>
      </c>
      <c r="D4" s="91">
        <f>ROUND(AVERAGE(F4,G4,H4,I4),0)</f>
        <v>810169</v>
      </c>
      <c r="E4" s="91">
        <f>+D4*C4</f>
        <v>4861014</v>
      </c>
      <c r="F4" s="92">
        <v>951944</v>
      </c>
      <c r="G4" s="92">
        <v>940000</v>
      </c>
      <c r="H4" s="92">
        <v>550547</v>
      </c>
      <c r="I4" s="92">
        <v>798186</v>
      </c>
    </row>
    <row r="5" spans="1:9" ht="48">
      <c r="A5" s="88">
        <v>2</v>
      </c>
      <c r="B5" s="89" t="s">
        <v>27</v>
      </c>
      <c r="C5" s="90">
        <v>4</v>
      </c>
      <c r="D5" s="91">
        <f>ROUND(AVERAGE(F5,G5,H5,I5),0)</f>
        <v>627055</v>
      </c>
      <c r="E5" s="91">
        <f>+D5*C5</f>
        <v>2508220</v>
      </c>
      <c r="F5" s="92">
        <v>525131</v>
      </c>
      <c r="G5" s="92">
        <v>980000</v>
      </c>
      <c r="H5" s="92">
        <v>409457</v>
      </c>
      <c r="I5" s="92">
        <v>593633</v>
      </c>
    </row>
    <row r="6" spans="1:9" ht="36">
      <c r="A6" s="88">
        <v>3</v>
      </c>
      <c r="B6" s="89" t="s">
        <v>28</v>
      </c>
      <c r="C6" s="90">
        <v>2</v>
      </c>
      <c r="D6" s="91">
        <f>ROUND(AVERAGE(F6,G6,H6,I6),0)</f>
        <v>586926</v>
      </c>
      <c r="E6" s="91">
        <f>+D6*C6</f>
        <v>1173852</v>
      </c>
      <c r="F6" s="92">
        <v>441848</v>
      </c>
      <c r="G6" s="92">
        <v>980000</v>
      </c>
      <c r="H6" s="92">
        <v>377930</v>
      </c>
      <c r="I6" s="92">
        <v>547926</v>
      </c>
    </row>
    <row r="7" spans="1:9" ht="48">
      <c r="A7" s="93" t="s">
        <v>30</v>
      </c>
      <c r="B7" s="93"/>
      <c r="C7" s="93"/>
      <c r="D7" s="94"/>
      <c r="E7" s="95">
        <f>SUM(E4:E6)</f>
        <v>8543086</v>
      </c>
      <c r="F7" s="93"/>
      <c r="G7" s="85"/>
      <c r="H7" s="96"/>
      <c r="I7" s="85"/>
    </row>
    <row r="8" spans="1:9" ht="36">
      <c r="A8" s="93" t="s">
        <v>31</v>
      </c>
      <c r="B8" s="93"/>
      <c r="C8" s="93"/>
      <c r="D8" s="94"/>
      <c r="E8" s="95">
        <f>E7*19%</f>
        <v>1623186.34</v>
      </c>
      <c r="F8" s="93"/>
      <c r="G8" s="85"/>
      <c r="H8" s="96"/>
      <c r="I8" s="85"/>
    </row>
    <row r="9" spans="1:9">
      <c r="A9" s="93" t="s">
        <v>21</v>
      </c>
      <c r="B9" s="93"/>
      <c r="C9" s="93"/>
      <c r="D9" s="94"/>
      <c r="E9" s="95">
        <f>+E7+E8</f>
        <v>10166272.34</v>
      </c>
      <c r="F9" s="93"/>
      <c r="G9" s="85"/>
      <c r="H9" s="96"/>
      <c r="I9" s="85"/>
    </row>
    <row r="10" spans="1:9"/>
    <row r="11" spans="1:9"/>
    <row r="12" spans="1:9"/>
    <row r="15" spans="1:9"/>
  </sheetData>
  <mergeCells count="1">
    <mergeCell ref="D2:E2"/>
  </mergeCells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A65FB-72D9-44BF-A119-21B84F0894F5}">
  <sheetPr>
    <tabColor theme="7" tint="0.79998168889431442"/>
  </sheetPr>
  <dimension ref="A1:E20"/>
  <sheetViews>
    <sheetView topLeftCell="A2" workbookViewId="0">
      <selection activeCell="I9" sqref="I9"/>
    </sheetView>
  </sheetViews>
  <sheetFormatPr defaultColWidth="11.42578125" defaultRowHeight="15"/>
  <cols>
    <col min="2" max="2" width="37.7109375" customWidth="1"/>
    <col min="4" max="4" width="19.42578125" customWidth="1"/>
    <col min="5" max="5" width="20.42578125" customWidth="1"/>
  </cols>
  <sheetData>
    <row r="1" spans="1:5" ht="18.75">
      <c r="A1" s="118" t="s">
        <v>67</v>
      </c>
      <c r="B1" s="118"/>
      <c r="C1" s="118"/>
      <c r="D1" s="118"/>
      <c r="E1" s="118"/>
    </row>
    <row r="2" spans="1:5" ht="74.25" customHeight="1">
      <c r="A2" s="119" t="s">
        <v>68</v>
      </c>
      <c r="B2" s="119"/>
      <c r="C2" s="119"/>
      <c r="D2" s="119"/>
      <c r="E2" s="119"/>
    </row>
    <row r="3" spans="1:5" ht="33" customHeight="1">
      <c r="A3" s="1" t="s">
        <v>4</v>
      </c>
      <c r="B3" s="1" t="s">
        <v>5</v>
      </c>
      <c r="C3" s="1" t="s">
        <v>6</v>
      </c>
      <c r="D3" s="1" t="s">
        <v>55</v>
      </c>
      <c r="E3" s="1" t="s">
        <v>7</v>
      </c>
    </row>
    <row r="4" spans="1:5" ht="20.25" customHeight="1">
      <c r="A4" s="113" t="s">
        <v>69</v>
      </c>
      <c r="B4" s="113"/>
      <c r="C4" s="113"/>
      <c r="D4" s="113"/>
      <c r="E4" s="113"/>
    </row>
    <row r="5" spans="1:5" ht="59.25" customHeight="1">
      <c r="A5" s="88" t="s">
        <v>66</v>
      </c>
      <c r="B5" s="89" t="s">
        <v>26</v>
      </c>
      <c r="C5" s="110">
        <v>6</v>
      </c>
      <c r="D5" s="91">
        <v>810169</v>
      </c>
      <c r="E5" s="91">
        <f>ROUNDUP(D5*C5,0)</f>
        <v>4861014</v>
      </c>
    </row>
    <row r="6" spans="1:5" ht="41.25">
      <c r="A6" s="88">
        <v>2</v>
      </c>
      <c r="B6" s="89" t="s">
        <v>27</v>
      </c>
      <c r="C6" s="110">
        <v>4</v>
      </c>
      <c r="D6" s="91">
        <v>627055</v>
      </c>
      <c r="E6" s="91">
        <f t="shared" ref="E6:E7" si="0">ROUNDUP(D6*C6,0)</f>
        <v>2508220</v>
      </c>
    </row>
    <row r="7" spans="1:5" ht="41.25">
      <c r="A7" s="88">
        <v>3</v>
      </c>
      <c r="B7" s="89" t="s">
        <v>28</v>
      </c>
      <c r="C7" s="110">
        <v>2</v>
      </c>
      <c r="D7" s="91">
        <v>586926</v>
      </c>
      <c r="E7" s="91">
        <f t="shared" si="0"/>
        <v>1173852</v>
      </c>
    </row>
    <row r="8" spans="1:5" ht="15" customHeight="1">
      <c r="A8" s="123" t="s">
        <v>70</v>
      </c>
      <c r="B8" s="124"/>
      <c r="C8" s="124"/>
      <c r="D8" s="125"/>
      <c r="E8" s="105">
        <f>SUM(E5:E7)</f>
        <v>8543086</v>
      </c>
    </row>
    <row r="9" spans="1:5">
      <c r="A9" s="123" t="s">
        <v>31</v>
      </c>
      <c r="B9" s="124"/>
      <c r="C9" s="125"/>
      <c r="D9" s="104">
        <v>0.19</v>
      </c>
      <c r="E9" s="105">
        <f>ROUNDUP(E8*D9,0)</f>
        <v>1623187</v>
      </c>
    </row>
    <row r="10" spans="1:5">
      <c r="A10" s="126" t="s">
        <v>71</v>
      </c>
      <c r="B10" s="127"/>
      <c r="C10" s="127"/>
      <c r="D10" s="128"/>
      <c r="E10" s="105">
        <f>+E8+E9</f>
        <v>10166273</v>
      </c>
    </row>
    <row r="11" spans="1:5">
      <c r="A11" s="120" t="s">
        <v>72</v>
      </c>
      <c r="B11" s="121"/>
      <c r="C11" s="121"/>
      <c r="D11" s="121"/>
      <c r="E11" s="122"/>
    </row>
    <row r="12" spans="1:5" ht="27.75">
      <c r="A12" s="59">
        <v>1</v>
      </c>
      <c r="B12" s="5" t="s">
        <v>14</v>
      </c>
      <c r="C12" s="111">
        <v>30</v>
      </c>
      <c r="D12" s="91">
        <v>19668003</v>
      </c>
      <c r="E12" s="91">
        <f>ROUNDUP(D12*C12,0)</f>
        <v>590040090</v>
      </c>
    </row>
    <row r="13" spans="1:5" ht="27.75">
      <c r="A13" s="59">
        <v>2</v>
      </c>
      <c r="B13" s="5" t="s">
        <v>15</v>
      </c>
      <c r="C13" s="111">
        <v>3</v>
      </c>
      <c r="D13" s="91">
        <v>19310403</v>
      </c>
      <c r="E13" s="91">
        <f t="shared" ref="E13:E15" si="1">ROUNDUP(D13*C13,0)</f>
        <v>57931209</v>
      </c>
    </row>
    <row r="14" spans="1:5" ht="41.25">
      <c r="A14" s="59">
        <v>3</v>
      </c>
      <c r="B14" s="5" t="s">
        <v>16</v>
      </c>
      <c r="C14" s="111">
        <v>25</v>
      </c>
      <c r="D14" s="91">
        <v>5759800</v>
      </c>
      <c r="E14" s="91">
        <f t="shared" si="1"/>
        <v>143995000</v>
      </c>
    </row>
    <row r="15" spans="1:5" ht="54.75">
      <c r="A15" s="106">
        <v>4</v>
      </c>
      <c r="B15" s="107" t="s">
        <v>17</v>
      </c>
      <c r="C15" s="112">
        <v>3</v>
      </c>
      <c r="D15" s="108">
        <v>5812162</v>
      </c>
      <c r="E15" s="91">
        <f t="shared" si="1"/>
        <v>17436486</v>
      </c>
    </row>
    <row r="16" spans="1:5" ht="15" customHeight="1">
      <c r="A16" s="114" t="s">
        <v>18</v>
      </c>
      <c r="B16" s="114"/>
      <c r="C16" s="114"/>
      <c r="D16" s="114"/>
      <c r="E16" s="69">
        <f>SUM(E12:E15)</f>
        <v>809402785</v>
      </c>
    </row>
    <row r="17" spans="1:5" ht="15" customHeight="1">
      <c r="A17" s="114" t="s">
        <v>19</v>
      </c>
      <c r="B17" s="114"/>
      <c r="C17" s="114"/>
      <c r="D17" s="109">
        <v>0.1</v>
      </c>
      <c r="E17" s="69">
        <f>ROUNDUP(E16*D17,0)</f>
        <v>80940279</v>
      </c>
    </row>
    <row r="18" spans="1:5" ht="15" customHeight="1">
      <c r="A18" s="115" t="s">
        <v>20</v>
      </c>
      <c r="B18" s="116"/>
      <c r="C18" s="117"/>
      <c r="D18" s="109">
        <v>0.19</v>
      </c>
      <c r="E18" s="69">
        <f>ROUNDUP(E17*D18,0)</f>
        <v>15378654</v>
      </c>
    </row>
    <row r="19" spans="1:5">
      <c r="A19" s="114" t="s">
        <v>73</v>
      </c>
      <c r="B19" s="114"/>
      <c r="C19" s="114"/>
      <c r="D19" s="114"/>
      <c r="E19" s="69">
        <f>+E16+E18</f>
        <v>824781439</v>
      </c>
    </row>
    <row r="20" spans="1:5">
      <c r="A20" s="114" t="s">
        <v>74</v>
      </c>
      <c r="B20" s="114"/>
      <c r="C20" s="114"/>
      <c r="D20" s="114"/>
      <c r="E20" s="69">
        <f>+E10+E19</f>
        <v>834947712</v>
      </c>
    </row>
  </sheetData>
  <mergeCells count="12">
    <mergeCell ref="A4:E4"/>
    <mergeCell ref="A17:C17"/>
    <mergeCell ref="A18:C18"/>
    <mergeCell ref="A20:D20"/>
    <mergeCell ref="A1:E1"/>
    <mergeCell ref="A2:E2"/>
    <mergeCell ref="A16:D16"/>
    <mergeCell ref="A19:D19"/>
    <mergeCell ref="A11:E11"/>
    <mergeCell ref="A9:C9"/>
    <mergeCell ref="A10:D10"/>
    <mergeCell ref="A8:D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685F1-971E-45BE-830E-677D5FEE4BB0}">
  <dimension ref="A1:P15"/>
  <sheetViews>
    <sheetView zoomScaleNormal="100" workbookViewId="0">
      <selection activeCell="G8" sqref="G8"/>
    </sheetView>
  </sheetViews>
  <sheetFormatPr defaultColWidth="11.42578125" defaultRowHeight="15" customHeight="1"/>
  <cols>
    <col min="2" max="2" width="27" customWidth="1"/>
    <col min="3" max="3" width="9.140625"/>
    <col min="4" max="4" width="17" customWidth="1"/>
    <col min="5" max="5" width="17.7109375" customWidth="1"/>
    <col min="6" max="6" width="14.7109375" bestFit="1" customWidth="1"/>
    <col min="7" max="7" width="19.28515625" customWidth="1"/>
    <col min="8" max="8" width="17.5703125" bestFit="1" customWidth="1"/>
    <col min="9" max="9" width="14.42578125" customWidth="1"/>
    <col min="10" max="10" width="13.7109375" customWidth="1"/>
    <col min="11" max="13" width="13.7109375" hidden="1" customWidth="1"/>
    <col min="14" max="14" width="14.140625" customWidth="1"/>
    <col min="15" max="15" width="12.140625" customWidth="1"/>
    <col min="16" max="16" width="17.28515625" bestFit="1" customWidth="1"/>
    <col min="17" max="17" width="15.140625" customWidth="1"/>
    <col min="18" max="18" width="11.42578125" customWidth="1"/>
    <col min="19" max="19" width="15.5703125" customWidth="1"/>
    <col min="20" max="20" width="15.140625" bestFit="1" customWidth="1"/>
    <col min="21" max="21" width="20" customWidth="1"/>
    <col min="22" max="22" width="17.7109375" customWidth="1"/>
    <col min="23" max="24" width="18.5703125" customWidth="1"/>
    <col min="25" max="25" width="19.5703125" customWidth="1"/>
    <col min="26" max="26" width="19.28515625" bestFit="1" customWidth="1"/>
    <col min="27" max="31" width="9.140625"/>
    <col min="32" max="32" width="18.28515625" bestFit="1" customWidth="1"/>
  </cols>
  <sheetData>
    <row r="1" spans="1:16"/>
    <row r="2" spans="1:16" ht="34.5" customHeight="1">
      <c r="A2" s="86"/>
      <c r="B2" s="86"/>
      <c r="C2" s="86"/>
      <c r="D2" s="154" t="s">
        <v>22</v>
      </c>
      <c r="E2" s="154"/>
      <c r="F2" s="154" t="s">
        <v>24</v>
      </c>
      <c r="G2" s="154"/>
      <c r="H2" s="154" t="s">
        <v>63</v>
      </c>
      <c r="I2" s="154"/>
      <c r="J2" s="154" t="s">
        <v>64</v>
      </c>
      <c r="K2" s="154"/>
      <c r="L2" s="154"/>
      <c r="M2" s="154"/>
      <c r="N2" s="154"/>
      <c r="O2" s="154" t="s">
        <v>23</v>
      </c>
      <c r="P2" s="154"/>
    </row>
    <row r="3" spans="1:16" ht="24">
      <c r="A3" s="87" t="s">
        <v>4</v>
      </c>
      <c r="B3" s="87" t="s">
        <v>5</v>
      </c>
      <c r="C3" s="87" t="s">
        <v>6</v>
      </c>
      <c r="D3" s="87" t="s">
        <v>8</v>
      </c>
      <c r="E3" s="87" t="s">
        <v>13</v>
      </c>
      <c r="F3" s="87" t="s">
        <v>8</v>
      </c>
      <c r="G3" s="87" t="s">
        <v>13</v>
      </c>
      <c r="H3" s="87" t="s">
        <v>8</v>
      </c>
      <c r="I3" s="87" t="s">
        <v>13</v>
      </c>
      <c r="J3" s="87" t="s">
        <v>8</v>
      </c>
      <c r="K3" s="87" t="s">
        <v>13</v>
      </c>
      <c r="L3" s="85"/>
      <c r="M3" s="85"/>
      <c r="N3" s="87" t="s">
        <v>13</v>
      </c>
      <c r="O3" s="87" t="s">
        <v>8</v>
      </c>
      <c r="P3" s="87" t="s">
        <v>13</v>
      </c>
    </row>
    <row r="4" spans="1:16" ht="84">
      <c r="A4" s="88">
        <v>1</v>
      </c>
      <c r="B4" s="89" t="s">
        <v>26</v>
      </c>
      <c r="C4" s="90">
        <v>6</v>
      </c>
      <c r="D4" s="91">
        <f>ROUND(AVERAGE(F4,H4,J4,O4),0)</f>
        <v>810169</v>
      </c>
      <c r="E4" s="91">
        <f>+D4*C4</f>
        <v>4861014</v>
      </c>
      <c r="F4" s="92">
        <v>951944</v>
      </c>
      <c r="G4" s="90">
        <f>F4*C4</f>
        <v>5711664</v>
      </c>
      <c r="H4" s="92">
        <v>940000</v>
      </c>
      <c r="I4" s="92">
        <f>+H4*C4</f>
        <v>5640000</v>
      </c>
      <c r="J4" s="92">
        <v>550547</v>
      </c>
      <c r="K4" s="92">
        <f>J4*C4</f>
        <v>3303282</v>
      </c>
      <c r="L4" s="85"/>
      <c r="M4" s="85"/>
      <c r="N4" s="92">
        <f>+J4*C4</f>
        <v>3303282</v>
      </c>
      <c r="O4" s="92">
        <v>798186</v>
      </c>
      <c r="P4" s="92">
        <f>+O4*C4</f>
        <v>4789116</v>
      </c>
    </row>
    <row r="5" spans="1:16" ht="48">
      <c r="A5" s="88">
        <v>2</v>
      </c>
      <c r="B5" s="89" t="s">
        <v>27</v>
      </c>
      <c r="C5" s="90">
        <v>4</v>
      </c>
      <c r="D5" s="91">
        <f t="shared" ref="D5:D6" si="0">ROUND(AVERAGE(F5,H5,J5,O5),0)</f>
        <v>627055</v>
      </c>
      <c r="E5" s="91">
        <f>+D5*C5</f>
        <v>2508220</v>
      </c>
      <c r="F5" s="92">
        <v>525131</v>
      </c>
      <c r="G5" s="90">
        <f>F5*C5</f>
        <v>2100524</v>
      </c>
      <c r="H5" s="92">
        <v>980000</v>
      </c>
      <c r="I5" s="92">
        <f>+H5*C5</f>
        <v>3920000</v>
      </c>
      <c r="J5" s="92">
        <v>409457</v>
      </c>
      <c r="K5" s="92">
        <f t="shared" ref="K5:K6" si="1">J5*C5</f>
        <v>1637828</v>
      </c>
      <c r="L5" s="85"/>
      <c r="M5" s="85"/>
      <c r="N5" s="92">
        <f>+J5*C5</f>
        <v>1637828</v>
      </c>
      <c r="O5" s="92">
        <v>593633</v>
      </c>
      <c r="P5" s="92">
        <f>+O5*C5</f>
        <v>2374532</v>
      </c>
    </row>
    <row r="6" spans="1:16" ht="36">
      <c r="A6" s="88">
        <v>3</v>
      </c>
      <c r="B6" s="89" t="s">
        <v>28</v>
      </c>
      <c r="C6" s="90">
        <v>2</v>
      </c>
      <c r="D6" s="91">
        <f t="shared" si="0"/>
        <v>586926</v>
      </c>
      <c r="E6" s="91">
        <f>+D6*C6</f>
        <v>1173852</v>
      </c>
      <c r="F6" s="92">
        <v>441848</v>
      </c>
      <c r="G6" s="90">
        <f>F6*C6</f>
        <v>883696</v>
      </c>
      <c r="H6" s="92">
        <v>980000</v>
      </c>
      <c r="I6" s="92">
        <f>+H6*C6</f>
        <v>1960000</v>
      </c>
      <c r="J6" s="92">
        <v>377930</v>
      </c>
      <c r="K6" s="92">
        <f t="shared" si="1"/>
        <v>755860</v>
      </c>
      <c r="L6" s="85"/>
      <c r="M6" s="85"/>
      <c r="N6" s="92">
        <f>+J6*C6</f>
        <v>755860</v>
      </c>
      <c r="O6" s="92">
        <v>547926</v>
      </c>
      <c r="P6" s="92">
        <f>+O6*C6</f>
        <v>1095852</v>
      </c>
    </row>
    <row r="7" spans="1:16" ht="48">
      <c r="A7" s="93" t="s">
        <v>30</v>
      </c>
      <c r="B7" s="93"/>
      <c r="C7" s="93"/>
      <c r="D7" s="94"/>
      <c r="E7" s="95">
        <f>SUM(E4:E6)</f>
        <v>8543086</v>
      </c>
      <c r="F7" s="93"/>
      <c r="G7" s="96">
        <f>SUM(G4:G6)</f>
        <v>8695884</v>
      </c>
      <c r="H7" s="85"/>
      <c r="I7" s="96">
        <f>SUM(I4:I6)</f>
        <v>11520000</v>
      </c>
      <c r="J7" s="96"/>
      <c r="K7" s="96">
        <f>SUM(K4:K6)</f>
        <v>5696970</v>
      </c>
      <c r="L7" s="85"/>
      <c r="M7" s="85"/>
      <c r="N7" s="96">
        <f>SUM(N4:N6)</f>
        <v>5696970</v>
      </c>
      <c r="O7" s="85"/>
      <c r="P7" s="96">
        <f>SUM(P4:P6)</f>
        <v>8259500</v>
      </c>
    </row>
    <row r="8" spans="1:16" ht="36">
      <c r="A8" s="93" t="s">
        <v>31</v>
      </c>
      <c r="B8" s="93"/>
      <c r="C8" s="93"/>
      <c r="D8" s="94"/>
      <c r="E8" s="95">
        <f>E7*19%</f>
        <v>1623186.34</v>
      </c>
      <c r="F8" s="93"/>
      <c r="G8" s="96">
        <f>G7*19%</f>
        <v>1652217.96</v>
      </c>
      <c r="H8" s="85"/>
      <c r="I8" s="96">
        <f>I7*19%</f>
        <v>2188800</v>
      </c>
      <c r="J8" s="96"/>
      <c r="K8" s="96">
        <f>K7*19%</f>
        <v>1082424.3</v>
      </c>
      <c r="L8" s="85"/>
      <c r="M8" s="85"/>
      <c r="N8" s="96">
        <f>N7*19%</f>
        <v>1082424.3</v>
      </c>
      <c r="O8" s="85"/>
      <c r="P8" s="96">
        <f>P7*19%</f>
        <v>1569305</v>
      </c>
    </row>
    <row r="9" spans="1:16">
      <c r="A9" s="93" t="s">
        <v>21</v>
      </c>
      <c r="B9" s="93"/>
      <c r="C9" s="93"/>
      <c r="D9" s="94"/>
      <c r="E9" s="95">
        <f>+E7+E8</f>
        <v>10166272.34</v>
      </c>
      <c r="F9" s="93"/>
      <c r="G9" s="96">
        <f>+G7+G8</f>
        <v>10348101.960000001</v>
      </c>
      <c r="H9" s="85"/>
      <c r="I9" s="96">
        <f>+I7+I8</f>
        <v>13708800</v>
      </c>
      <c r="J9" s="96"/>
      <c r="K9" s="96">
        <f>+K7+K8</f>
        <v>6779394.2999999998</v>
      </c>
      <c r="L9" s="85"/>
      <c r="M9" s="85"/>
      <c r="N9" s="96">
        <f>+N7+N8</f>
        <v>6779394.2999999998</v>
      </c>
      <c r="O9" s="85"/>
      <c r="P9" s="96">
        <f>+P7+P8</f>
        <v>9828805</v>
      </c>
    </row>
    <row r="10" spans="1:16"/>
    <row r="11" spans="1:16"/>
    <row r="12" spans="1:16">
      <c r="G12" s="43"/>
      <c r="I12" s="6"/>
      <c r="N12" s="6"/>
    </row>
    <row r="13" spans="1:16" ht="15" customHeight="1">
      <c r="I13" s="6"/>
      <c r="N13" s="6"/>
    </row>
    <row r="14" spans="1:16" ht="15" customHeight="1">
      <c r="I14" s="6"/>
      <c r="N14" s="6"/>
    </row>
    <row r="15" spans="1:16">
      <c r="G15" s="43"/>
    </row>
  </sheetData>
  <mergeCells count="5">
    <mergeCell ref="J2:N2"/>
    <mergeCell ref="O2:P2"/>
    <mergeCell ref="D2:E2"/>
    <mergeCell ref="F2:G2"/>
    <mergeCell ref="H2:I2"/>
  </mergeCells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9E9CC-95A4-4DD8-AFA0-18BE78F1F4A1}">
  <dimension ref="A1:AF25"/>
  <sheetViews>
    <sheetView zoomScaleNormal="100" workbookViewId="0">
      <selection activeCell="G10" sqref="G10"/>
    </sheetView>
  </sheetViews>
  <sheetFormatPr defaultColWidth="11.42578125" defaultRowHeight="15" customHeight="1"/>
  <cols>
    <col min="2" max="2" width="27" customWidth="1"/>
    <col min="3" max="3" width="9.140625"/>
    <col min="4" max="4" width="17" customWidth="1"/>
    <col min="5" max="5" width="17.7109375" customWidth="1"/>
    <col min="6" max="6" width="14.7109375" bestFit="1" customWidth="1"/>
    <col min="7" max="7" width="19.28515625" customWidth="1"/>
    <col min="8" max="8" width="17.5703125" bestFit="1" customWidth="1"/>
    <col min="9" max="9" width="14.42578125" customWidth="1"/>
    <col min="10" max="10" width="13.7109375" customWidth="1"/>
    <col min="11" max="13" width="13.7109375" hidden="1" customWidth="1"/>
    <col min="14" max="14" width="14.140625" customWidth="1"/>
    <col min="15" max="15" width="12.140625" customWidth="1"/>
    <col min="16" max="16" width="17.28515625" bestFit="1" customWidth="1"/>
    <col min="17" max="17" width="15.140625" customWidth="1"/>
    <col min="18" max="18" width="11.42578125" customWidth="1"/>
    <col min="19" max="19" width="15.5703125" customWidth="1"/>
    <col min="20" max="20" width="15.140625" bestFit="1" customWidth="1"/>
    <col min="21" max="21" width="20" customWidth="1"/>
    <col min="22" max="22" width="17.7109375" customWidth="1"/>
    <col min="23" max="24" width="18.5703125" customWidth="1"/>
    <col min="25" max="25" width="19.5703125" customWidth="1"/>
    <col min="26" max="26" width="19.28515625" bestFit="1" customWidth="1"/>
    <col min="32" max="32" width="18.28515625" bestFit="1" customWidth="1"/>
  </cols>
  <sheetData>
    <row r="1" spans="1:32" ht="53.25" customHeight="1">
      <c r="B1" s="11"/>
      <c r="C1" s="11"/>
      <c r="D1" s="141" t="s">
        <v>55</v>
      </c>
      <c r="E1" s="142"/>
      <c r="F1" s="132" t="s">
        <v>56</v>
      </c>
      <c r="G1" s="133"/>
      <c r="H1" s="133"/>
      <c r="I1" s="133"/>
      <c r="J1" s="133"/>
      <c r="K1" s="133"/>
      <c r="L1" s="133"/>
      <c r="M1" s="133"/>
      <c r="N1" s="134"/>
      <c r="O1" s="155" t="s">
        <v>57</v>
      </c>
      <c r="P1" s="156"/>
      <c r="Q1" s="156"/>
      <c r="R1" s="156"/>
      <c r="S1" s="156"/>
      <c r="T1" s="157"/>
      <c r="U1" s="158" t="s">
        <v>58</v>
      </c>
      <c r="V1" s="159"/>
      <c r="W1" s="159"/>
      <c r="X1" s="159"/>
      <c r="Y1" s="159"/>
      <c r="Z1" s="160"/>
      <c r="AA1" s="161" t="s">
        <v>65</v>
      </c>
      <c r="AB1" s="162"/>
      <c r="AC1" s="162"/>
      <c r="AD1" s="162"/>
      <c r="AE1" s="162"/>
      <c r="AF1" s="163"/>
    </row>
    <row r="2" spans="1:32" ht="41.25" customHeight="1">
      <c r="A2" s="1" t="s">
        <v>4</v>
      </c>
      <c r="B2" s="1" t="s">
        <v>5</v>
      </c>
      <c r="C2" s="1" t="s">
        <v>6</v>
      </c>
      <c r="D2" s="1" t="s">
        <v>0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59</v>
      </c>
      <c r="L2" s="1" t="s">
        <v>60</v>
      </c>
      <c r="M2" s="1" t="s">
        <v>61</v>
      </c>
      <c r="N2" s="1" t="s">
        <v>13</v>
      </c>
      <c r="O2" s="1" t="s">
        <v>8</v>
      </c>
      <c r="P2" s="1" t="s">
        <v>9</v>
      </c>
      <c r="Q2" s="1" t="s">
        <v>10</v>
      </c>
      <c r="R2" s="1" t="s">
        <v>11</v>
      </c>
      <c r="S2" s="1" t="s">
        <v>62</v>
      </c>
      <c r="T2" s="1" t="s">
        <v>13</v>
      </c>
      <c r="U2" s="1" t="s">
        <v>8</v>
      </c>
      <c r="V2" s="1" t="s">
        <v>9</v>
      </c>
      <c r="W2" s="1" t="s">
        <v>10</v>
      </c>
      <c r="X2" s="1" t="s">
        <v>11</v>
      </c>
      <c r="Y2" s="1" t="s">
        <v>12</v>
      </c>
      <c r="Z2" s="1" t="s">
        <v>13</v>
      </c>
      <c r="AA2" s="1" t="s">
        <v>8</v>
      </c>
      <c r="AB2" s="1" t="s">
        <v>9</v>
      </c>
      <c r="AC2" s="1" t="s">
        <v>10</v>
      </c>
      <c r="AD2" s="1" t="s">
        <v>11</v>
      </c>
      <c r="AE2" s="1" t="s">
        <v>12</v>
      </c>
      <c r="AF2" s="1" t="s">
        <v>13</v>
      </c>
    </row>
    <row r="3" spans="1:32" ht="36">
      <c r="A3" s="59">
        <v>1</v>
      </c>
      <c r="B3" s="5" t="s">
        <v>14</v>
      </c>
      <c r="C3" s="3">
        <v>30</v>
      </c>
      <c r="D3" s="68">
        <f>ROUND(AVERAGE(J3,S3,Y3,AE3),0)</f>
        <v>19668003</v>
      </c>
      <c r="E3" s="62">
        <f>+D3*C3</f>
        <v>590040090</v>
      </c>
      <c r="F3" s="2">
        <f>1750905*10.21</f>
        <v>17876740.050000001</v>
      </c>
      <c r="G3" s="2">
        <v>6300</v>
      </c>
      <c r="H3" s="2">
        <f>SUM(F3:G3)</f>
        <v>17883040.050000001</v>
      </c>
      <c r="I3" s="2">
        <f>H3*10%</f>
        <v>1788304.0050000001</v>
      </c>
      <c r="J3" s="2">
        <f>SUM(H3:I3)</f>
        <v>19671344.055</v>
      </c>
      <c r="K3" s="84" t="e">
        <f>ROUND(#REF!*10%,0)</f>
        <v>#REF!</v>
      </c>
      <c r="L3" s="84" t="e">
        <f>ROUND(K3*19%,0)</f>
        <v>#REF!</v>
      </c>
      <c r="M3" s="84" t="e">
        <f>+#REF!+L3</f>
        <v>#REF!</v>
      </c>
      <c r="N3" s="2">
        <f>+J3*C3</f>
        <v>590140321.64999998</v>
      </c>
      <c r="O3" s="2">
        <f>1750905*10.21</f>
        <v>17876740.050000001</v>
      </c>
      <c r="P3" s="2">
        <v>1500</v>
      </c>
      <c r="Q3" s="2">
        <f>SUM(O3:P3)</f>
        <v>17878240.050000001</v>
      </c>
      <c r="R3" s="2">
        <f>Q3*10%</f>
        <v>1787824.0050000001</v>
      </c>
      <c r="S3" s="2">
        <f>SUM(Q3:R3)</f>
        <v>19666064.055</v>
      </c>
      <c r="T3" s="2">
        <f>+S3*C3</f>
        <v>589981921.64999998</v>
      </c>
      <c r="U3" s="2">
        <f>1750905*10.21</f>
        <v>17876740.050000001</v>
      </c>
      <c r="V3" s="2">
        <v>3750</v>
      </c>
      <c r="W3" s="2">
        <f>SUM(U3:V3)</f>
        <v>17880490.050000001</v>
      </c>
      <c r="X3" s="2">
        <f>W3*10%</f>
        <v>1788049.0050000001</v>
      </c>
      <c r="Y3" s="2">
        <f>SUM(W3:X3)</f>
        <v>19668539.055</v>
      </c>
      <c r="Z3" s="2">
        <f>+Y3*C3</f>
        <v>590056171.64999998</v>
      </c>
      <c r="AA3" s="2">
        <f>1750905*10.21</f>
        <v>17876740.050000001</v>
      </c>
      <c r="AB3" s="97">
        <v>1500</v>
      </c>
      <c r="AC3" s="2">
        <f>SUM(AA3:AB3)</f>
        <v>17878240.050000001</v>
      </c>
      <c r="AD3" s="2">
        <f>AC3*10%</f>
        <v>1787824.0050000001</v>
      </c>
      <c r="AE3" s="2">
        <f>SUM(AC3:AD3)</f>
        <v>19666064.055</v>
      </c>
      <c r="AF3" s="2">
        <f>+AE3*C3</f>
        <v>589981921.64999998</v>
      </c>
    </row>
    <row r="4" spans="1:32" ht="36">
      <c r="A4" s="59">
        <v>2</v>
      </c>
      <c r="B4" s="5" t="s">
        <v>15</v>
      </c>
      <c r="C4" s="3">
        <v>3</v>
      </c>
      <c r="D4" s="68">
        <f>ROUND(AVERAGE(J4,S4,Y4,AE4),0)</f>
        <v>19310403</v>
      </c>
      <c r="E4" s="62">
        <f t="shared" ref="E4:E6" si="0">+D4*C4</f>
        <v>57931209</v>
      </c>
      <c r="F4" s="2">
        <f t="shared" ref="F4:F6" si="1">1750905*10.21</f>
        <v>17876740.050000001</v>
      </c>
      <c r="G4" s="2">
        <v>6300</v>
      </c>
      <c r="H4" s="2">
        <f>SUM(F4:G4)</f>
        <v>17883040.050000001</v>
      </c>
      <c r="I4" s="2">
        <f>H4*8%</f>
        <v>1430643.2040000001</v>
      </c>
      <c r="J4" s="2">
        <f>SUM(H4:I4)</f>
        <v>19313683.254000001</v>
      </c>
      <c r="K4" s="84" t="e">
        <f>ROUND(#REF!*10%,0)</f>
        <v>#REF!</v>
      </c>
      <c r="L4" s="84" t="e">
        <f t="shared" ref="L4:L6" si="2">ROUND(K4*19%,0)</f>
        <v>#REF!</v>
      </c>
      <c r="M4" s="84" t="e">
        <f>+#REF!+L4</f>
        <v>#REF!</v>
      </c>
      <c r="N4" s="2">
        <f t="shared" ref="N4:N6" si="3">+J4*C4</f>
        <v>57941049.762000002</v>
      </c>
      <c r="O4" s="2">
        <f t="shared" ref="O4:O6" si="4">1750905*10.21</f>
        <v>17876740.050000001</v>
      </c>
      <c r="P4" s="2">
        <v>1500</v>
      </c>
      <c r="Q4" s="2">
        <f>SUM(O4:P4)</f>
        <v>17878240.050000001</v>
      </c>
      <c r="R4" s="2">
        <f>Q4*8%</f>
        <v>1430259.2040000001</v>
      </c>
      <c r="S4" s="2">
        <f t="shared" ref="S4:S6" si="5">SUM(Q4:R4)</f>
        <v>19308499.254000001</v>
      </c>
      <c r="T4" s="2">
        <f t="shared" ref="T4:T5" si="6">+S4*C4</f>
        <v>57925497.762000002</v>
      </c>
      <c r="U4" s="2">
        <f t="shared" ref="U4:U6" si="7">1750905*10.21</f>
        <v>17876740.050000001</v>
      </c>
      <c r="V4" s="2">
        <v>3750</v>
      </c>
      <c r="W4" s="2">
        <f>SUM(U4:V4)</f>
        <v>17880490.050000001</v>
      </c>
      <c r="X4" s="2">
        <f>W4*8%</f>
        <v>1430439.2040000001</v>
      </c>
      <c r="Y4" s="2">
        <f>SUM(W4:X4)</f>
        <v>19310929.254000001</v>
      </c>
      <c r="Z4" s="2">
        <f t="shared" ref="Z4:Z6" si="8">+Y4*C4</f>
        <v>57932787.762000002</v>
      </c>
      <c r="AA4" s="2">
        <f t="shared" ref="AA4:AA6" si="9">1750905*10.21</f>
        <v>17876740.050000001</v>
      </c>
      <c r="AB4" s="97">
        <v>1500</v>
      </c>
      <c r="AC4" s="2">
        <f>SUM(AA4:AB4)</f>
        <v>17878240.050000001</v>
      </c>
      <c r="AD4" s="2">
        <f>AC4*8%</f>
        <v>1430259.2040000001</v>
      </c>
      <c r="AE4" s="2">
        <f>SUM(AC4:AD4)</f>
        <v>19308499.254000001</v>
      </c>
      <c r="AF4" s="2">
        <f t="shared" ref="AF4:AF6" si="10">+AE4*C4</f>
        <v>57925497.762000002</v>
      </c>
    </row>
    <row r="5" spans="1:32" ht="36">
      <c r="A5" s="59">
        <v>3</v>
      </c>
      <c r="B5" s="5" t="s">
        <v>16</v>
      </c>
      <c r="C5" s="3">
        <v>25</v>
      </c>
      <c r="D5" s="68">
        <f t="shared" ref="D5:D6" si="11">ROUND(AVERAGE(J5,S5,Y5,AE5),0)</f>
        <v>5759800</v>
      </c>
      <c r="E5" s="62">
        <f t="shared" si="0"/>
        <v>143995000</v>
      </c>
      <c r="F5" s="2">
        <f t="shared" si="1"/>
        <v>17876740.050000001</v>
      </c>
      <c r="G5" s="2">
        <v>6300</v>
      </c>
      <c r="H5" s="2">
        <f>SUM(F5:G5)*47.59%/30*20/13*12</f>
        <v>5237254.621412308</v>
      </c>
      <c r="I5" s="2">
        <f>H5*10%</f>
        <v>523725.46214123082</v>
      </c>
      <c r="J5" s="2">
        <f>SUM(H5:I5)</f>
        <v>5760980.0835535387</v>
      </c>
      <c r="K5" s="84" t="e">
        <f>ROUND(#REF!*10%,0)</f>
        <v>#REF!</v>
      </c>
      <c r="L5" s="84" t="e">
        <f t="shared" si="2"/>
        <v>#REF!</v>
      </c>
      <c r="M5" s="84" t="e">
        <f>+#REF!+L5</f>
        <v>#REF!</v>
      </c>
      <c r="N5" s="2">
        <f t="shared" si="3"/>
        <v>144024502.08883846</v>
      </c>
      <c r="O5" s="2">
        <f t="shared" si="4"/>
        <v>17876740.050000001</v>
      </c>
      <c r="P5" s="2">
        <v>1500</v>
      </c>
      <c r="Q5" s="2">
        <f>SUM(O5:P5)*47.59%/30*20/13*12</f>
        <v>5235848.8860276928</v>
      </c>
      <c r="R5" s="2">
        <f>Q5*10%</f>
        <v>523584.88860276929</v>
      </c>
      <c r="S5" s="2">
        <f t="shared" si="5"/>
        <v>5759433.7746304618</v>
      </c>
      <c r="T5" s="2">
        <f t="shared" si="6"/>
        <v>143985844.36576155</v>
      </c>
      <c r="U5" s="2">
        <f t="shared" si="7"/>
        <v>17876740.050000001</v>
      </c>
      <c r="V5" s="2">
        <v>1250</v>
      </c>
      <c r="W5" s="2">
        <f>SUM(U5:V5)*47.59%/30*20/13*12</f>
        <v>5235775.6706430772</v>
      </c>
      <c r="X5" s="2">
        <f>W5*10%</f>
        <v>523577.56706430775</v>
      </c>
      <c r="Y5" s="2">
        <f>SUM(W5:X5)</f>
        <v>5759353.2377073849</v>
      </c>
      <c r="Z5" s="2">
        <f t="shared" si="8"/>
        <v>143983830.94268462</v>
      </c>
      <c r="AA5" s="2">
        <f t="shared" si="9"/>
        <v>17876740.050000001</v>
      </c>
      <c r="AB5" s="97">
        <v>1500</v>
      </c>
      <c r="AC5" s="2">
        <f>SUM(AA5:AB5)*47.59%/30*20/13*12</f>
        <v>5235848.8860276928</v>
      </c>
      <c r="AD5" s="2">
        <f>AC5*10%</f>
        <v>523584.88860276929</v>
      </c>
      <c r="AE5" s="2">
        <f>SUM(AC5:AD5)</f>
        <v>5759433.7746304618</v>
      </c>
      <c r="AF5" s="2">
        <f t="shared" si="10"/>
        <v>143985844.36576155</v>
      </c>
    </row>
    <row r="6" spans="1:32" ht="60">
      <c r="A6" s="59">
        <v>4</v>
      </c>
      <c r="B6" s="5" t="s">
        <v>17</v>
      </c>
      <c r="C6" s="3">
        <v>3</v>
      </c>
      <c r="D6" s="68">
        <f t="shared" si="11"/>
        <v>5812162</v>
      </c>
      <c r="E6" s="62">
        <f t="shared" si="0"/>
        <v>17436486</v>
      </c>
      <c r="F6" s="2">
        <f t="shared" si="1"/>
        <v>17876740.050000001</v>
      </c>
      <c r="G6" s="2">
        <v>6300</v>
      </c>
      <c r="H6" s="2">
        <f>SUM(F6:G6)*47.59%/30*20/13*12</f>
        <v>5237254.621412308</v>
      </c>
      <c r="I6" s="2">
        <f>H6*11%</f>
        <v>576098.00835535384</v>
      </c>
      <c r="J6" s="2">
        <f>SUM(H6:I6)</f>
        <v>5813352.6297676619</v>
      </c>
      <c r="K6" s="84" t="e">
        <f>ROUND(#REF!*10%,0)</f>
        <v>#REF!</v>
      </c>
      <c r="L6" s="84" t="e">
        <f t="shared" si="2"/>
        <v>#REF!</v>
      </c>
      <c r="M6" s="84" t="e">
        <f>+#REF!+L6</f>
        <v>#REF!</v>
      </c>
      <c r="N6" s="2">
        <f t="shared" si="3"/>
        <v>17440057.889302984</v>
      </c>
      <c r="O6" s="2">
        <f t="shared" si="4"/>
        <v>17876740.050000001</v>
      </c>
      <c r="P6" s="2">
        <v>1500</v>
      </c>
      <c r="Q6" s="2">
        <f>SUM(O6:P6)*47.59%/30*20/13*12</f>
        <v>5235848.8860276928</v>
      </c>
      <c r="R6" s="2">
        <f>Q6*11%</f>
        <v>575943.37746304623</v>
      </c>
      <c r="S6" s="2">
        <f t="shared" si="5"/>
        <v>5811792.2634907393</v>
      </c>
      <c r="T6" s="2">
        <f>+S6*C6</f>
        <v>17435376.790472217</v>
      </c>
      <c r="U6" s="2">
        <f t="shared" si="7"/>
        <v>17876740.050000001</v>
      </c>
      <c r="V6" s="2">
        <v>1250</v>
      </c>
      <c r="W6" s="2">
        <f>SUM(U6:V6)*47.59%/30*20/13*12</f>
        <v>5235775.6706430772</v>
      </c>
      <c r="X6" s="2">
        <f>W6*11%</f>
        <v>575935.32377073856</v>
      </c>
      <c r="Y6" s="2">
        <f>SUM(W6:X6)</f>
        <v>5811710.9944138154</v>
      </c>
      <c r="Z6" s="2">
        <f t="shared" si="8"/>
        <v>17435132.983241446</v>
      </c>
      <c r="AA6" s="2">
        <f t="shared" si="9"/>
        <v>17876740.050000001</v>
      </c>
      <c r="AB6" s="97">
        <v>1500</v>
      </c>
      <c r="AC6" s="2">
        <f>SUM(AA6:AB6)*47.59%/30*20/13*12</f>
        <v>5235848.8860276928</v>
      </c>
      <c r="AD6" s="2">
        <f>AC6*11%</f>
        <v>575943.37746304623</v>
      </c>
      <c r="AE6" s="2">
        <f>SUM(AC6:AD6)</f>
        <v>5811792.2634907393</v>
      </c>
      <c r="AF6" s="2">
        <f t="shared" si="10"/>
        <v>17435376.790472217</v>
      </c>
    </row>
    <row r="7" spans="1:32">
      <c r="A7" s="143" t="s">
        <v>18</v>
      </c>
      <c r="B7" s="144"/>
      <c r="C7" s="144"/>
      <c r="D7" s="145"/>
      <c r="E7" s="69">
        <f>SUM(E3:E6)</f>
        <v>809402785</v>
      </c>
      <c r="N7" s="4">
        <f>SUM(N3:N6)</f>
        <v>809545931.39014137</v>
      </c>
      <c r="T7" s="4">
        <f>SUM(T3:T6)</f>
        <v>809328640.56823373</v>
      </c>
      <c r="Z7" s="4">
        <f>SUM(Z3:Z6)</f>
        <v>809407923.33792603</v>
      </c>
      <c r="AF7" s="4">
        <f>SUM(AF3:AF6)</f>
        <v>809328640.56823373</v>
      </c>
    </row>
    <row r="8" spans="1:32">
      <c r="A8" s="146" t="s">
        <v>19</v>
      </c>
      <c r="B8" s="147"/>
      <c r="C8" s="147"/>
      <c r="D8" s="148"/>
      <c r="E8" s="69">
        <f>ROUND(E7*10%,0)</f>
        <v>80940279</v>
      </c>
      <c r="N8" s="4">
        <f>ROUND(N7*10%,0)</f>
        <v>80954593</v>
      </c>
      <c r="T8" s="4">
        <f>ROUND(T7*10%,0)</f>
        <v>80932864</v>
      </c>
      <c r="Z8" s="4">
        <f>ROUND(Z7*10%,0)</f>
        <v>80940792</v>
      </c>
      <c r="AF8" s="4">
        <f>ROUND(AF7*10%,0)</f>
        <v>80932864</v>
      </c>
    </row>
    <row r="9" spans="1:32" ht="60">
      <c r="A9" s="146" t="s">
        <v>20</v>
      </c>
      <c r="B9" s="147"/>
      <c r="C9" s="147"/>
      <c r="D9" s="148"/>
      <c r="E9" s="102">
        <f>ROUND(E8*19%,0)</f>
        <v>15378653</v>
      </c>
      <c r="F9" s="99" t="s">
        <v>75</v>
      </c>
      <c r="G9" s="99" t="s">
        <v>76</v>
      </c>
      <c r="N9" s="4">
        <f>ROUND(N8*19%,0)</f>
        <v>15381373</v>
      </c>
      <c r="T9" s="4">
        <f>ROUND(T8*19%,0)</f>
        <v>15377244</v>
      </c>
      <c r="Z9" s="4">
        <f>ROUND(Z8*19%,0)</f>
        <v>15378750</v>
      </c>
      <c r="AF9" s="4">
        <f>ROUND(AF8*19%,0)</f>
        <v>15377244</v>
      </c>
    </row>
    <row r="10" spans="1:32">
      <c r="A10" s="146" t="s">
        <v>21</v>
      </c>
      <c r="B10" s="147"/>
      <c r="C10" s="147"/>
      <c r="D10" s="148"/>
      <c r="E10" s="102">
        <f>+E7+E9</f>
        <v>824781438</v>
      </c>
      <c r="F10" s="100">
        <f>+E10+E19</f>
        <v>834947710.34000003</v>
      </c>
      <c r="G10" s="101">
        <f>+F10*2</f>
        <v>1669895420.6800001</v>
      </c>
      <c r="N10" s="4">
        <f>+N7+N9</f>
        <v>824927304.39014137</v>
      </c>
      <c r="T10" s="4">
        <f>+T7+T9</f>
        <v>824705884.56823373</v>
      </c>
      <c r="Z10" s="4">
        <f>+Z7+Z9</f>
        <v>824786673.33792603</v>
      </c>
      <c r="AF10" s="4">
        <f>+AF7+AF9</f>
        <v>824705884.56823373</v>
      </c>
    </row>
    <row r="11" spans="1:32"/>
    <row r="12" spans="1:32" ht="34.5" customHeight="1">
      <c r="A12" s="86"/>
      <c r="B12" s="86"/>
      <c r="C12" s="86"/>
      <c r="D12" s="154" t="s">
        <v>22</v>
      </c>
      <c r="E12" s="154"/>
      <c r="F12" s="154" t="s">
        <v>24</v>
      </c>
      <c r="G12" s="154"/>
      <c r="H12" s="154" t="s">
        <v>63</v>
      </c>
      <c r="I12" s="154"/>
      <c r="J12" s="154" t="s">
        <v>64</v>
      </c>
      <c r="K12" s="154"/>
      <c r="L12" s="154"/>
      <c r="M12" s="154"/>
      <c r="N12" s="154"/>
      <c r="O12" s="154" t="s">
        <v>23</v>
      </c>
      <c r="P12" s="154"/>
    </row>
    <row r="13" spans="1:32" ht="24">
      <c r="A13" s="87" t="s">
        <v>4</v>
      </c>
      <c r="B13" s="87" t="s">
        <v>5</v>
      </c>
      <c r="C13" s="87" t="s">
        <v>6</v>
      </c>
      <c r="D13" s="87" t="s">
        <v>8</v>
      </c>
      <c r="E13" s="87" t="s">
        <v>13</v>
      </c>
      <c r="F13" s="87" t="s">
        <v>8</v>
      </c>
      <c r="G13" s="87" t="s">
        <v>13</v>
      </c>
      <c r="H13" s="87" t="s">
        <v>8</v>
      </c>
      <c r="I13" s="87" t="s">
        <v>13</v>
      </c>
      <c r="J13" s="87" t="s">
        <v>8</v>
      </c>
      <c r="K13" s="87" t="s">
        <v>13</v>
      </c>
      <c r="L13" s="85"/>
      <c r="M13" s="85"/>
      <c r="N13" s="87" t="s">
        <v>13</v>
      </c>
      <c r="O13" s="87" t="s">
        <v>8</v>
      </c>
      <c r="P13" s="87" t="s">
        <v>13</v>
      </c>
    </row>
    <row r="14" spans="1:32" ht="84">
      <c r="A14" s="88">
        <v>1</v>
      </c>
      <c r="B14" s="89" t="s">
        <v>26</v>
      </c>
      <c r="C14" s="90">
        <v>6</v>
      </c>
      <c r="D14" s="91">
        <f>ROUND(AVERAGE(F14,H14,J14,O14),0)</f>
        <v>810169</v>
      </c>
      <c r="E14" s="91">
        <f>+D14*C14</f>
        <v>4861014</v>
      </c>
      <c r="F14" s="92">
        <v>951944</v>
      </c>
      <c r="G14" s="90">
        <f>F14*C14</f>
        <v>5711664</v>
      </c>
      <c r="H14" s="92">
        <v>940000</v>
      </c>
      <c r="I14" s="92">
        <f>+H14*C14</f>
        <v>5640000</v>
      </c>
      <c r="J14" s="92">
        <v>550547</v>
      </c>
      <c r="K14" s="92">
        <f>J14*C14</f>
        <v>3303282</v>
      </c>
      <c r="L14" s="85"/>
      <c r="M14" s="85"/>
      <c r="N14" s="92">
        <f>+J14*C14</f>
        <v>3303282</v>
      </c>
      <c r="O14" s="92">
        <v>798186</v>
      </c>
      <c r="P14" s="92">
        <f>+O14*C14</f>
        <v>4789116</v>
      </c>
    </row>
    <row r="15" spans="1:32" ht="48">
      <c r="A15" s="88">
        <v>2</v>
      </c>
      <c r="B15" s="89" t="s">
        <v>27</v>
      </c>
      <c r="C15" s="90">
        <v>4</v>
      </c>
      <c r="D15" s="91">
        <f t="shared" ref="D15:D16" si="12">ROUND(AVERAGE(F15,H15,J15,O15),0)</f>
        <v>627055</v>
      </c>
      <c r="E15" s="91">
        <f>+D15*C15</f>
        <v>2508220</v>
      </c>
      <c r="F15" s="92">
        <v>525131</v>
      </c>
      <c r="G15" s="90">
        <f>F15*C15</f>
        <v>2100524</v>
      </c>
      <c r="H15" s="92">
        <v>980000</v>
      </c>
      <c r="I15" s="92">
        <f>+H15*C15</f>
        <v>3920000</v>
      </c>
      <c r="J15" s="92">
        <v>409457</v>
      </c>
      <c r="K15" s="92">
        <f t="shared" ref="K15:K16" si="13">J15*C15</f>
        <v>1637828</v>
      </c>
      <c r="L15" s="85"/>
      <c r="M15" s="85"/>
      <c r="N15" s="92">
        <f>+J15*C15</f>
        <v>1637828</v>
      </c>
      <c r="O15" s="92">
        <v>593633</v>
      </c>
      <c r="P15" s="92">
        <f>+O15*C15</f>
        <v>2374532</v>
      </c>
    </row>
    <row r="16" spans="1:32" ht="36">
      <c r="A16" s="88">
        <v>3</v>
      </c>
      <c r="B16" s="89" t="s">
        <v>28</v>
      </c>
      <c r="C16" s="90">
        <v>2</v>
      </c>
      <c r="D16" s="91">
        <f t="shared" si="12"/>
        <v>586926</v>
      </c>
      <c r="E16" s="91">
        <f>+D16*C16</f>
        <v>1173852</v>
      </c>
      <c r="F16" s="92">
        <v>441848</v>
      </c>
      <c r="G16" s="90">
        <f>F16*C16</f>
        <v>883696</v>
      </c>
      <c r="H16" s="92">
        <v>980000</v>
      </c>
      <c r="I16" s="92">
        <f>+H16*C16</f>
        <v>1960000</v>
      </c>
      <c r="J16" s="92">
        <v>377930</v>
      </c>
      <c r="K16" s="92">
        <f t="shared" si="13"/>
        <v>755860</v>
      </c>
      <c r="L16" s="85"/>
      <c r="M16" s="85"/>
      <c r="N16" s="92">
        <f>+J16*C16</f>
        <v>755860</v>
      </c>
      <c r="O16" s="92">
        <v>547926</v>
      </c>
      <c r="P16" s="92">
        <f>+O16*C16</f>
        <v>1095852</v>
      </c>
    </row>
    <row r="17" spans="1:16" ht="48">
      <c r="A17" s="93" t="s">
        <v>30</v>
      </c>
      <c r="B17" s="93"/>
      <c r="C17" s="93"/>
      <c r="D17" s="94"/>
      <c r="E17" s="95">
        <f>SUM(E14:E16)</f>
        <v>8543086</v>
      </c>
      <c r="F17" s="93"/>
      <c r="G17" s="96">
        <f>SUM(G14:G16)</f>
        <v>8695884</v>
      </c>
      <c r="H17" s="85"/>
      <c r="I17" s="96">
        <f>SUM(I14:I16)</f>
        <v>11520000</v>
      </c>
      <c r="J17" s="96"/>
      <c r="K17" s="96">
        <f>SUM(K14:K16)</f>
        <v>5696970</v>
      </c>
      <c r="L17" s="85"/>
      <c r="M17" s="85"/>
      <c r="N17" s="96">
        <f>SUM(N14:N16)</f>
        <v>5696970</v>
      </c>
      <c r="O17" s="85"/>
      <c r="P17" s="96">
        <f>SUM(P14:P16)</f>
        <v>8259500</v>
      </c>
    </row>
    <row r="18" spans="1:16" ht="36">
      <c r="A18" s="93" t="s">
        <v>31</v>
      </c>
      <c r="B18" s="93"/>
      <c r="C18" s="93"/>
      <c r="D18" s="94"/>
      <c r="E18" s="95">
        <f>E17*19%</f>
        <v>1623186.34</v>
      </c>
      <c r="F18" s="93"/>
      <c r="G18" s="96">
        <f>G17*19%</f>
        <v>1652217.96</v>
      </c>
      <c r="H18" s="85"/>
      <c r="I18" s="96">
        <f>I17*19%</f>
        <v>2188800</v>
      </c>
      <c r="J18" s="96"/>
      <c r="K18" s="96">
        <f>K17*19%</f>
        <v>1082424.3</v>
      </c>
      <c r="L18" s="85"/>
      <c r="M18" s="85"/>
      <c r="N18" s="96">
        <f>N17*19%</f>
        <v>1082424.3</v>
      </c>
      <c r="O18" s="85"/>
      <c r="P18" s="96">
        <f>P17*19%</f>
        <v>1569305</v>
      </c>
    </row>
    <row r="19" spans="1:16">
      <c r="A19" s="93" t="s">
        <v>21</v>
      </c>
      <c r="B19" s="93"/>
      <c r="C19" s="93"/>
      <c r="D19" s="94"/>
      <c r="E19" s="95">
        <f>+E17+E18</f>
        <v>10166272.34</v>
      </c>
      <c r="F19" s="93"/>
      <c r="G19" s="96">
        <f>+G17+G18</f>
        <v>10348101.960000001</v>
      </c>
      <c r="H19" s="85"/>
      <c r="I19" s="96">
        <f>+I17+I18</f>
        <v>13708800</v>
      </c>
      <c r="J19" s="96"/>
      <c r="K19" s="96">
        <f>+K17+K18</f>
        <v>6779394.2999999998</v>
      </c>
      <c r="L19" s="85"/>
      <c r="M19" s="85"/>
      <c r="N19" s="96">
        <f>+N17+N18</f>
        <v>6779394.2999999998</v>
      </c>
      <c r="O19" s="85"/>
      <c r="P19" s="96">
        <f>+P17+P18</f>
        <v>9828805</v>
      </c>
    </row>
    <row r="20" spans="1:16"/>
    <row r="21" spans="1:16"/>
    <row r="22" spans="1:16">
      <c r="G22" s="43"/>
      <c r="I22" s="6"/>
      <c r="N22" s="6"/>
    </row>
    <row r="23" spans="1:16" ht="15" customHeight="1">
      <c r="I23" s="6"/>
      <c r="N23" s="6"/>
    </row>
    <row r="24" spans="1:16" ht="15" customHeight="1">
      <c r="I24" s="6"/>
      <c r="N24" s="6"/>
    </row>
    <row r="25" spans="1:16">
      <c r="G25" s="43"/>
    </row>
  </sheetData>
  <mergeCells count="14">
    <mergeCell ref="AA1:AF1"/>
    <mergeCell ref="O12:P12"/>
    <mergeCell ref="U1:Z1"/>
    <mergeCell ref="A8:D8"/>
    <mergeCell ref="A10:D10"/>
    <mergeCell ref="D12:E12"/>
    <mergeCell ref="F12:G12"/>
    <mergeCell ref="H12:I12"/>
    <mergeCell ref="J12:N12"/>
    <mergeCell ref="A9:D9"/>
    <mergeCell ref="A7:D7"/>
    <mergeCell ref="D1:E1"/>
    <mergeCell ref="F1:N1"/>
    <mergeCell ref="O1:T1"/>
  </mergeCells>
  <pageMargins left="0.7" right="0.7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6"/>
  <sheetViews>
    <sheetView topLeftCell="A5" workbookViewId="0">
      <selection activeCell="J10" sqref="J10"/>
    </sheetView>
  </sheetViews>
  <sheetFormatPr defaultColWidth="11.42578125" defaultRowHeight="15"/>
  <cols>
    <col min="2" max="2" width="27" customWidth="1"/>
    <col min="4" max="4" width="14.7109375" bestFit="1" customWidth="1"/>
    <col min="5" max="5" width="11.85546875" bestFit="1" customWidth="1"/>
    <col min="6" max="6" width="13.85546875" customWidth="1"/>
    <col min="7" max="7" width="13" bestFit="1" customWidth="1"/>
    <col min="8" max="8" width="13.85546875" bestFit="1" customWidth="1"/>
    <col min="9" max="9" width="16.5703125" bestFit="1" customWidth="1"/>
    <col min="12" max="12" width="14" bestFit="1" customWidth="1"/>
  </cols>
  <sheetData>
    <row r="1" spans="1:12" ht="53.25" customHeight="1">
      <c r="A1" s="164" t="s">
        <v>77</v>
      </c>
      <c r="B1" s="164"/>
      <c r="C1" s="164"/>
      <c r="D1" s="164"/>
      <c r="E1" s="164"/>
      <c r="F1" s="164"/>
      <c r="G1" s="164"/>
      <c r="H1" s="164"/>
      <c r="I1" s="164"/>
    </row>
    <row r="2" spans="1:12" ht="24">
      <c r="A2" s="1" t="s">
        <v>4</v>
      </c>
      <c r="B2" s="1" t="s">
        <v>5</v>
      </c>
      <c r="C2" s="1" t="s">
        <v>6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</row>
    <row r="3" spans="1:12" ht="36">
      <c r="A3" s="3">
        <v>1</v>
      </c>
      <c r="B3" s="5" t="s">
        <v>14</v>
      </c>
      <c r="C3" s="3">
        <v>33</v>
      </c>
      <c r="D3" s="2">
        <f>1423500*9.77</f>
        <v>13907595</v>
      </c>
      <c r="E3" s="2">
        <v>999</v>
      </c>
      <c r="F3" s="2">
        <f>SUM(D3:E3)</f>
        <v>13908594</v>
      </c>
      <c r="G3" s="2">
        <f>F3*10%</f>
        <v>1390859.4000000001</v>
      </c>
      <c r="H3" s="2">
        <f>SUM(F3:G3)</f>
        <v>15299453.4</v>
      </c>
      <c r="I3" s="2">
        <f>H3*C3</f>
        <v>504881962.19999999</v>
      </c>
    </row>
    <row r="4" spans="1:12" ht="36">
      <c r="A4" s="3">
        <v>2</v>
      </c>
      <c r="B4" s="5" t="s">
        <v>15</v>
      </c>
      <c r="C4" s="3">
        <v>3</v>
      </c>
      <c r="D4" s="2">
        <f>1423500*9.77</f>
        <v>13907595</v>
      </c>
      <c r="E4" s="2">
        <v>999</v>
      </c>
      <c r="F4" s="2">
        <f>SUM(D4:E4)</f>
        <v>13908594</v>
      </c>
      <c r="G4" s="2">
        <f>F4*8%</f>
        <v>1112687.52</v>
      </c>
      <c r="H4" s="2">
        <f>SUM(F4:G4)</f>
        <v>15021281.52</v>
      </c>
      <c r="I4" s="2">
        <f>H4*C4</f>
        <v>45063844.560000002</v>
      </c>
    </row>
    <row r="5" spans="1:12" ht="36">
      <c r="A5" s="3">
        <v>3</v>
      </c>
      <c r="B5" s="5" t="s">
        <v>16</v>
      </c>
      <c r="C5" s="3">
        <v>27</v>
      </c>
      <c r="D5" s="2">
        <f>1423500*9.77</f>
        <v>13907595</v>
      </c>
      <c r="E5" s="2">
        <v>999</v>
      </c>
      <c r="F5" s="2">
        <f>SUM(D5:E5)*0.5597/15*12/30*20</f>
        <v>4151808.0329599995</v>
      </c>
      <c r="G5" s="2">
        <f>F5*10%</f>
        <v>415180.803296</v>
      </c>
      <c r="H5" s="2">
        <f>SUM(F5:G5)</f>
        <v>4566988.8362559993</v>
      </c>
      <c r="I5" s="2">
        <f>H5*C5</f>
        <v>123308698.57891198</v>
      </c>
    </row>
    <row r="6" spans="1:12" ht="60">
      <c r="A6" s="3">
        <v>4</v>
      </c>
      <c r="B6" s="5" t="s">
        <v>17</v>
      </c>
      <c r="C6" s="3">
        <v>3</v>
      </c>
      <c r="D6" s="2">
        <f>1423500*9.77</f>
        <v>13907595</v>
      </c>
      <c r="E6" s="2">
        <v>999</v>
      </c>
      <c r="F6" s="2">
        <f>SUM(D6:E6)*0.5597/15*12/30*20</f>
        <v>4151808.0329599995</v>
      </c>
      <c r="G6" s="2">
        <f>F6*11%</f>
        <v>456698.88362559996</v>
      </c>
      <c r="H6" s="2">
        <f>SUM(F6:G6)</f>
        <v>4608506.9165855991</v>
      </c>
      <c r="I6" s="2">
        <f>H6*C6</f>
        <v>13825520.749756798</v>
      </c>
      <c r="L6" s="7"/>
    </row>
    <row r="7" spans="1:12" ht="84">
      <c r="A7" s="3">
        <v>5</v>
      </c>
      <c r="B7" s="5" t="s">
        <v>26</v>
      </c>
      <c r="C7" s="3">
        <v>6</v>
      </c>
      <c r="D7" s="2">
        <v>928039.62</v>
      </c>
      <c r="E7" s="5">
        <v>0</v>
      </c>
      <c r="F7" s="3">
        <v>0</v>
      </c>
      <c r="G7" s="2">
        <v>0</v>
      </c>
      <c r="H7" s="5">
        <v>0</v>
      </c>
      <c r="I7" s="3">
        <f>D7*C7</f>
        <v>5568237.7199999997</v>
      </c>
    </row>
    <row r="8" spans="1:12" ht="48">
      <c r="A8" s="3">
        <v>6</v>
      </c>
      <c r="B8" s="5" t="s">
        <v>27</v>
      </c>
      <c r="C8" s="3">
        <v>4</v>
      </c>
      <c r="D8" s="2">
        <v>346452.21</v>
      </c>
      <c r="E8" s="5">
        <v>0</v>
      </c>
      <c r="F8" s="3">
        <v>0</v>
      </c>
      <c r="G8" s="2">
        <v>0</v>
      </c>
      <c r="H8" s="5">
        <v>0</v>
      </c>
      <c r="I8" s="3">
        <f t="shared" ref="I8:I10" si="0">D8*C8</f>
        <v>1385808.84</v>
      </c>
    </row>
    <row r="9" spans="1:12" ht="36">
      <c r="A9" s="3">
        <v>7</v>
      </c>
      <c r="B9" s="5" t="s">
        <v>28</v>
      </c>
      <c r="C9" s="3">
        <v>2</v>
      </c>
      <c r="D9" s="2">
        <v>346452.21</v>
      </c>
      <c r="E9" s="5">
        <v>0</v>
      </c>
      <c r="F9" s="3">
        <v>0</v>
      </c>
      <c r="G9" s="2">
        <v>0</v>
      </c>
      <c r="H9" s="5">
        <v>0</v>
      </c>
      <c r="I9" s="3">
        <f>D9*C9</f>
        <v>692904.42</v>
      </c>
    </row>
    <row r="10" spans="1:12" ht="48">
      <c r="A10" s="3">
        <v>8</v>
      </c>
      <c r="B10" s="5" t="s">
        <v>29</v>
      </c>
      <c r="C10" s="3">
        <v>6</v>
      </c>
      <c r="D10" s="2">
        <v>1152554.23</v>
      </c>
      <c r="E10" s="5">
        <v>0</v>
      </c>
      <c r="F10" s="3">
        <v>0</v>
      </c>
      <c r="G10" s="2">
        <v>0</v>
      </c>
      <c r="H10" s="5">
        <v>0</v>
      </c>
      <c r="I10" s="3">
        <f t="shared" si="0"/>
        <v>6915325.3799999999</v>
      </c>
    </row>
    <row r="11" spans="1:12" ht="15" customHeight="1">
      <c r="A11" s="115" t="s">
        <v>18</v>
      </c>
      <c r="B11" s="116"/>
      <c r="C11" s="116"/>
      <c r="D11" s="116"/>
      <c r="E11" s="116"/>
      <c r="F11" s="116"/>
      <c r="G11" s="116"/>
      <c r="H11" s="117"/>
      <c r="I11" s="4">
        <f>SUM(I3:I10)</f>
        <v>701642302.44866884</v>
      </c>
    </row>
    <row r="12" spans="1:12" ht="15" customHeight="1">
      <c r="A12" s="115" t="s">
        <v>19</v>
      </c>
      <c r="B12" s="116"/>
      <c r="C12" s="116"/>
      <c r="D12" s="116"/>
      <c r="E12" s="116"/>
      <c r="F12" s="116"/>
      <c r="G12" s="116"/>
      <c r="H12" s="117"/>
      <c r="I12" s="4">
        <f>SUM(I3:I6)*10%</f>
        <v>68708002.608866885</v>
      </c>
    </row>
    <row r="13" spans="1:12" ht="15" customHeight="1">
      <c r="A13" s="115" t="s">
        <v>20</v>
      </c>
      <c r="B13" s="116"/>
      <c r="C13" s="116"/>
      <c r="D13" s="116"/>
      <c r="E13" s="116"/>
      <c r="F13" s="116"/>
      <c r="G13" s="116"/>
      <c r="H13" s="117"/>
      <c r="I13" s="4">
        <f>I12*19%</f>
        <v>13054520.495684708</v>
      </c>
    </row>
    <row r="14" spans="1:12" ht="15" customHeight="1">
      <c r="A14" s="115" t="s">
        <v>30</v>
      </c>
      <c r="B14" s="116"/>
      <c r="C14" s="116"/>
      <c r="D14" s="116"/>
      <c r="E14" s="116"/>
      <c r="F14" s="116"/>
      <c r="G14" s="116"/>
      <c r="H14" s="117"/>
      <c r="I14" s="4">
        <f>SUM(I7:I10)</f>
        <v>14562276.359999999</v>
      </c>
    </row>
    <row r="15" spans="1:12" ht="15" customHeight="1">
      <c r="A15" s="115" t="s">
        <v>31</v>
      </c>
      <c r="B15" s="116"/>
      <c r="C15" s="116"/>
      <c r="D15" s="116"/>
      <c r="E15" s="116"/>
      <c r="F15" s="116"/>
      <c r="G15" s="116"/>
      <c r="H15" s="117"/>
      <c r="I15" s="4">
        <f>I14*19%</f>
        <v>2766832.5083999997</v>
      </c>
    </row>
    <row r="16" spans="1:12">
      <c r="A16" s="115" t="s">
        <v>21</v>
      </c>
      <c r="B16" s="116"/>
      <c r="C16" s="116"/>
      <c r="D16" s="116"/>
      <c r="E16" s="116"/>
      <c r="F16" s="116"/>
      <c r="G16" s="116"/>
      <c r="H16" s="117"/>
      <c r="I16" s="4">
        <f>I11+I13+I15</f>
        <v>717463655.45275354</v>
      </c>
      <c r="L16" s="6"/>
    </row>
  </sheetData>
  <mergeCells count="7">
    <mergeCell ref="A16:H16"/>
    <mergeCell ref="A1:I1"/>
    <mergeCell ref="A11:H11"/>
    <mergeCell ref="A12:H12"/>
    <mergeCell ref="A13:H13"/>
    <mergeCell ref="A14:H14"/>
    <mergeCell ref="A15:H1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7"/>
  <sheetViews>
    <sheetView workbookViewId="0">
      <selection activeCell="F13" sqref="F13"/>
    </sheetView>
  </sheetViews>
  <sheetFormatPr defaultColWidth="11.42578125" defaultRowHeight="15"/>
  <cols>
    <col min="4" max="4" width="16.7109375" bestFit="1" customWidth="1"/>
    <col min="9" max="9" width="13" bestFit="1" customWidth="1"/>
    <col min="14" max="14" width="14" bestFit="1" customWidth="1"/>
  </cols>
  <sheetData>
    <row r="1" spans="1:14">
      <c r="A1" s="166" t="s">
        <v>78</v>
      </c>
      <c r="B1" s="166"/>
      <c r="C1" s="166"/>
      <c r="D1" s="166"/>
      <c r="F1" s="166" t="s">
        <v>52</v>
      </c>
      <c r="G1" s="166"/>
      <c r="H1" s="166"/>
      <c r="I1" s="166"/>
      <c r="K1" s="166" t="s">
        <v>79</v>
      </c>
      <c r="L1" s="166"/>
      <c r="M1" s="166"/>
      <c r="N1" s="166"/>
    </row>
    <row r="2" spans="1:14">
      <c r="A2" s="165" t="s">
        <v>18</v>
      </c>
      <c r="B2" s="165"/>
      <c r="C2" s="165"/>
      <c r="D2" s="8">
        <f>ACROPOLIS!I11</f>
        <v>684765397.41334081</v>
      </c>
      <c r="F2" s="165" t="s">
        <v>18</v>
      </c>
      <c r="G2" s="165"/>
      <c r="H2" s="165"/>
      <c r="I2" s="8">
        <f>N2-D2</f>
        <v>16876905.035328031</v>
      </c>
      <c r="K2" s="165" t="s">
        <v>18</v>
      </c>
      <c r="L2" s="165"/>
      <c r="M2" s="165"/>
      <c r="N2" s="8">
        <f>'FACTOR 9,77'!I11</f>
        <v>701642302.44866884</v>
      </c>
    </row>
    <row r="3" spans="1:14">
      <c r="A3" s="165" t="s">
        <v>19</v>
      </c>
      <c r="B3" s="165"/>
      <c r="C3" s="165"/>
      <c r="D3" s="8">
        <f>ACROPOLIS!I12</f>
        <v>67020312.105334081</v>
      </c>
      <c r="F3" s="165" t="s">
        <v>19</v>
      </c>
      <c r="G3" s="165"/>
      <c r="H3" s="165"/>
      <c r="I3" s="8">
        <f t="shared" ref="I3:I7" si="0">N3-D3</f>
        <v>1687690.5035328045</v>
      </c>
      <c r="K3" s="165" t="s">
        <v>19</v>
      </c>
      <c r="L3" s="165"/>
      <c r="M3" s="165"/>
      <c r="N3" s="8">
        <f>'FACTOR 9,77'!I12</f>
        <v>68708002.608866885</v>
      </c>
    </row>
    <row r="4" spans="1:14">
      <c r="A4" s="165" t="s">
        <v>20</v>
      </c>
      <c r="B4" s="165"/>
      <c r="C4" s="165"/>
      <c r="D4" s="8">
        <f>ACROPOLIS!I13</f>
        <v>12733859.300013475</v>
      </c>
      <c r="F4" s="165" t="s">
        <v>20</v>
      </c>
      <c r="G4" s="165"/>
      <c r="H4" s="165"/>
      <c r="I4" s="8">
        <f t="shared" si="0"/>
        <v>320661.19567123242</v>
      </c>
      <c r="K4" s="165" t="s">
        <v>20</v>
      </c>
      <c r="L4" s="165"/>
      <c r="M4" s="165"/>
      <c r="N4" s="8">
        <f>'FACTOR 9,77'!I13</f>
        <v>13054520.495684708</v>
      </c>
    </row>
    <row r="5" spans="1:14">
      <c r="A5" s="165" t="s">
        <v>30</v>
      </c>
      <c r="B5" s="165"/>
      <c r="C5" s="165"/>
      <c r="D5" s="8">
        <f>ACROPOLIS!I14</f>
        <v>14562276.359999999</v>
      </c>
      <c r="F5" s="165" t="s">
        <v>30</v>
      </c>
      <c r="G5" s="165"/>
      <c r="H5" s="165"/>
      <c r="I5" s="8">
        <f t="shared" si="0"/>
        <v>0</v>
      </c>
      <c r="K5" s="165" t="s">
        <v>30</v>
      </c>
      <c r="L5" s="165"/>
      <c r="M5" s="165"/>
      <c r="N5" s="8">
        <f>'FACTOR 9,77'!I14</f>
        <v>14562276.359999999</v>
      </c>
    </row>
    <row r="6" spans="1:14">
      <c r="A6" s="165" t="s">
        <v>31</v>
      </c>
      <c r="B6" s="165"/>
      <c r="C6" s="165"/>
      <c r="D6" s="8">
        <f>ACROPOLIS!I15</f>
        <v>2766832.5083999997</v>
      </c>
      <c r="F6" s="165" t="s">
        <v>31</v>
      </c>
      <c r="G6" s="165"/>
      <c r="H6" s="165"/>
      <c r="I6" s="8">
        <f t="shared" si="0"/>
        <v>0</v>
      </c>
      <c r="K6" s="165" t="s">
        <v>31</v>
      </c>
      <c r="L6" s="165"/>
      <c r="M6" s="165"/>
      <c r="N6" s="8">
        <f>'FACTOR 9,77'!I15</f>
        <v>2766832.5083999997</v>
      </c>
    </row>
    <row r="7" spans="1:14">
      <c r="A7" s="165" t="s">
        <v>21</v>
      </c>
      <c r="B7" s="165"/>
      <c r="C7" s="165"/>
      <c r="D7" s="8">
        <f>ACROPOLIS!I16</f>
        <v>700266089.22175419</v>
      </c>
      <c r="F7" s="165" t="s">
        <v>21</v>
      </c>
      <c r="G7" s="165"/>
      <c r="H7" s="165"/>
      <c r="I7" s="8">
        <f t="shared" si="0"/>
        <v>17197566.230999351</v>
      </c>
      <c r="K7" s="165" t="s">
        <v>21</v>
      </c>
      <c r="L7" s="165"/>
      <c r="M7" s="165"/>
      <c r="N7" s="8">
        <f>'FACTOR 9,77'!I16</f>
        <v>717463655.45275354</v>
      </c>
    </row>
  </sheetData>
  <mergeCells count="21">
    <mergeCell ref="A6:C6"/>
    <mergeCell ref="A7:C7"/>
    <mergeCell ref="A1:D1"/>
    <mergeCell ref="A2:C2"/>
    <mergeCell ref="A3:C3"/>
    <mergeCell ref="A4:C4"/>
    <mergeCell ref="A5:C5"/>
    <mergeCell ref="K7:M7"/>
    <mergeCell ref="F1:I1"/>
    <mergeCell ref="F2:H2"/>
    <mergeCell ref="F3:H3"/>
    <mergeCell ref="F4:H4"/>
    <mergeCell ref="F5:H5"/>
    <mergeCell ref="F6:H6"/>
    <mergeCell ref="F7:H7"/>
    <mergeCell ref="K1:N1"/>
    <mergeCell ref="K2:M2"/>
    <mergeCell ref="K3:M3"/>
    <mergeCell ref="K4:M4"/>
    <mergeCell ref="K5:M5"/>
    <mergeCell ref="K6:M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1"/>
  <sheetViews>
    <sheetView workbookViewId="0">
      <selection activeCell="N4" sqref="N4"/>
    </sheetView>
  </sheetViews>
  <sheetFormatPr defaultColWidth="11.42578125" defaultRowHeight="15"/>
  <cols>
    <col min="2" max="2" width="40" customWidth="1"/>
    <col min="4" max="4" width="16.85546875" customWidth="1"/>
    <col min="5" max="5" width="19.28515625" customWidth="1"/>
    <col min="11" max="11" width="16.140625" customWidth="1"/>
    <col min="12" max="12" width="16.85546875" customWidth="1"/>
  </cols>
  <sheetData>
    <row r="1" spans="1:12">
      <c r="A1" s="167" t="s">
        <v>80</v>
      </c>
      <c r="B1" s="167"/>
      <c r="C1" s="167"/>
      <c r="D1" s="167"/>
      <c r="E1" s="167"/>
      <c r="H1" s="167" t="s">
        <v>81</v>
      </c>
      <c r="I1" s="167"/>
      <c r="J1" s="167"/>
      <c r="K1" s="167"/>
      <c r="L1" s="167"/>
    </row>
    <row r="2" spans="1:12" ht="15.75" thickBot="1"/>
    <row r="3" spans="1:12" ht="45">
      <c r="A3" s="18" t="s">
        <v>4</v>
      </c>
      <c r="B3" s="19" t="s">
        <v>82</v>
      </c>
      <c r="C3" s="19" t="s">
        <v>6</v>
      </c>
      <c r="D3" s="20" t="s">
        <v>83</v>
      </c>
      <c r="E3" s="21" t="s">
        <v>84</v>
      </c>
      <c r="H3" s="18" t="s">
        <v>4</v>
      </c>
      <c r="I3" s="19" t="s">
        <v>82</v>
      </c>
      <c r="J3" s="19" t="s">
        <v>6</v>
      </c>
      <c r="K3" s="20" t="s">
        <v>83</v>
      </c>
      <c r="L3" s="21" t="s">
        <v>84</v>
      </c>
    </row>
    <row r="4" spans="1:12" ht="150">
      <c r="A4" s="22">
        <v>1</v>
      </c>
      <c r="B4" s="23" t="s">
        <v>14</v>
      </c>
      <c r="C4" s="24">
        <v>28</v>
      </c>
      <c r="D4" s="25">
        <v>14924201</v>
      </c>
      <c r="E4" s="26">
        <f>S_A_44[[#This Row],[PRECIO UNITARIO ANTES IVA]]*S_A_44[[#This Row],[CANT]]</f>
        <v>417877628</v>
      </c>
      <c r="H4" s="22">
        <v>1</v>
      </c>
      <c r="I4" s="23" t="s">
        <v>14</v>
      </c>
      <c r="J4" s="24">
        <v>28</v>
      </c>
      <c r="K4" s="25">
        <f>+(1423500*9.77+1750)*1.1</f>
        <v>15300279.500000002</v>
      </c>
      <c r="L4" s="26">
        <f>S_A_442[[#This Row],[PRECIO UNITARIO ANTES IVA]]*S_A_442[[#This Row],[CANT]]</f>
        <v>428407826.00000006</v>
      </c>
    </row>
    <row r="5" spans="1:12" ht="150">
      <c r="A5" s="22">
        <v>2</v>
      </c>
      <c r="B5" s="23" t="s">
        <v>15</v>
      </c>
      <c r="C5" s="24">
        <v>3</v>
      </c>
      <c r="D5" s="25">
        <v>14652851</v>
      </c>
      <c r="E5" s="26">
        <f>S_A_44[[#This Row],[PRECIO UNITARIO ANTES IVA]]*S_A_44[[#This Row],[CANT]]</f>
        <v>43958553</v>
      </c>
      <c r="H5" s="22">
        <v>2</v>
      </c>
      <c r="I5" s="23" t="s">
        <v>15</v>
      </c>
      <c r="J5" s="24">
        <v>3</v>
      </c>
      <c r="K5" s="25">
        <f>+(1423500*9.77+1750)*1.08</f>
        <v>15022092.600000001</v>
      </c>
      <c r="L5" s="26">
        <f>S_A_442[[#This Row],[PRECIO UNITARIO ANTES IVA]]*S_A_442[[#This Row],[CANT]]</f>
        <v>45066277.800000004</v>
      </c>
    </row>
    <row r="6" spans="1:12" ht="150">
      <c r="A6" s="22">
        <v>3</v>
      </c>
      <c r="B6" s="23" t="s">
        <v>16</v>
      </c>
      <c r="C6" s="24">
        <v>30</v>
      </c>
      <c r="D6" s="25">
        <v>4454973</v>
      </c>
      <c r="E6" s="26">
        <f>S_A_44[[#This Row],[PRECIO UNITARIO ANTES IVA]]*S_A_44[[#This Row],[CANT]]</f>
        <v>133649190</v>
      </c>
      <c r="H6" s="22">
        <v>3</v>
      </c>
      <c r="I6" s="23" t="s">
        <v>16</v>
      </c>
      <c r="J6" s="24">
        <v>30</v>
      </c>
      <c r="K6" s="25">
        <f>+K4*0.5597/15*0.4*20</f>
        <v>4567235.4326133337</v>
      </c>
      <c r="L6" s="26">
        <f>S_A_442[[#This Row],[PRECIO UNITARIO ANTES IVA]]*S_A_442[[#This Row],[CANT]]</f>
        <v>137017062.97840002</v>
      </c>
    </row>
    <row r="7" spans="1:12" ht="225">
      <c r="A7" s="22">
        <v>4</v>
      </c>
      <c r="B7" s="23" t="s">
        <v>17</v>
      </c>
      <c r="C7" s="24">
        <v>3</v>
      </c>
      <c r="D7" s="27">
        <v>4495473</v>
      </c>
      <c r="E7" s="26">
        <f>S_A_44[[#This Row],[PRECIO UNITARIO ANTES IVA]]*S_A_44[[#This Row],[CANT]]</f>
        <v>13486419</v>
      </c>
      <c r="H7" s="22">
        <v>4</v>
      </c>
      <c r="I7" s="23" t="s">
        <v>17</v>
      </c>
      <c r="J7" s="24">
        <v>3</v>
      </c>
      <c r="K7" s="27">
        <f>+((1423500*9.77+1500)*1.11)*0.5597/1.25/30*20</f>
        <v>4608672.9191279989</v>
      </c>
      <c r="L7" s="26">
        <f>S_A_442[[#This Row],[PRECIO UNITARIO ANTES IVA]]*S_A_442[[#This Row],[CANT]]</f>
        <v>13826018.757383997</v>
      </c>
    </row>
    <row r="8" spans="1:12" ht="360">
      <c r="A8" s="22">
        <v>5</v>
      </c>
      <c r="B8" s="23" t="s">
        <v>85</v>
      </c>
      <c r="C8" s="24">
        <v>6</v>
      </c>
      <c r="D8" s="25">
        <v>450000</v>
      </c>
      <c r="E8" s="26">
        <f>S_A_44[[#This Row],[PRECIO UNITARIO ANTES IVA]]*S_A_44[[#This Row],[CANT]]</f>
        <v>2700000</v>
      </c>
      <c r="H8" s="22">
        <v>5</v>
      </c>
      <c r="I8" s="23" t="s">
        <v>85</v>
      </c>
      <c r="J8" s="24">
        <v>6</v>
      </c>
      <c r="K8" s="25">
        <v>450000</v>
      </c>
      <c r="L8" s="26">
        <f>S_A_442[[#This Row],[PRECIO UNITARIO ANTES IVA]]*S_A_442[[#This Row],[CANT]]</f>
        <v>2700000</v>
      </c>
    </row>
    <row r="9" spans="1:12" ht="180">
      <c r="A9" s="22">
        <v>6</v>
      </c>
      <c r="B9" s="23" t="s">
        <v>27</v>
      </c>
      <c r="C9" s="24">
        <v>4</v>
      </c>
      <c r="D9" s="25">
        <v>800000</v>
      </c>
      <c r="E9" s="26">
        <f>S_A_44[[#This Row],[PRECIO UNITARIO ANTES IVA]]*S_A_44[[#This Row],[CANT]]</f>
        <v>3200000</v>
      </c>
      <c r="H9" s="22">
        <v>6</v>
      </c>
      <c r="I9" s="23" t="s">
        <v>27</v>
      </c>
      <c r="J9" s="24">
        <v>4</v>
      </c>
      <c r="K9" s="25">
        <v>800000</v>
      </c>
      <c r="L9" s="26">
        <f>S_A_442[[#This Row],[PRECIO UNITARIO ANTES IVA]]*S_A_442[[#This Row],[CANT]]</f>
        <v>3200000</v>
      </c>
    </row>
    <row r="10" spans="1:12" ht="150">
      <c r="A10" s="22">
        <v>7</v>
      </c>
      <c r="B10" s="23" t="s">
        <v>28</v>
      </c>
      <c r="C10" s="24">
        <v>2</v>
      </c>
      <c r="D10" s="25">
        <v>800000</v>
      </c>
      <c r="E10" s="26">
        <f>S_A_44[[#This Row],[PRECIO UNITARIO ANTES IVA]]*S_A_44[[#This Row],[CANT]]</f>
        <v>1600000</v>
      </c>
      <c r="H10" s="22">
        <v>7</v>
      </c>
      <c r="I10" s="23" t="s">
        <v>28</v>
      </c>
      <c r="J10" s="24">
        <v>2</v>
      </c>
      <c r="K10" s="25">
        <v>800000</v>
      </c>
      <c r="L10" s="26">
        <f>S_A_442[[#This Row],[PRECIO UNITARIO ANTES IVA]]*S_A_442[[#This Row],[CANT]]</f>
        <v>1600000</v>
      </c>
    </row>
    <row r="11" spans="1:12" ht="180">
      <c r="A11" s="22">
        <v>8</v>
      </c>
      <c r="B11" s="23" t="s">
        <v>29</v>
      </c>
      <c r="C11" s="24">
        <v>6</v>
      </c>
      <c r="D11" s="25">
        <v>850000</v>
      </c>
      <c r="E11" s="26">
        <f>S_A_44[[#This Row],[PRECIO UNITARIO ANTES IVA]]*S_A_44[[#This Row],[CANT]]</f>
        <v>5100000</v>
      </c>
      <c r="H11" s="22">
        <v>8</v>
      </c>
      <c r="I11" s="23" t="s">
        <v>29</v>
      </c>
      <c r="J11" s="24">
        <v>6</v>
      </c>
      <c r="K11" s="25">
        <v>850000</v>
      </c>
      <c r="L11" s="26">
        <f>S_A_442[[#This Row],[PRECIO UNITARIO ANTES IVA]]*S_A_442[[#This Row],[CANT]]</f>
        <v>5100000</v>
      </c>
    </row>
    <row r="12" spans="1:12" ht="240.75" thickBot="1">
      <c r="A12" s="28">
        <v>9</v>
      </c>
      <c r="B12" s="29" t="s">
        <v>86</v>
      </c>
      <c r="C12" s="30">
        <v>2</v>
      </c>
      <c r="D12" s="31">
        <v>850000</v>
      </c>
      <c r="E12" s="32">
        <f>S_A_44[[#This Row],[PRECIO UNITARIO ANTES IVA]]*S_A_44[[#This Row],[CANT]]</f>
        <v>1700000</v>
      </c>
      <c r="H12" s="28">
        <v>9</v>
      </c>
      <c r="I12" s="29" t="s">
        <v>86</v>
      </c>
      <c r="J12" s="30">
        <v>2</v>
      </c>
      <c r="K12" s="31">
        <v>850000</v>
      </c>
      <c r="L12" s="32">
        <f>S_A_442[[#This Row],[PRECIO UNITARIO ANTES IVA]]*S_A_442[[#This Row],[CANT]]</f>
        <v>1700000</v>
      </c>
    </row>
    <row r="13" spans="1:12">
      <c r="A13" s="174" t="s">
        <v>87</v>
      </c>
      <c r="B13" s="175"/>
      <c r="C13" s="175"/>
      <c r="D13" s="176">
        <f>SUBTOTAL(109,S_A_44[VALOR TOTAL ANTES DE IVA])</f>
        <v>623271790</v>
      </c>
      <c r="E13" s="177"/>
      <c r="H13" s="174" t="s">
        <v>87</v>
      </c>
      <c r="I13" s="175"/>
      <c r="J13" s="175"/>
      <c r="K13" s="176">
        <f>SUBTOTAL(109,S_A_442[VALOR TOTAL ANTES DE IVA])</f>
        <v>638617185.53578401</v>
      </c>
      <c r="L13" s="177"/>
    </row>
    <row r="14" spans="1:12">
      <c r="A14" s="168" t="s">
        <v>88</v>
      </c>
      <c r="B14" s="169"/>
      <c r="C14" s="169"/>
      <c r="D14" s="33">
        <v>0.1</v>
      </c>
      <c r="E14" s="34">
        <f>+D13*10%</f>
        <v>62327179</v>
      </c>
      <c r="H14" s="168" t="s">
        <v>88</v>
      </c>
      <c r="I14" s="169"/>
      <c r="J14" s="169"/>
      <c r="K14" s="33">
        <v>0.1</v>
      </c>
      <c r="L14" s="34">
        <f>+K13*10%</f>
        <v>63861718.553578407</v>
      </c>
    </row>
    <row r="15" spans="1:12">
      <c r="A15" s="168" t="s">
        <v>89</v>
      </c>
      <c r="B15" s="169"/>
      <c r="C15" s="169"/>
      <c r="D15" s="33">
        <v>0.19</v>
      </c>
      <c r="E15" s="35">
        <f>E14*D15</f>
        <v>11842164.01</v>
      </c>
      <c r="H15" s="168" t="s">
        <v>89</v>
      </c>
      <c r="I15" s="169"/>
      <c r="J15" s="169"/>
      <c r="K15" s="33">
        <v>0.19</v>
      </c>
      <c r="L15" s="35">
        <f>L14*K15</f>
        <v>12133726.525179897</v>
      </c>
    </row>
    <row r="16" spans="1:12">
      <c r="A16" s="168" t="s">
        <v>90</v>
      </c>
      <c r="B16" s="169"/>
      <c r="C16" s="169"/>
      <c r="D16" s="36"/>
      <c r="E16" s="37">
        <f>SUM(E8:E12)</f>
        <v>14300000</v>
      </c>
      <c r="H16" s="168" t="s">
        <v>90</v>
      </c>
      <c r="I16" s="169"/>
      <c r="J16" s="169"/>
      <c r="K16" s="36"/>
      <c r="L16" s="37">
        <f>SUM(L8:L12)</f>
        <v>14300000</v>
      </c>
    </row>
    <row r="17" spans="1:12">
      <c r="A17" s="168" t="s">
        <v>91</v>
      </c>
      <c r="B17" s="169"/>
      <c r="C17" s="169"/>
      <c r="D17" s="38">
        <v>0.19</v>
      </c>
      <c r="E17" s="35">
        <f>+E16*D17</f>
        <v>2717000</v>
      </c>
      <c r="H17" s="168" t="s">
        <v>91</v>
      </c>
      <c r="I17" s="169"/>
      <c r="J17" s="169"/>
      <c r="K17" s="38">
        <v>0.19</v>
      </c>
      <c r="L17" s="35">
        <f>+L16*K17</f>
        <v>2717000</v>
      </c>
    </row>
    <row r="18" spans="1:12" ht="15.75" thickBot="1">
      <c r="A18" s="170" t="s">
        <v>21</v>
      </c>
      <c r="B18" s="171"/>
      <c r="C18" s="171"/>
      <c r="D18" s="172">
        <f>+D13+E15+E17</f>
        <v>637830954.00999999</v>
      </c>
      <c r="E18" s="173"/>
      <c r="H18" s="170" t="s">
        <v>21</v>
      </c>
      <c r="I18" s="171"/>
      <c r="J18" s="171"/>
      <c r="K18" s="172">
        <f>+K13+L15+L17</f>
        <v>653467912.06096387</v>
      </c>
      <c r="L18" s="173"/>
    </row>
    <row r="21" spans="1:12">
      <c r="A21" s="178" t="s">
        <v>92</v>
      </c>
      <c r="B21" s="178"/>
      <c r="C21" s="178"/>
      <c r="D21" s="178"/>
      <c r="E21" s="178"/>
      <c r="H21" s="178" t="s">
        <v>92</v>
      </c>
      <c r="I21" s="178"/>
      <c r="J21" s="178"/>
      <c r="K21" s="178"/>
      <c r="L21" s="178"/>
    </row>
  </sheetData>
  <mergeCells count="20">
    <mergeCell ref="H18:J18"/>
    <mergeCell ref="K18:L18"/>
    <mergeCell ref="H21:L21"/>
    <mergeCell ref="A21:E21"/>
    <mergeCell ref="A1:E1"/>
    <mergeCell ref="H1:L1"/>
    <mergeCell ref="A16:C16"/>
    <mergeCell ref="A17:C17"/>
    <mergeCell ref="A18:C18"/>
    <mergeCell ref="D18:E18"/>
    <mergeCell ref="H13:J13"/>
    <mergeCell ref="H14:J14"/>
    <mergeCell ref="H15:J15"/>
    <mergeCell ref="H16:J16"/>
    <mergeCell ref="H17:J17"/>
    <mergeCell ref="A13:C13"/>
    <mergeCell ref="D13:E13"/>
    <mergeCell ref="A14:C14"/>
    <mergeCell ref="A15:C15"/>
    <mergeCell ref="K13:L13"/>
  </mergeCells>
  <pageMargins left="0.7" right="0.7" top="0.75" bottom="0.75" header="0.3" footer="0.3"/>
  <tableParts count="2">
    <tablePart r:id="rId1"/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3"/>
  <sheetViews>
    <sheetView topLeftCell="G1" workbookViewId="0">
      <selection activeCell="I3" sqref="I3:I6"/>
    </sheetView>
  </sheetViews>
  <sheetFormatPr defaultColWidth="11.42578125" defaultRowHeight="15"/>
  <cols>
    <col min="2" max="2" width="27" customWidth="1"/>
    <col min="4" max="4" width="14.7109375" bestFit="1" customWidth="1"/>
    <col min="5" max="5" width="11.85546875" bestFit="1" customWidth="1"/>
    <col min="6" max="6" width="13.85546875" customWidth="1"/>
    <col min="7" max="7" width="13" bestFit="1" customWidth="1"/>
    <col min="8" max="8" width="13.85546875" bestFit="1" customWidth="1"/>
    <col min="9" max="9" width="16.5703125" bestFit="1" customWidth="1"/>
    <col min="12" max="12" width="14" bestFit="1" customWidth="1"/>
    <col min="15" max="15" width="14.140625" customWidth="1"/>
  </cols>
  <sheetData>
    <row r="1" spans="1:15" ht="53.25" customHeight="1">
      <c r="A1" s="164" t="s">
        <v>93</v>
      </c>
      <c r="B1" s="164"/>
      <c r="C1" s="164"/>
      <c r="D1" s="164"/>
      <c r="E1" s="164"/>
      <c r="F1" s="164"/>
      <c r="G1" s="164"/>
      <c r="H1" s="164"/>
      <c r="I1" s="164"/>
    </row>
    <row r="2" spans="1:15" ht="24">
      <c r="A2" s="1" t="s">
        <v>4</v>
      </c>
      <c r="B2" s="1" t="s">
        <v>5</v>
      </c>
      <c r="C2" s="1" t="s">
        <v>6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ht="36">
      <c r="A3" s="3">
        <v>1</v>
      </c>
      <c r="B3" s="5" t="s">
        <v>14</v>
      </c>
      <c r="C3" s="3">
        <v>33</v>
      </c>
      <c r="D3" s="2">
        <f>1423500*9.53</f>
        <v>13565955</v>
      </c>
      <c r="E3" s="2">
        <v>1500</v>
      </c>
      <c r="F3" s="2">
        <f>SUM(D3:E3)</f>
        <v>13567455</v>
      </c>
      <c r="G3" s="2">
        <f>F3*10%</f>
        <v>1356745.5</v>
      </c>
      <c r="H3" s="2">
        <f>SUM(F3:G3)</f>
        <v>14924200.5</v>
      </c>
      <c r="I3" s="2">
        <f>H3*C3</f>
        <v>492498616.5</v>
      </c>
      <c r="J3" s="2">
        <f>1423500*9.77</f>
        <v>13907595</v>
      </c>
      <c r="K3" s="2">
        <v>1500</v>
      </c>
      <c r="L3" s="2">
        <f>SUM(J3:K3)</f>
        <v>13909095</v>
      </c>
      <c r="M3" s="2">
        <f>L3*10%</f>
        <v>1390909.5</v>
      </c>
      <c r="N3" s="2">
        <f>SUM(L3:M3)</f>
        <v>15300004.5</v>
      </c>
      <c r="O3" s="2">
        <f>+N3*C3</f>
        <v>504900148.5</v>
      </c>
    </row>
    <row r="4" spans="1:15" ht="36">
      <c r="A4" s="3">
        <v>2</v>
      </c>
      <c r="B4" s="5" t="s">
        <v>15</v>
      </c>
      <c r="C4" s="3">
        <v>3</v>
      </c>
      <c r="D4" s="2">
        <f>1423500*9.53</f>
        <v>13565955</v>
      </c>
      <c r="E4" s="2">
        <v>1500</v>
      </c>
      <c r="F4" s="2">
        <f>SUM(D4:E4)</f>
        <v>13567455</v>
      </c>
      <c r="G4" s="2">
        <f>F4*8%</f>
        <v>1085396.3999999999</v>
      </c>
      <c r="H4" s="2">
        <f>SUM(F4:G4)</f>
        <v>14652851.4</v>
      </c>
      <c r="I4" s="2">
        <f>H4*C4</f>
        <v>43958554.200000003</v>
      </c>
      <c r="J4" s="2">
        <f>1423500*9.77</f>
        <v>13907595</v>
      </c>
      <c r="K4" s="2">
        <v>1500</v>
      </c>
      <c r="L4" s="2">
        <f>SUM(J4:K4)</f>
        <v>13909095</v>
      </c>
      <c r="M4" s="2">
        <f>L4*8%</f>
        <v>1112727.6000000001</v>
      </c>
      <c r="N4" s="2">
        <f>SUM(L4:M4)</f>
        <v>15021822.6</v>
      </c>
      <c r="O4" s="2">
        <f t="shared" ref="O4:O6" si="0">+N4*C4</f>
        <v>45065467.799999997</v>
      </c>
    </row>
    <row r="5" spans="1:15" ht="36">
      <c r="A5" s="3">
        <v>3</v>
      </c>
      <c r="B5" s="5" t="s">
        <v>16</v>
      </c>
      <c r="C5" s="3">
        <v>27</v>
      </c>
      <c r="D5" s="2">
        <f>1423500*9.53</f>
        <v>13565955</v>
      </c>
      <c r="E5" s="2">
        <v>1500</v>
      </c>
      <c r="F5" s="2">
        <f>SUM(D5:E5)*0.5597/15*12/30*20</f>
        <v>4049975.7671999997</v>
      </c>
      <c r="G5" s="2">
        <f>F5*10%</f>
        <v>404997.57672000001</v>
      </c>
      <c r="H5" s="2">
        <f>SUM(F5:G5)</f>
        <v>4454973.3439199999</v>
      </c>
      <c r="I5" s="2">
        <f>H5*C5</f>
        <v>120284280.28584</v>
      </c>
      <c r="J5" s="2">
        <f>1423500*9.77</f>
        <v>13907595</v>
      </c>
      <c r="K5" s="2">
        <v>1500</v>
      </c>
      <c r="L5" s="2">
        <f>SUM(J5:K5)*0.5597/15*12/30*20</f>
        <v>4151957.5848000003</v>
      </c>
      <c r="M5" s="2">
        <f>L5*10%</f>
        <v>415195.75848000008</v>
      </c>
      <c r="N5" s="2">
        <f>SUM(L5:M5)</f>
        <v>4567153.3432800006</v>
      </c>
      <c r="O5" s="2">
        <f t="shared" si="0"/>
        <v>123313140.26856002</v>
      </c>
    </row>
    <row r="6" spans="1:15" ht="60">
      <c r="A6" s="3">
        <v>4</v>
      </c>
      <c r="B6" s="5" t="s">
        <v>17</v>
      </c>
      <c r="C6" s="3">
        <v>3</v>
      </c>
      <c r="D6" s="2">
        <f>1423500*9.53</f>
        <v>13565955</v>
      </c>
      <c r="E6" s="2">
        <v>1500</v>
      </c>
      <c r="F6" s="2">
        <f>SUM(D6:E6)*0.5597/15*12/30*20</f>
        <v>4049975.7671999997</v>
      </c>
      <c r="G6" s="2">
        <f>F6*11%</f>
        <v>445497.33439199999</v>
      </c>
      <c r="H6" s="2">
        <f>SUM(F6:G6)</f>
        <v>4495473.1015919996</v>
      </c>
      <c r="I6" s="2">
        <f>H6*C6</f>
        <v>13486419.304775998</v>
      </c>
      <c r="J6" s="2">
        <f>1423500*9.77</f>
        <v>13907595</v>
      </c>
      <c r="K6" s="2">
        <v>1500</v>
      </c>
      <c r="L6" s="2">
        <f>SUM(J6:K6)*0.5597/15*12/30*20</f>
        <v>4151957.5848000003</v>
      </c>
      <c r="M6" s="2">
        <f>L6*11%</f>
        <v>456715.33432800003</v>
      </c>
      <c r="N6" s="2">
        <f>SUM(L6:M6)</f>
        <v>4608672.9191280007</v>
      </c>
      <c r="O6" s="2">
        <f t="shared" si="0"/>
        <v>13826018.757384002</v>
      </c>
    </row>
    <row r="7" spans="1:15" ht="84">
      <c r="A7" s="3">
        <v>5</v>
      </c>
      <c r="B7" s="5" t="s">
        <v>26</v>
      </c>
      <c r="C7" s="3">
        <v>6</v>
      </c>
      <c r="D7" s="2">
        <v>704184</v>
      </c>
      <c r="E7" s="5">
        <v>0</v>
      </c>
      <c r="F7" s="3">
        <v>0</v>
      </c>
      <c r="G7" s="2">
        <v>0</v>
      </c>
      <c r="H7" s="5">
        <v>0</v>
      </c>
      <c r="I7" s="3">
        <f>D7*C7</f>
        <v>4225104</v>
      </c>
      <c r="J7" s="2">
        <v>928039.62</v>
      </c>
      <c r="K7" s="5">
        <v>0</v>
      </c>
      <c r="L7" s="3">
        <v>0</v>
      </c>
      <c r="M7" s="2">
        <v>0</v>
      </c>
      <c r="N7" s="5">
        <v>0</v>
      </c>
      <c r="O7" s="2">
        <f>+J7*C7</f>
        <v>5568237.7199999997</v>
      </c>
    </row>
    <row r="8" spans="1:15" ht="48">
      <c r="A8" s="3">
        <v>6</v>
      </c>
      <c r="B8" s="5" t="s">
        <v>27</v>
      </c>
      <c r="C8" s="3">
        <v>4</v>
      </c>
      <c r="D8" s="2">
        <v>402158</v>
      </c>
      <c r="E8" s="5">
        <v>0</v>
      </c>
      <c r="F8" s="3">
        <v>0</v>
      </c>
      <c r="G8" s="2">
        <v>0</v>
      </c>
      <c r="H8" s="5">
        <v>0</v>
      </c>
      <c r="I8" s="3">
        <f t="shared" ref="I8:I10" si="1">D8*C8</f>
        <v>1608632</v>
      </c>
      <c r="J8" s="2">
        <v>346452.21</v>
      </c>
      <c r="K8" s="5">
        <v>0</v>
      </c>
      <c r="L8" s="3">
        <v>0</v>
      </c>
      <c r="M8" s="2">
        <v>0</v>
      </c>
      <c r="N8" s="5">
        <v>0</v>
      </c>
      <c r="O8" s="2">
        <f t="shared" ref="O8:O9" si="2">+J8*C8</f>
        <v>1385808.84</v>
      </c>
    </row>
    <row r="9" spans="1:15" ht="36">
      <c r="A9" s="3">
        <v>7</v>
      </c>
      <c r="B9" s="5" t="s">
        <v>28</v>
      </c>
      <c r="C9" s="3">
        <v>2</v>
      </c>
      <c r="D9" s="2">
        <v>282919</v>
      </c>
      <c r="E9" s="5">
        <v>0</v>
      </c>
      <c r="F9" s="3">
        <v>0</v>
      </c>
      <c r="G9" s="2">
        <v>0</v>
      </c>
      <c r="H9" s="5">
        <v>0</v>
      </c>
      <c r="I9" s="3">
        <f>D9*C9</f>
        <v>565838</v>
      </c>
      <c r="J9" s="2">
        <v>346452.21</v>
      </c>
      <c r="K9" s="5">
        <v>0</v>
      </c>
      <c r="L9" s="3">
        <v>0</v>
      </c>
      <c r="M9" s="2">
        <v>0</v>
      </c>
      <c r="N9" s="5">
        <v>0</v>
      </c>
      <c r="O9" s="2">
        <f t="shared" si="2"/>
        <v>692904.42</v>
      </c>
    </row>
    <row r="10" spans="1:15" ht="48">
      <c r="A10" s="3">
        <v>8</v>
      </c>
      <c r="B10" s="5" t="s">
        <v>29</v>
      </c>
      <c r="C10" s="3">
        <v>6</v>
      </c>
      <c r="D10" s="2">
        <v>1152582</v>
      </c>
      <c r="E10" s="5">
        <v>0</v>
      </c>
      <c r="F10" s="3">
        <v>0</v>
      </c>
      <c r="G10" s="2">
        <v>0</v>
      </c>
      <c r="H10" s="5">
        <v>0</v>
      </c>
      <c r="I10" s="3">
        <f t="shared" si="1"/>
        <v>6915492</v>
      </c>
      <c r="J10" s="2">
        <v>1152554.23</v>
      </c>
      <c r="K10" s="5">
        <v>0</v>
      </c>
      <c r="L10" s="3">
        <v>0</v>
      </c>
      <c r="M10" s="2">
        <v>0</v>
      </c>
      <c r="N10" s="5">
        <v>0</v>
      </c>
      <c r="O10" s="2">
        <f>+J10*C10</f>
        <v>6915325.3799999999</v>
      </c>
    </row>
    <row r="11" spans="1:15" ht="15" customHeight="1">
      <c r="A11" s="115" t="s">
        <v>18</v>
      </c>
      <c r="B11" s="116"/>
      <c r="C11" s="116"/>
      <c r="D11" s="116"/>
      <c r="E11" s="116"/>
      <c r="F11" s="116"/>
      <c r="G11" s="116"/>
      <c r="H11" s="117"/>
      <c r="I11" s="4">
        <f>SUM(I3:I10)</f>
        <v>683542936.29061592</v>
      </c>
      <c r="O11" s="4">
        <f>SUM(O3:O10)</f>
        <v>701667051.68594396</v>
      </c>
    </row>
    <row r="12" spans="1:15" ht="15" customHeight="1">
      <c r="A12" s="115" t="s">
        <v>19</v>
      </c>
      <c r="B12" s="116"/>
      <c r="C12" s="116"/>
      <c r="D12" s="116"/>
      <c r="E12" s="116"/>
      <c r="F12" s="116"/>
      <c r="G12" s="116"/>
      <c r="H12" s="117"/>
      <c r="I12" s="4">
        <f>SUM(I3:I6)*10%</f>
        <v>67022787.029061593</v>
      </c>
      <c r="O12" s="4">
        <f>SUM(O3:O6)*10%</f>
        <v>68710477.532594398</v>
      </c>
    </row>
    <row r="13" spans="1:15" ht="15" customHeight="1">
      <c r="A13" s="115" t="s">
        <v>20</v>
      </c>
      <c r="B13" s="116"/>
      <c r="C13" s="116"/>
      <c r="D13" s="116"/>
      <c r="E13" s="116"/>
      <c r="F13" s="116"/>
      <c r="G13" s="116"/>
      <c r="H13" s="117"/>
      <c r="I13" s="4">
        <f>I12*19%</f>
        <v>12734329.535521703</v>
      </c>
      <c r="O13" s="4">
        <f>O12*19%</f>
        <v>13054990.731192935</v>
      </c>
    </row>
    <row r="14" spans="1:15" ht="15" customHeight="1">
      <c r="A14" s="115" t="s">
        <v>30</v>
      </c>
      <c r="B14" s="116"/>
      <c r="C14" s="116"/>
      <c r="D14" s="116"/>
      <c r="E14" s="116"/>
      <c r="F14" s="116"/>
      <c r="G14" s="116"/>
      <c r="H14" s="117"/>
      <c r="I14" s="4">
        <f>SUM(I7:I10)</f>
        <v>13315066</v>
      </c>
      <c r="O14" s="4">
        <f>SUM(O7:O10)</f>
        <v>14562276.359999999</v>
      </c>
    </row>
    <row r="15" spans="1:15" ht="15" customHeight="1">
      <c r="A15" s="115" t="s">
        <v>31</v>
      </c>
      <c r="B15" s="116"/>
      <c r="C15" s="116"/>
      <c r="D15" s="116"/>
      <c r="E15" s="116"/>
      <c r="F15" s="116"/>
      <c r="G15" s="116"/>
      <c r="H15" s="117"/>
      <c r="I15" s="4">
        <f>I14*19%</f>
        <v>2529862.54</v>
      </c>
      <c r="O15" s="4">
        <f>O14*19%</f>
        <v>2766832.5083999997</v>
      </c>
    </row>
    <row r="16" spans="1:15">
      <c r="A16" s="115" t="s">
        <v>21</v>
      </c>
      <c r="B16" s="116"/>
      <c r="C16" s="116"/>
      <c r="D16" s="116"/>
      <c r="E16" s="116"/>
      <c r="F16" s="116"/>
      <c r="G16" s="116"/>
      <c r="H16" s="117"/>
      <c r="I16" s="4">
        <f>I11+I13+I15</f>
        <v>698807128.36613762</v>
      </c>
      <c r="L16" s="6"/>
      <c r="O16" s="4">
        <f>O11+O13+O15</f>
        <v>717488874.92553687</v>
      </c>
    </row>
    <row r="19" spans="7:15">
      <c r="G19" t="s">
        <v>35</v>
      </c>
      <c r="I19" s="9">
        <f>+I16/30</f>
        <v>23293570.945537921</v>
      </c>
      <c r="O19" s="9">
        <f>+O16/30</f>
        <v>23916295.830851231</v>
      </c>
    </row>
    <row r="20" spans="7:15">
      <c r="G20" t="s">
        <v>48</v>
      </c>
      <c r="H20">
        <v>24</v>
      </c>
      <c r="I20" s="9">
        <f>+I19*H20</f>
        <v>559045702.69291008</v>
      </c>
      <c r="M20" t="s">
        <v>49</v>
      </c>
      <c r="N20">
        <v>6</v>
      </c>
      <c r="O20" s="9">
        <f>+O19*N20</f>
        <v>143497774.98510739</v>
      </c>
    </row>
    <row r="23" spans="7:15">
      <c r="J23" t="s">
        <v>50</v>
      </c>
      <c r="L23" s="10">
        <f>+I20+O20</f>
        <v>702543477.6780175</v>
      </c>
    </row>
  </sheetData>
  <mergeCells count="7">
    <mergeCell ref="A16:H16"/>
    <mergeCell ref="A1:I1"/>
    <mergeCell ref="A11:H11"/>
    <mergeCell ref="A12:H12"/>
    <mergeCell ref="A13:H13"/>
    <mergeCell ref="A14:H14"/>
    <mergeCell ref="A15:H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6"/>
  <sheetViews>
    <sheetView tabSelected="1" workbookViewId="0">
      <selection activeCell="D2" sqref="D2"/>
    </sheetView>
  </sheetViews>
  <sheetFormatPr defaultColWidth="11.42578125" defaultRowHeight="15"/>
  <cols>
    <col min="2" max="2" width="27" customWidth="1"/>
    <col min="4" max="4" width="14.7109375" bestFit="1" customWidth="1"/>
    <col min="5" max="5" width="11.85546875" bestFit="1" customWidth="1"/>
    <col min="6" max="6" width="13.85546875" customWidth="1"/>
    <col min="7" max="7" width="13" bestFit="1" customWidth="1"/>
    <col min="8" max="8" width="13.85546875" bestFit="1" customWidth="1"/>
    <col min="9" max="9" width="16.5703125" bestFit="1" customWidth="1"/>
    <col min="12" max="12" width="14" bestFit="1" customWidth="1"/>
    <col min="15" max="15" width="14.140625" customWidth="1"/>
  </cols>
  <sheetData>
    <row r="1" spans="1:15" ht="53.25" customHeight="1">
      <c r="A1" s="164" t="s">
        <v>93</v>
      </c>
      <c r="B1" s="164"/>
      <c r="C1" s="164"/>
      <c r="D1" s="164"/>
      <c r="E1" s="164"/>
      <c r="F1" s="164"/>
      <c r="G1" s="164"/>
      <c r="H1" s="164"/>
      <c r="I1" s="164"/>
    </row>
    <row r="2" spans="1:15" ht="24">
      <c r="A2" s="1" t="s">
        <v>4</v>
      </c>
      <c r="B2" s="1" t="s">
        <v>5</v>
      </c>
      <c r="C2" s="1" t="s">
        <v>6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ht="36">
      <c r="A3" s="3">
        <v>1</v>
      </c>
      <c r="B3" s="5" t="s">
        <v>14</v>
      </c>
      <c r="C3" s="3">
        <v>33</v>
      </c>
      <c r="D3" s="2">
        <f>1423500*9.53</f>
        <v>13565955</v>
      </c>
      <c r="E3" s="2">
        <v>999</v>
      </c>
      <c r="F3" s="2">
        <f>SUM(D3:E3)</f>
        <v>13566954</v>
      </c>
      <c r="G3" s="2">
        <f>F3*10%</f>
        <v>1356695.4000000001</v>
      </c>
      <c r="H3" s="2">
        <f>SUM(F3:G3)</f>
        <v>14923649.4</v>
      </c>
      <c r="I3" s="2">
        <f>H3*C3</f>
        <v>492480430.19999999</v>
      </c>
      <c r="J3" s="2">
        <f>1423500*9.77</f>
        <v>13907595</v>
      </c>
      <c r="K3" s="2">
        <v>999</v>
      </c>
      <c r="L3" s="2">
        <f>SUM(J3:K3)</f>
        <v>13908594</v>
      </c>
      <c r="M3" s="2">
        <f>L3*10%</f>
        <v>1390859.4000000001</v>
      </c>
      <c r="N3" s="2">
        <f>SUM(L3:M3)</f>
        <v>15299453.4</v>
      </c>
      <c r="O3" s="2">
        <f>+N3*C3</f>
        <v>504881962.19999999</v>
      </c>
    </row>
    <row r="4" spans="1:15" ht="36">
      <c r="A4" s="3">
        <v>2</v>
      </c>
      <c r="B4" s="5" t="s">
        <v>15</v>
      </c>
      <c r="C4" s="3">
        <v>3</v>
      </c>
      <c r="D4" s="2">
        <f>1423500*9.53</f>
        <v>13565955</v>
      </c>
      <c r="E4" s="2">
        <v>999</v>
      </c>
      <c r="F4" s="2">
        <f>SUM(D4:E4)</f>
        <v>13566954</v>
      </c>
      <c r="G4" s="2">
        <f>F4*8%</f>
        <v>1085356.32</v>
      </c>
      <c r="H4" s="2">
        <f>SUM(F4:G4)</f>
        <v>14652310.32</v>
      </c>
      <c r="I4" s="2">
        <f>H4*C4</f>
        <v>43956930.960000001</v>
      </c>
      <c r="J4" s="2">
        <f>1423500*9.77</f>
        <v>13907595</v>
      </c>
      <c r="K4" s="2">
        <v>999</v>
      </c>
      <c r="L4" s="2">
        <f>SUM(J4:K4)</f>
        <v>13908594</v>
      </c>
      <c r="M4" s="2">
        <f>L4*8%</f>
        <v>1112687.52</v>
      </c>
      <c r="N4" s="2">
        <f>SUM(L4:M4)</f>
        <v>15021281.52</v>
      </c>
      <c r="O4" s="2">
        <f t="shared" ref="O4:O6" si="0">+N4*C4</f>
        <v>45063844.560000002</v>
      </c>
    </row>
    <row r="5" spans="1:15" ht="36">
      <c r="A5" s="3">
        <v>3</v>
      </c>
      <c r="B5" s="5" t="s">
        <v>16</v>
      </c>
      <c r="C5" s="3">
        <v>27</v>
      </c>
      <c r="D5" s="2">
        <f>1423500*9.53</f>
        <v>13565955</v>
      </c>
      <c r="E5" s="2">
        <v>999</v>
      </c>
      <c r="F5" s="2">
        <f>SUM(D5:E5)*0.5597/15*12/30*20</f>
        <v>4049826.2153599993</v>
      </c>
      <c r="G5" s="2">
        <f>F5*10%</f>
        <v>404982.62153599993</v>
      </c>
      <c r="H5" s="2">
        <f>SUM(F5:G5)</f>
        <v>4454808.8368959995</v>
      </c>
      <c r="I5" s="2">
        <f>H5*C5</f>
        <v>120279838.59619199</v>
      </c>
      <c r="J5" s="2">
        <f>1423500*9.77</f>
        <v>13907595</v>
      </c>
      <c r="K5" s="2">
        <v>999</v>
      </c>
      <c r="L5" s="2">
        <f>SUM(J5:K5)*0.5597/15*12/30*20</f>
        <v>4151808.0329599995</v>
      </c>
      <c r="M5" s="2">
        <f>L5*10%</f>
        <v>415180.803296</v>
      </c>
      <c r="N5" s="2">
        <f>SUM(L5:M5)</f>
        <v>4566988.8362559993</v>
      </c>
      <c r="O5" s="2">
        <f t="shared" si="0"/>
        <v>123308698.57891198</v>
      </c>
    </row>
    <row r="6" spans="1:15" ht="60">
      <c r="A6" s="3">
        <v>4</v>
      </c>
      <c r="B6" s="5" t="s">
        <v>17</v>
      </c>
      <c r="C6" s="3">
        <v>3</v>
      </c>
      <c r="D6" s="2">
        <f>1423500*9.53</f>
        <v>13565955</v>
      </c>
      <c r="E6" s="2">
        <v>999</v>
      </c>
      <c r="F6" s="2">
        <f>SUM(D6:E6)*0.5597/15*12/30*20</f>
        <v>4049826.2153599993</v>
      </c>
      <c r="G6" s="2">
        <f>F6*11%</f>
        <v>445480.88368959993</v>
      </c>
      <c r="H6" s="2">
        <f>SUM(F6:G6)</f>
        <v>4495307.0990495989</v>
      </c>
      <c r="I6" s="2">
        <f>H6*C6</f>
        <v>13485921.297148798</v>
      </c>
      <c r="J6" s="2">
        <f>1423500*9.77</f>
        <v>13907595</v>
      </c>
      <c r="K6" s="2">
        <v>999</v>
      </c>
      <c r="L6" s="2">
        <f>SUM(J6:K6)*0.5597/15*12/30*20</f>
        <v>4151808.0329599995</v>
      </c>
      <c r="M6" s="2">
        <f>L6*11%</f>
        <v>456698.88362559996</v>
      </c>
      <c r="N6" s="2">
        <f>SUM(L6:M6)</f>
        <v>4608506.9165855991</v>
      </c>
      <c r="O6" s="2">
        <f t="shared" si="0"/>
        <v>13825520.749756798</v>
      </c>
    </row>
    <row r="7" spans="1:15" ht="84">
      <c r="A7" s="3">
        <v>5</v>
      </c>
      <c r="B7" s="5" t="s">
        <v>26</v>
      </c>
      <c r="C7" s="3">
        <v>6</v>
      </c>
      <c r="D7" s="2">
        <v>928039.62</v>
      </c>
      <c r="E7" s="5">
        <v>0</v>
      </c>
      <c r="F7" s="3">
        <v>0</v>
      </c>
      <c r="G7" s="2">
        <v>0</v>
      </c>
      <c r="H7" s="5">
        <v>0</v>
      </c>
      <c r="I7" s="3">
        <f>D7*C7</f>
        <v>5568237.7199999997</v>
      </c>
      <c r="J7" s="2">
        <v>928039.62</v>
      </c>
      <c r="K7" s="5">
        <v>0</v>
      </c>
      <c r="L7" s="3">
        <v>0</v>
      </c>
      <c r="M7" s="2">
        <v>0</v>
      </c>
      <c r="N7" s="5">
        <v>0</v>
      </c>
      <c r="O7" s="2">
        <f>+J7*C7</f>
        <v>5568237.7199999997</v>
      </c>
    </row>
    <row r="8" spans="1:15" ht="48">
      <c r="A8" s="3">
        <v>6</v>
      </c>
      <c r="B8" s="5" t="s">
        <v>27</v>
      </c>
      <c r="C8" s="3">
        <v>4</v>
      </c>
      <c r="D8" s="2">
        <v>346452.21</v>
      </c>
      <c r="E8" s="5">
        <v>0</v>
      </c>
      <c r="F8" s="3">
        <v>0</v>
      </c>
      <c r="G8" s="2">
        <v>0</v>
      </c>
      <c r="H8" s="5">
        <v>0</v>
      </c>
      <c r="I8" s="3">
        <f t="shared" ref="I8:I10" si="1">D8*C8</f>
        <v>1385808.84</v>
      </c>
      <c r="J8" s="2">
        <v>346452.21</v>
      </c>
      <c r="K8" s="5">
        <v>0</v>
      </c>
      <c r="L8" s="3">
        <v>0</v>
      </c>
      <c r="M8" s="2">
        <v>0</v>
      </c>
      <c r="N8" s="5">
        <v>0</v>
      </c>
      <c r="O8" s="2">
        <f t="shared" ref="O8:O9" si="2">+J8*C8</f>
        <v>1385808.84</v>
      </c>
    </row>
    <row r="9" spans="1:15" ht="36">
      <c r="A9" s="3">
        <v>7</v>
      </c>
      <c r="B9" s="5" t="s">
        <v>28</v>
      </c>
      <c r="C9" s="3">
        <v>2</v>
      </c>
      <c r="D9" s="2">
        <v>346452.21</v>
      </c>
      <c r="E9" s="5">
        <v>0</v>
      </c>
      <c r="F9" s="3">
        <v>0</v>
      </c>
      <c r="G9" s="2">
        <v>0</v>
      </c>
      <c r="H9" s="5">
        <v>0</v>
      </c>
      <c r="I9" s="3">
        <f>D9*C9</f>
        <v>692904.42</v>
      </c>
      <c r="J9" s="2">
        <v>346452.21</v>
      </c>
      <c r="K9" s="5">
        <v>0</v>
      </c>
      <c r="L9" s="3">
        <v>0</v>
      </c>
      <c r="M9" s="2">
        <v>0</v>
      </c>
      <c r="N9" s="5">
        <v>0</v>
      </c>
      <c r="O9" s="2">
        <f t="shared" si="2"/>
        <v>692904.42</v>
      </c>
    </row>
    <row r="10" spans="1:15" ht="48">
      <c r="A10" s="3">
        <v>8</v>
      </c>
      <c r="B10" s="5" t="s">
        <v>29</v>
      </c>
      <c r="C10" s="3">
        <v>6</v>
      </c>
      <c r="D10" s="2">
        <v>1152554.23</v>
      </c>
      <c r="E10" s="5">
        <v>0</v>
      </c>
      <c r="F10" s="3">
        <v>0</v>
      </c>
      <c r="G10" s="2">
        <v>0</v>
      </c>
      <c r="H10" s="5">
        <v>0</v>
      </c>
      <c r="I10" s="3">
        <f t="shared" si="1"/>
        <v>6915325.3799999999</v>
      </c>
      <c r="J10" s="2">
        <v>1152554.23</v>
      </c>
      <c r="K10" s="5">
        <v>0</v>
      </c>
      <c r="L10" s="3">
        <v>0</v>
      </c>
      <c r="M10" s="2">
        <v>0</v>
      </c>
      <c r="N10" s="5">
        <v>0</v>
      </c>
      <c r="O10" s="2">
        <f>+J10*C10</f>
        <v>6915325.3799999999</v>
      </c>
    </row>
    <row r="11" spans="1:15" ht="15" customHeight="1">
      <c r="A11" s="115" t="s">
        <v>18</v>
      </c>
      <c r="B11" s="116"/>
      <c r="C11" s="116"/>
      <c r="D11" s="116"/>
      <c r="E11" s="116"/>
      <c r="F11" s="116"/>
      <c r="G11" s="116"/>
      <c r="H11" s="117"/>
      <c r="I11" s="4">
        <f>SUM(I3:I10)</f>
        <v>684765397.41334081</v>
      </c>
      <c r="O11" s="4">
        <f>SUM(O3:O10)</f>
        <v>701642302.44866884</v>
      </c>
    </row>
    <row r="12" spans="1:15" ht="15" customHeight="1">
      <c r="A12" s="115" t="s">
        <v>19</v>
      </c>
      <c r="B12" s="116"/>
      <c r="C12" s="116"/>
      <c r="D12" s="116"/>
      <c r="E12" s="116"/>
      <c r="F12" s="116"/>
      <c r="G12" s="116"/>
      <c r="H12" s="117"/>
      <c r="I12" s="4">
        <f>SUM(I3:I6)*10%</f>
        <v>67020312.105334081</v>
      </c>
      <c r="O12" s="4">
        <f>SUM(O3:O6)*10%</f>
        <v>68708002.608866885</v>
      </c>
    </row>
    <row r="13" spans="1:15" ht="15" customHeight="1">
      <c r="A13" s="115" t="s">
        <v>20</v>
      </c>
      <c r="B13" s="116"/>
      <c r="C13" s="116"/>
      <c r="D13" s="116"/>
      <c r="E13" s="116"/>
      <c r="F13" s="116"/>
      <c r="G13" s="116"/>
      <c r="H13" s="117"/>
      <c r="I13" s="4">
        <f>I12*19%</f>
        <v>12733859.300013475</v>
      </c>
      <c r="O13" s="4">
        <f>O12*19%</f>
        <v>13054520.495684708</v>
      </c>
    </row>
    <row r="14" spans="1:15" ht="15" customHeight="1">
      <c r="A14" s="115" t="s">
        <v>30</v>
      </c>
      <c r="B14" s="116"/>
      <c r="C14" s="116"/>
      <c r="D14" s="116"/>
      <c r="E14" s="116"/>
      <c r="F14" s="116"/>
      <c r="G14" s="116"/>
      <c r="H14" s="117"/>
      <c r="I14" s="4">
        <f>SUM(I7:I10)</f>
        <v>14562276.359999999</v>
      </c>
      <c r="O14" s="4">
        <f>SUM(O7:O10)</f>
        <v>14562276.359999999</v>
      </c>
    </row>
    <row r="15" spans="1:15" ht="15" customHeight="1">
      <c r="A15" s="115" t="s">
        <v>31</v>
      </c>
      <c r="B15" s="116"/>
      <c r="C15" s="116"/>
      <c r="D15" s="116"/>
      <c r="E15" s="116"/>
      <c r="F15" s="116"/>
      <c r="G15" s="116"/>
      <c r="H15" s="117"/>
      <c r="I15" s="4">
        <f>I14*19%</f>
        <v>2766832.5083999997</v>
      </c>
      <c r="O15" s="4">
        <f>O14*19%</f>
        <v>2766832.5083999997</v>
      </c>
    </row>
    <row r="16" spans="1:15">
      <c r="A16" s="115" t="s">
        <v>21</v>
      </c>
      <c r="B16" s="116"/>
      <c r="C16" s="116"/>
      <c r="D16" s="116"/>
      <c r="E16" s="116"/>
      <c r="F16" s="116"/>
      <c r="G16" s="116"/>
      <c r="H16" s="117"/>
      <c r="I16" s="4">
        <f>I11+I13+I15</f>
        <v>700266089.22175419</v>
      </c>
      <c r="L16" s="6"/>
      <c r="O16" s="4">
        <f>O11+O13+O15</f>
        <v>717463655.45275354</v>
      </c>
    </row>
  </sheetData>
  <mergeCells count="7">
    <mergeCell ref="A16:H16"/>
    <mergeCell ref="A1:I1"/>
    <mergeCell ref="A11:H11"/>
    <mergeCell ref="A12:H12"/>
    <mergeCell ref="A13:H13"/>
    <mergeCell ref="A14:H14"/>
    <mergeCell ref="A15:H15"/>
  </mergeCells>
  <pageMargins left="0.7" right="0.7" top="0.75" bottom="0.75" header="0.3" footer="0.3"/>
  <ignoredErrors>
    <ignoredError sqref="G3:G4 I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Felipe Ruiz Giraldo</dc:creator>
  <cp:keywords/>
  <dc:description/>
  <cp:lastModifiedBy>Monica Jaqueline Durango Castro</cp:lastModifiedBy>
  <cp:revision/>
  <dcterms:created xsi:type="dcterms:W3CDTF">2025-02-27T18:52:54Z</dcterms:created>
  <dcterms:modified xsi:type="dcterms:W3CDTF">2026-08-27T15:35:13Z</dcterms:modified>
  <cp:category/>
  <cp:contentStatus/>
</cp:coreProperties>
</file>