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dehernandez\Downloads\"/>
    </mc:Choice>
  </mc:AlternateContent>
  <xr:revisionPtr revIDLastSave="0" documentId="13_ncr:1_{8ED39E79-1CF8-4542-AA20-D70A4CC17679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Plan de Trabajo" sheetId="1" r:id="rId1"/>
    <sheet name="Resumen" sheetId="2" r:id="rId2"/>
    <sheet name="Festivos Colombia" sheetId="3" r:id="rId3"/>
  </sheets>
  <definedNames>
    <definedName name="_xlnm._FilterDatabase" localSheetId="0" hidden="1">'Plan de Trabajo'!$A$5:$L$24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2" i="2" l="1"/>
  <c r="I17" i="1"/>
  <c r="N17" i="1"/>
  <c r="O17" i="1"/>
  <c r="P17" i="1"/>
  <c r="Q17" i="1"/>
  <c r="R17" i="1"/>
  <c r="S17" i="1"/>
  <c r="T17" i="1"/>
  <c r="U17" i="1"/>
  <c r="I16" i="1"/>
  <c r="N16" i="1"/>
  <c r="O16" i="1"/>
  <c r="P16" i="1"/>
  <c r="Q16" i="1"/>
  <c r="R16" i="1"/>
  <c r="S16" i="1"/>
  <c r="T16" i="1"/>
  <c r="U16" i="1"/>
  <c r="H7" i="1"/>
  <c r="D15" i="2"/>
  <c r="C15" i="2"/>
  <c r="D14" i="2"/>
  <c r="C14" i="2"/>
  <c r="D13" i="2"/>
  <c r="C13" i="2"/>
  <c r="C12" i="2"/>
  <c r="E5" i="2"/>
  <c r="D5" i="2"/>
  <c r="C5" i="2"/>
  <c r="B5" i="2"/>
  <c r="U24" i="1"/>
  <c r="T24" i="1"/>
  <c r="S24" i="1"/>
  <c r="R24" i="1"/>
  <c r="Q24" i="1"/>
  <c r="P24" i="1"/>
  <c r="O24" i="1"/>
  <c r="N24" i="1"/>
  <c r="I24" i="1"/>
  <c r="H24" i="1"/>
  <c r="G24" i="1"/>
  <c r="U23" i="1"/>
  <c r="T23" i="1"/>
  <c r="S23" i="1"/>
  <c r="R23" i="1"/>
  <c r="Q23" i="1"/>
  <c r="P23" i="1"/>
  <c r="O23" i="1"/>
  <c r="N23" i="1"/>
  <c r="I23" i="1"/>
  <c r="H23" i="1"/>
  <c r="G23" i="1"/>
  <c r="U22" i="1"/>
  <c r="T22" i="1"/>
  <c r="S22" i="1"/>
  <c r="R22" i="1"/>
  <c r="Q22" i="1"/>
  <c r="P22" i="1"/>
  <c r="O22" i="1"/>
  <c r="N22" i="1"/>
  <c r="I22" i="1"/>
  <c r="H22" i="1"/>
  <c r="G22" i="1"/>
  <c r="U21" i="1"/>
  <c r="T21" i="1"/>
  <c r="S21" i="1"/>
  <c r="R21" i="1"/>
  <c r="Q21" i="1"/>
  <c r="P21" i="1"/>
  <c r="O21" i="1"/>
  <c r="N21" i="1"/>
  <c r="I21" i="1"/>
  <c r="H21" i="1"/>
  <c r="G21" i="1"/>
  <c r="U20" i="1"/>
  <c r="T20" i="1"/>
  <c r="S20" i="1"/>
  <c r="R20" i="1"/>
  <c r="Q20" i="1"/>
  <c r="P20" i="1"/>
  <c r="O20" i="1"/>
  <c r="N20" i="1"/>
  <c r="I20" i="1"/>
  <c r="H20" i="1"/>
  <c r="G20" i="1"/>
  <c r="U19" i="1"/>
  <c r="T19" i="1"/>
  <c r="S19" i="1"/>
  <c r="R19" i="1"/>
  <c r="Q19" i="1"/>
  <c r="P19" i="1"/>
  <c r="O19" i="1"/>
  <c r="N19" i="1"/>
  <c r="I19" i="1"/>
  <c r="H19" i="1"/>
  <c r="G19" i="1"/>
  <c r="U18" i="1"/>
  <c r="T18" i="1"/>
  <c r="S18" i="1"/>
  <c r="R18" i="1"/>
  <c r="Q18" i="1"/>
  <c r="P18" i="1"/>
  <c r="O18" i="1"/>
  <c r="N18" i="1"/>
  <c r="I18" i="1"/>
  <c r="H18" i="1"/>
  <c r="G18" i="1"/>
  <c r="U15" i="1"/>
  <c r="T15" i="1"/>
  <c r="S15" i="1"/>
  <c r="R15" i="1"/>
  <c r="Q15" i="1"/>
  <c r="P15" i="1"/>
  <c r="O15" i="1"/>
  <c r="N15" i="1"/>
  <c r="I15" i="1"/>
  <c r="H15" i="1"/>
  <c r="G15" i="1"/>
  <c r="U14" i="1"/>
  <c r="T14" i="1"/>
  <c r="S14" i="1"/>
  <c r="R14" i="1"/>
  <c r="Q14" i="1"/>
  <c r="P14" i="1"/>
  <c r="O14" i="1"/>
  <c r="N14" i="1"/>
  <c r="I14" i="1"/>
  <c r="H14" i="1"/>
  <c r="G14" i="1"/>
  <c r="U13" i="1"/>
  <c r="T13" i="1"/>
  <c r="S13" i="1"/>
  <c r="R13" i="1"/>
  <c r="Q13" i="1"/>
  <c r="P13" i="1"/>
  <c r="O13" i="1"/>
  <c r="N13" i="1"/>
  <c r="I13" i="1"/>
  <c r="H13" i="1"/>
  <c r="G13" i="1"/>
  <c r="F14" i="2" s="1"/>
  <c r="U12" i="1"/>
  <c r="T12" i="1"/>
  <c r="S12" i="1"/>
  <c r="R12" i="1"/>
  <c r="Q12" i="1"/>
  <c r="P12" i="1"/>
  <c r="O12" i="1"/>
  <c r="N12" i="1"/>
  <c r="I12" i="1"/>
  <c r="H12" i="1"/>
  <c r="G12" i="1"/>
  <c r="U11" i="1"/>
  <c r="T11" i="1"/>
  <c r="S11" i="1"/>
  <c r="R11" i="1"/>
  <c r="Q11" i="1"/>
  <c r="P11" i="1"/>
  <c r="O11" i="1"/>
  <c r="N11" i="1"/>
  <c r="I11" i="1"/>
  <c r="H11" i="1"/>
  <c r="G13" i="2" s="1"/>
  <c r="G11" i="1"/>
  <c r="U10" i="1"/>
  <c r="T10" i="1"/>
  <c r="S10" i="1"/>
  <c r="R10" i="1"/>
  <c r="Q10" i="1"/>
  <c r="P10" i="1"/>
  <c r="O10" i="1"/>
  <c r="N10" i="1"/>
  <c r="I10" i="1"/>
  <c r="H10" i="1"/>
  <c r="G10" i="1"/>
  <c r="F13" i="2" s="1"/>
  <c r="U9" i="1"/>
  <c r="T9" i="1"/>
  <c r="S9" i="1"/>
  <c r="R9" i="1"/>
  <c r="Q9" i="1"/>
  <c r="P9" i="1"/>
  <c r="O9" i="1"/>
  <c r="N9" i="1"/>
  <c r="I9" i="1"/>
  <c r="H9" i="1"/>
  <c r="G9" i="1"/>
  <c r="U8" i="1"/>
  <c r="T8" i="1"/>
  <c r="S8" i="1"/>
  <c r="R8" i="1"/>
  <c r="Q8" i="1"/>
  <c r="P8" i="1"/>
  <c r="O8" i="1"/>
  <c r="N8" i="1"/>
  <c r="I8" i="1"/>
  <c r="H8" i="1"/>
  <c r="G12" i="2" s="1"/>
  <c r="G8" i="1"/>
  <c r="U7" i="1"/>
  <c r="T7" i="1"/>
  <c r="S7" i="1"/>
  <c r="R7" i="1"/>
  <c r="Q7" i="1"/>
  <c r="P7" i="1"/>
  <c r="O7" i="1"/>
  <c r="N7" i="1"/>
  <c r="I7" i="1"/>
  <c r="G7" i="1"/>
  <c r="F12" i="2" s="1"/>
  <c r="U6" i="1"/>
  <c r="T6" i="1"/>
  <c r="S6" i="1"/>
  <c r="R6" i="1"/>
  <c r="Q6" i="1"/>
  <c r="P6" i="1"/>
  <c r="O6" i="1"/>
  <c r="N6" i="1"/>
  <c r="E14" i="2" l="1"/>
  <c r="F15" i="2"/>
  <c r="G15" i="2"/>
  <c r="E15" i="2"/>
  <c r="G14" i="2"/>
  <c r="E13" i="2"/>
  <c r="D7" i="2"/>
  <c r="E12" i="2"/>
</calcChain>
</file>

<file path=xl/sharedStrings.xml><?xml version="1.0" encoding="utf-8"?>
<sst xmlns="http://schemas.openxmlformats.org/spreadsheetml/2006/main" count="155" uniqueCount="85">
  <si>
    <t>Plan de Trabajo (8 semanas) — Cierre Módulo Tablero de Control, Validación Módulo Migrado e Implementación de Reportes</t>
  </si>
  <si>
    <t>Celdas en azul son editables: fecha de inicio del proyecto, % Avance y Estado de cada actividad. Las fechas se calculan SOLO con días hábiles para Colombia (excluye sábados, domingos y festivos oficiales 2026-2027, hoja "Festivos Colombia"). Cada "semana" (S1-S8) equivale a 5 días hábiles.</t>
  </si>
  <si>
    <t>Fecha de inicio del proyecto:</t>
  </si>
  <si>
    <t>ID</t>
  </si>
  <si>
    <t>Módulo / Bloque</t>
  </si>
  <si>
    <t>Actividad</t>
  </si>
  <si>
    <t>Responsable (rol)</t>
  </si>
  <si>
    <t>Sem.
Ini.</t>
  </si>
  <si>
    <t>Sem.
Fin</t>
  </si>
  <si>
    <t>Fecha Inicio</t>
  </si>
  <si>
    <t>Fecha Fin</t>
  </si>
  <si>
    <t>Dur.
(sem)</t>
  </si>
  <si>
    <t>% Avance</t>
  </si>
  <si>
    <t>Estado</t>
  </si>
  <si>
    <t>Notas</t>
  </si>
  <si>
    <t>S1</t>
  </si>
  <si>
    <t>S2</t>
  </si>
  <si>
    <t>S3</t>
  </si>
  <si>
    <t>S4</t>
  </si>
  <si>
    <t>S5</t>
  </si>
  <si>
    <t>S6</t>
  </si>
  <si>
    <t>S7</t>
  </si>
  <si>
    <t>S8</t>
  </si>
  <si>
    <t>Inicio sem. hábil -&gt;</t>
  </si>
  <si>
    <t>Revisar diferencias entre los cálculos actuales del tablero de control/reportes y el análisis manual</t>
  </si>
  <si>
    <t>No iniciado</t>
  </si>
  <si>
    <t>Corregir y ajustar fórmulas y lógica de cálculo del tablero y los reportes</t>
  </si>
  <si>
    <t>Validar coincidencia total con el análisis manual y dar cierre formal al módulo</t>
  </si>
  <si>
    <t>Verificar integridad y consistencia de los datos migrados</t>
  </si>
  <si>
    <t>Validar los procesos de cálculo del módulo migrado</t>
  </si>
  <si>
    <t>Emitir visto bueno formal de la información migrada</t>
  </si>
  <si>
    <t>Diseñar casos de prueba de las funcionalidades de la herramienta</t>
  </si>
  <si>
    <t>Ejecutar pruebas funcionales y comparar contra la simulación manual</t>
  </si>
  <si>
    <t>Validar consistencia de procesos y datos con base en resultados de pruebas</t>
  </si>
  <si>
    <t>Levantamiento de requerimientos de informes/reportes (en paralelo con pruebas)</t>
  </si>
  <si>
    <t>Construcción y validación de la matriz de requerimientos de informes/reportes</t>
  </si>
  <si>
    <t>Desarrollo de los informes/reportes según la matriz de requerimientos</t>
  </si>
  <si>
    <t>Pruebas funcionales y de datos de los informes/reportes</t>
  </si>
  <si>
    <t>Ajustes y correcciones posteriores a pruebas</t>
  </si>
  <si>
    <t>Implementación de los informes/reportes en ambiente productivo</t>
  </si>
  <si>
    <t>Validación post-implementación y cierre del entregable</t>
  </si>
  <si>
    <t>Resumen del Plan de Trabajo (8 semanas)</t>
  </si>
  <si>
    <t>Total actividades</t>
  </si>
  <si>
    <t>Completadas</t>
  </si>
  <si>
    <t>En curso</t>
  </si>
  <si>
    <t>No iniciadas</t>
  </si>
  <si>
    <t>Avance general (ponderado por duración)</t>
  </si>
  <si>
    <t>Avance por Módulo / Bloque</t>
  </si>
  <si>
    <t>Actividades</t>
  </si>
  <si>
    <t>Avance (ponderado)</t>
  </si>
  <si>
    <t>Festivos oficiales de Colombia (2026-2027)</t>
  </si>
  <si>
    <t>Fuente de referencia: calendario oficial con Ley 51 de 1983 (Ley Emiliani). Esta lista alimenta las fórmulas DIA.LAB / WORKDAY del plan para calcular solo días hábiles.</t>
  </si>
  <si>
    <t>Fecha</t>
  </si>
  <si>
    <t>Festivo</t>
  </si>
  <si>
    <t>Año Nuevo</t>
  </si>
  <si>
    <t>Día de los Reyes Magos</t>
  </si>
  <si>
    <t>Día de San José</t>
  </si>
  <si>
    <t>Jueves Santo</t>
  </si>
  <si>
    <t>Viernes Santo</t>
  </si>
  <si>
    <t>Día del Trabajo</t>
  </si>
  <si>
    <t>Día de la Ascensión</t>
  </si>
  <si>
    <t>Corpus Christi</t>
  </si>
  <si>
    <t>Sagrado Corazón de Jesús</t>
  </si>
  <si>
    <t>San Pedro y San Pablo</t>
  </si>
  <si>
    <t>Virgen de Chiquinquirá</t>
  </si>
  <si>
    <t>Día de la Independencia</t>
  </si>
  <si>
    <t>Batalla de Boyacá</t>
  </si>
  <si>
    <t>Asunción de la Virgen</t>
  </si>
  <si>
    <t>Día de la Raza</t>
  </si>
  <si>
    <t>Día de Todos los Santos</t>
  </si>
  <si>
    <t>Independencia de Cartagena</t>
  </si>
  <si>
    <t>Inmaculada Concepción</t>
  </si>
  <si>
    <t>Navidad</t>
  </si>
  <si>
    <t>Módulo RF - Informes y Reportes</t>
  </si>
  <si>
    <t>Módulo RF - Pruebas Generales</t>
  </si>
  <si>
    <t>Módulo RF - Migración de Datos</t>
  </si>
  <si>
    <t>Módulo ER+ - Tablero de Control</t>
  </si>
  <si>
    <t>Ing. Oscar Rodriguez</t>
  </si>
  <si>
    <t>Oscar Niño</t>
  </si>
  <si>
    <t>Ing. Oscar Rodriguez / GIT de Apoyo Informático</t>
  </si>
  <si>
    <t>Ing. Oscar Rodriguez / GIT de Apoyo Informático / GIT de Servicios Generales, Administrativos y Financieros</t>
  </si>
  <si>
    <t>GIT de Servicios Generales, Administrativos y Financieros</t>
  </si>
  <si>
    <t>Ing. Oscar Rodriguez / Oscar Niño</t>
  </si>
  <si>
    <t>Realizar pruebas de generación de códigos OTP para firma digital de movimientos en ambiente productivo.</t>
  </si>
  <si>
    <t>Realizar despliegue a producción con acompañamiento en proceso de migración de movimientos pendientes.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</si>
</sst>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yy"/>
    <numFmt numFmtId="165" formatCode="dd/mm"/>
    <numFmt numFmtId="166" formatCode=";;;"/>
    <numFmt numFmtId="167" formatCode="dd/mm/yyyy;;\—"/>
  </numFmts>
  <fonts count="13" x14ac:knownFonts="1">
    <font>
      <sz val="11"/>
      <color theme="1"/>
      <name val="Calibri"/>
      <family val="2"/>
      <charset val="1"/>
    </font>
    <font>
      <sz val="10"/>
      <name val="Arial"/>
      <family val="2"/>
    </font>
    <font>
      <b/>
      <sz val="14"/>
      <color rgb="FF1F4E78"/>
      <name val="Arial"/>
      <family val="2"/>
    </font>
    <font>
      <i/>
      <sz val="9"/>
      <color rgb="FF595959"/>
      <name val="Arial"/>
      <family val="2"/>
    </font>
    <font>
      <b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FFFFFF"/>
      <name val="Arial"/>
      <family val="2"/>
    </font>
    <font>
      <i/>
      <sz val="8"/>
      <color rgb="FF7F7F7F"/>
      <name val="Arial"/>
      <family val="2"/>
    </font>
    <font>
      <sz val="10"/>
      <name val="Arial"/>
      <family val="2"/>
    </font>
    <font>
      <sz val="10"/>
      <color rgb="FF0000FF"/>
      <name val="Arial"/>
      <family val="2"/>
    </font>
    <font>
      <sz val="9"/>
      <color rgb="FF595959"/>
      <name val="Arial"/>
      <family val="2"/>
    </font>
    <font>
      <b/>
      <sz val="20"/>
      <color rgb="FF1F4E78"/>
      <name val="Arial"/>
      <family val="2"/>
    </font>
    <font>
      <b/>
      <sz val="13"/>
      <color rgb="FF1F4E7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2CC"/>
        <bgColor rgb="FFFCE4D6"/>
      </patternFill>
    </fill>
    <fill>
      <patternFill patternType="solid">
        <fgColor rgb="FF1F4E78"/>
        <bgColor rgb="FF003366"/>
      </patternFill>
    </fill>
    <fill>
      <patternFill patternType="solid">
        <fgColor rgb="FFDDEBF7"/>
        <bgColor rgb="FFEAF1F8"/>
      </patternFill>
    </fill>
    <fill>
      <patternFill patternType="solid">
        <fgColor rgb="FFE2EFDA"/>
        <bgColor rgb="FFDDEBF7"/>
      </patternFill>
    </fill>
    <fill>
      <patternFill patternType="solid">
        <fgColor rgb="FFFCE4D6"/>
        <bgColor rgb="FFFFF2CC"/>
      </patternFill>
    </fill>
    <fill>
      <patternFill patternType="solid">
        <fgColor rgb="FFEDE7F6"/>
        <bgColor rgb="FFEAF1F8"/>
      </patternFill>
    </fill>
    <fill>
      <patternFill patternType="solid">
        <fgColor rgb="FFEAF1F8"/>
        <bgColor rgb="FFEDE7F6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Alignment="1">
      <alignment horizontal="right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165" fontId="7" fillId="0" borderId="0" xfId="0" applyNumberFormat="1" applyFont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left" vertical="center" wrapText="1"/>
    </xf>
    <xf numFmtId="164" fontId="8" fillId="4" borderId="1" xfId="0" applyNumberFormat="1" applyFont="1" applyFill="1" applyBorder="1" applyAlignment="1">
      <alignment horizontal="center" vertical="center" wrapText="1"/>
    </xf>
    <xf numFmtId="9" fontId="9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6" fontId="0" fillId="0" borderId="1" xfId="0" applyNumberFormat="1" applyBorder="1"/>
    <xf numFmtId="0" fontId="8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left" vertical="center" wrapText="1"/>
    </xf>
    <xf numFmtId="164" fontId="8" fillId="5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left" vertical="center" wrapText="1"/>
    </xf>
    <xf numFmtId="164" fontId="8" fillId="6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left" vertical="center" wrapText="1"/>
    </xf>
    <xf numFmtId="164" fontId="8" fillId="7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wrapText="1"/>
    </xf>
    <xf numFmtId="1" fontId="11" fillId="8" borderId="1" xfId="0" applyNumberFormat="1" applyFont="1" applyFill="1" applyBorder="1" applyAlignment="1">
      <alignment horizontal="center"/>
    </xf>
    <xf numFmtId="9" fontId="11" fillId="8" borderId="1" xfId="0" applyNumberFormat="1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9" fontId="8" fillId="0" borderId="1" xfId="0" applyNumberFormat="1" applyFont="1" applyBorder="1" applyAlignment="1">
      <alignment horizontal="center" vertical="center" wrapText="1"/>
    </xf>
    <xf numFmtId="167" fontId="8" fillId="0" borderId="1" xfId="0" applyNumberFormat="1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0" fillId="0" borderId="1" xfId="0" applyBorder="1"/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10" fillId="8" borderId="1" xfId="0" applyFont="1" applyFill="1" applyBorder="1" applyAlignment="1">
      <alignment horizontal="left" wrapText="1"/>
    </xf>
    <xf numFmtId="0" fontId="4" fillId="0" borderId="0" xfId="0" applyFont="1"/>
    <xf numFmtId="0" fontId="12" fillId="0" borderId="0" xfId="0" applyFont="1"/>
  </cellXfs>
  <cellStyles count="1">
    <cellStyle name="Normal" xfId="0" builtinId="0"/>
  </cellStyles>
  <dxfs count="8">
    <dxf>
      <fill>
        <patternFill>
          <bgColor rgb="FF7030A0"/>
        </patternFill>
      </fill>
    </dxf>
    <dxf>
      <fill>
        <patternFill>
          <bgColor rgb="FFC55A11"/>
        </patternFill>
      </fill>
    </dxf>
    <dxf>
      <fill>
        <patternFill>
          <bgColor rgb="FF548235"/>
        </patternFill>
      </fill>
    </dxf>
    <dxf>
      <fill>
        <patternFill>
          <bgColor rgb="FF2E75B6"/>
        </patternFill>
      </fill>
    </dxf>
    <dxf>
      <fill>
        <patternFill>
          <bgColor rgb="FFF8CBAD"/>
        </patternFill>
      </fill>
    </dxf>
    <dxf>
      <fill>
        <patternFill>
          <bgColor rgb="FFC6E0B4"/>
        </patternFill>
      </fill>
    </dxf>
    <dxf>
      <fill>
        <patternFill>
          <bgColor rgb="FFFFE699"/>
        </patternFill>
      </fill>
    </dxf>
    <dxf>
      <fill>
        <patternFill>
          <bgColor rgb="FFD9D9D9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9F9F9"/>
      <rgbColor rgb="FFFF00FF"/>
      <rgbColor rgb="FF00FFFF"/>
      <rgbColor rgb="FF800000"/>
      <rgbColor rgb="FF008000"/>
      <rgbColor rgb="FF000080"/>
      <rgbColor rgb="FF548235"/>
      <rgbColor rgb="FF800080"/>
      <rgbColor rgb="FF008080"/>
      <rgbColor rgb="FFBFBFBF"/>
      <rgbColor rgb="FF7F7F7F"/>
      <rgbColor rgb="FF9999FF"/>
      <rgbColor rgb="FF7030A0"/>
      <rgbColor rgb="FFFFF2CC"/>
      <rgbColor rgb="FFDDEBF7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AF1F8"/>
      <rgbColor rgb="FFE2EFDA"/>
      <rgbColor rgb="FFFFE699"/>
      <rgbColor rgb="FFC6E0B4"/>
      <rgbColor rgb="FFFCE4D6"/>
      <rgbColor rgb="FFEDE7F6"/>
      <rgbColor rgb="FFF8CBAD"/>
      <rgbColor rgb="FF2E75B6"/>
      <rgbColor rgb="FF33CCCC"/>
      <rgbColor rgb="FF99CC00"/>
      <rgbColor rgb="FFFFCC00"/>
      <rgbColor rgb="FFFF9900"/>
      <rgbColor rgb="FFC55A11"/>
      <rgbColor rgb="FF595959"/>
      <rgbColor rgb="FF878787"/>
      <rgbColor rgb="FF003366"/>
      <rgbColor rgb="FF4F81BD"/>
      <rgbColor rgb="FF003300"/>
      <rgbColor rgb="FF333300"/>
      <rgbColor rgb="FF993300"/>
      <rgbColor rgb="FF993366"/>
      <rgbColor rgb="FF1F4E78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es-CO" sz="1800" b="1" strike="noStrike" spc="-1">
                <a:solidFill>
                  <a:srgbClr val="000000"/>
                </a:solidFill>
                <a:latin typeface="Calibri"/>
              </a:rPr>
              <a:t>% Avance por Módulo / Bloque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Resumen!$E$11</c:f>
              <c:strCache>
                <c:ptCount val="1"/>
                <c:pt idx="0">
                  <c:v>Avance (ponderado)</c:v>
                </c:pt>
              </c:strCache>
            </c:strRef>
          </c:tx>
          <c:spPr>
            <a:solidFill>
              <a:srgbClr val="4F81BD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Calibri"/>
                  </a:defRPr>
                </a:pPr>
                <a:endParaRPr lang="es-CO"/>
              </a:p>
            </c:txPr>
            <c:dLblPos val="outEnd"/>
            <c:showLegendKey val="1"/>
            <c:showVal val="1"/>
            <c:showCatName val="1"/>
            <c:showSerName val="1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Resumen!$B$12:$B$15</c:f>
              <c:strCache>
                <c:ptCount val="4"/>
                <c:pt idx="0">
                  <c:v>Módulo ER+ - Tablero de Control</c:v>
                </c:pt>
                <c:pt idx="1">
                  <c:v>Módulo RF - Migración de Datos</c:v>
                </c:pt>
                <c:pt idx="2">
                  <c:v>Módulo RF - Pruebas Generales</c:v>
                </c:pt>
                <c:pt idx="3">
                  <c:v>Módulo RF - Informes y Reportes</c:v>
                </c:pt>
              </c:strCache>
            </c:strRef>
          </c:cat>
          <c:val>
            <c:numRef>
              <c:f>Resumen!$E$12:$E$15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B4-4E26-8BD5-8ABEA9901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1639035"/>
        <c:axId val="20448614"/>
      </c:barChart>
      <c:catAx>
        <c:axId val="81639035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20448614"/>
        <c:crosses val="autoZero"/>
        <c:auto val="1"/>
        <c:lblAlgn val="ctr"/>
        <c:lblOffset val="100"/>
        <c:noMultiLvlLbl val="0"/>
      </c:catAx>
      <c:valAx>
        <c:axId val="20448614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es-CO" sz="1000" b="1" strike="noStrike" spc="-1">
                    <a:solidFill>
                      <a:srgbClr val="000000"/>
                    </a:solidFill>
                    <a:latin typeface="Calibri"/>
                  </a:rPr>
                  <a:t>% Avance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0%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es-CO"/>
          </a:p>
        </c:txPr>
        <c:crossAx val="81639035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  <c:showDLblsOverMax val="1"/>
  </c:chart>
  <c:spPr>
    <a:solidFill>
      <a:srgbClr val="FFFFFF"/>
    </a:solidFill>
    <a:ln w="9360">
      <a:solidFill>
        <a:srgbClr val="D9D9D9"/>
      </a:solidFill>
      <a:round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160560</xdr:rowOff>
    </xdr:from>
    <xdr:to>
      <xdr:col>5</xdr:col>
      <xdr:colOff>362265</xdr:colOff>
      <xdr:row>32</xdr:row>
      <xdr:rowOff>172080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4"/>
  <sheetViews>
    <sheetView tabSelected="1" zoomScaleNormal="100" workbookViewId="0">
      <pane xSplit="2" ySplit="6" topLeftCell="C17" activePane="bottomRight" state="frozen"/>
      <selection pane="topRight" activeCell="C1" sqref="C1"/>
      <selection pane="bottomLeft" activeCell="A7" sqref="A7"/>
      <selection pane="bottomRight" activeCell="F20" sqref="F20"/>
    </sheetView>
  </sheetViews>
  <sheetFormatPr baseColWidth="10" defaultColWidth="8.7109375" defaultRowHeight="15" x14ac:dyDescent="0.25"/>
  <cols>
    <col min="1" max="1" width="7.42578125" bestFit="1" customWidth="1"/>
    <col min="2" max="2" width="31.85546875" customWidth="1"/>
    <col min="3" max="3" width="53.7109375" customWidth="1"/>
    <col min="4" max="4" width="31.7109375" customWidth="1"/>
    <col min="5" max="6" width="6" customWidth="1"/>
    <col min="7" max="8" width="11" customWidth="1"/>
    <col min="9" max="9" width="8" customWidth="1"/>
    <col min="10" max="10" width="9" customWidth="1"/>
    <col min="11" max="11" width="13" customWidth="1"/>
    <col min="12" max="12" width="24" customWidth="1"/>
    <col min="13" max="13" width="2" customWidth="1"/>
    <col min="14" max="21" width="6.42578125" customWidth="1"/>
  </cols>
  <sheetData>
    <row r="1" spans="1:21" ht="17.25" customHeight="1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21" ht="15" customHeight="1" x14ac:dyDescent="0.25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</row>
    <row r="3" spans="1:21" ht="15" customHeight="1" x14ac:dyDescent="0.25">
      <c r="B3" s="1" t="s">
        <v>2</v>
      </c>
      <c r="C3" s="2"/>
      <c r="D3" s="41"/>
      <c r="E3" s="41"/>
      <c r="F3" s="41"/>
    </row>
    <row r="5" spans="1:21" ht="27.75" customHeight="1" x14ac:dyDescent="0.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</row>
    <row r="6" spans="1:21" ht="12" customHeight="1" x14ac:dyDescent="0.25">
      <c r="G6" s="4" t="s">
        <v>23</v>
      </c>
      <c r="N6" s="5" t="str">
        <f>IF($C$3="","",WORKDAY($C$3-1,1,'Festivos Colombia'!$A$5:$A$42))</f>
        <v/>
      </c>
      <c r="O6" s="5" t="str">
        <f>IF($C$3="","",WORKDAY($C$3-1,6,'Festivos Colombia'!$A$5:$A$42))</f>
        <v/>
      </c>
      <c r="P6" s="5" t="str">
        <f>IF($C$3="","",WORKDAY($C$3-1,11,'Festivos Colombia'!$A$5:$A$42))</f>
        <v/>
      </c>
      <c r="Q6" s="5" t="str">
        <f>IF($C$3="","",WORKDAY($C$3-1,16,'Festivos Colombia'!$A$5:$A$42))</f>
        <v/>
      </c>
      <c r="R6" s="5" t="str">
        <f>IF($C$3="","",WORKDAY($C$3-1,21,'Festivos Colombia'!$A$5:$A$42))</f>
        <v/>
      </c>
      <c r="S6" s="5" t="str">
        <f>IF($C$3="","",WORKDAY($C$3-1,26,'Festivos Colombia'!$A$5:$A$42))</f>
        <v/>
      </c>
      <c r="T6" s="5" t="str">
        <f>IF($C$3="","",WORKDAY($C$3-1,31,'Festivos Colombia'!$A$5:$A$42))</f>
        <v/>
      </c>
      <c r="U6" s="5" t="str">
        <f>IF($C$3="","",WORKDAY($C$3-1,36,'Festivos Colombia'!$A$5:$A$42))</f>
        <v/>
      </c>
    </row>
    <row r="7" spans="1:21" ht="30" customHeight="1" x14ac:dyDescent="0.25">
      <c r="A7" s="6">
        <v>1</v>
      </c>
      <c r="B7" s="31" t="s">
        <v>76</v>
      </c>
      <c r="C7" s="7" t="s">
        <v>24</v>
      </c>
      <c r="D7" s="32" t="s">
        <v>82</v>
      </c>
      <c r="E7" s="6">
        <v>1</v>
      </c>
      <c r="F7" s="6">
        <v>1</v>
      </c>
      <c r="G7" s="8" t="str">
        <f>IF($C$3="","",WORKDAY($C$3-1,(E7-1)*5+1,'Festivos Colombia'!$A$5:$A$42))</f>
        <v/>
      </c>
      <c r="H7" s="8" t="str">
        <f>IF($C$3="","",WORKDAY($C$3-1,F7*5,'Festivos Colombia'!$A$5:$A$42))</f>
        <v/>
      </c>
      <c r="I7" s="6">
        <f t="shared" ref="I7:I24" si="0">F7-E7+1</f>
        <v>1</v>
      </c>
      <c r="J7" s="9">
        <v>0</v>
      </c>
      <c r="K7" s="10" t="s">
        <v>25</v>
      </c>
      <c r="L7" s="10"/>
      <c r="N7" s="11">
        <f t="shared" ref="N7:N24" si="1">IF(AND(1&gt;=$E7,1&lt;=$F7),1,0)</f>
        <v>1</v>
      </c>
      <c r="O7" s="11">
        <f t="shared" ref="O7:O24" si="2">IF(AND(2&gt;=$E7,2&lt;=$F7),1,0)</f>
        <v>0</v>
      </c>
      <c r="P7" s="11">
        <f t="shared" ref="P7:P24" si="3">IF(AND(3&gt;=$E7,3&lt;=$F7),1,0)</f>
        <v>0</v>
      </c>
      <c r="Q7" s="11">
        <f t="shared" ref="Q7:Q24" si="4">IF(AND(4&gt;=$E7,4&lt;=$F7),1,0)</f>
        <v>0</v>
      </c>
      <c r="R7" s="11">
        <f t="shared" ref="R7:R24" si="5">IF(AND(5&gt;=$E7,5&lt;=$F7),1,0)</f>
        <v>0</v>
      </c>
      <c r="S7" s="11">
        <f t="shared" ref="S7:S24" si="6">IF(AND(6&gt;=$E7,6&lt;=$F7),1,0)</f>
        <v>0</v>
      </c>
      <c r="T7" s="11">
        <f t="shared" ref="T7:T24" si="7">IF(AND(7&gt;=$E7,7&lt;=$F7),1,0)</f>
        <v>0</v>
      </c>
      <c r="U7" s="11">
        <f t="shared" ref="U7:U24" si="8">IF(AND(8&gt;=$E7,8&lt;=$F7),1,0)</f>
        <v>0</v>
      </c>
    </row>
    <row r="8" spans="1:21" ht="30" customHeight="1" x14ac:dyDescent="0.25">
      <c r="A8" s="6">
        <v>2</v>
      </c>
      <c r="B8" s="31" t="s">
        <v>76</v>
      </c>
      <c r="C8" s="7" t="s">
        <v>26</v>
      </c>
      <c r="D8" s="32" t="s">
        <v>77</v>
      </c>
      <c r="E8" s="6">
        <v>1</v>
      </c>
      <c r="F8" s="6">
        <v>2</v>
      </c>
      <c r="G8" s="8" t="str">
        <f>IF($C$3="","",WORKDAY($C$3-1,(E8-1)*5+1,'Festivos Colombia'!$A$5:$A$42))</f>
        <v/>
      </c>
      <c r="H8" s="8" t="str">
        <f>IF($C$3="","",WORKDAY($C$3-1,F8*5,'Festivos Colombia'!$A$5:$A$42))</f>
        <v/>
      </c>
      <c r="I8" s="6">
        <f t="shared" si="0"/>
        <v>2</v>
      </c>
      <c r="J8" s="9">
        <v>0</v>
      </c>
      <c r="K8" s="10" t="s">
        <v>25</v>
      </c>
      <c r="L8" s="10"/>
      <c r="N8" s="11">
        <f t="shared" si="1"/>
        <v>1</v>
      </c>
      <c r="O8" s="11">
        <f t="shared" si="2"/>
        <v>1</v>
      </c>
      <c r="P8" s="11">
        <f t="shared" si="3"/>
        <v>0</v>
      </c>
      <c r="Q8" s="11">
        <f t="shared" si="4"/>
        <v>0</v>
      </c>
      <c r="R8" s="11">
        <f t="shared" si="5"/>
        <v>0</v>
      </c>
      <c r="S8" s="11">
        <f t="shared" si="6"/>
        <v>0</v>
      </c>
      <c r="T8" s="11">
        <f t="shared" si="7"/>
        <v>0</v>
      </c>
      <c r="U8" s="11">
        <f t="shared" si="8"/>
        <v>0</v>
      </c>
    </row>
    <row r="9" spans="1:21" ht="30" customHeight="1" x14ac:dyDescent="0.25">
      <c r="A9" s="6">
        <v>3</v>
      </c>
      <c r="B9" s="31" t="s">
        <v>76</v>
      </c>
      <c r="C9" s="7" t="s">
        <v>27</v>
      </c>
      <c r="D9" s="32" t="s">
        <v>78</v>
      </c>
      <c r="E9" s="6">
        <v>2</v>
      </c>
      <c r="F9" s="6">
        <v>2</v>
      </c>
      <c r="G9" s="8" t="str">
        <f>IF($C$3="","",WORKDAY($C$3-1,(E9-1)*5+1,'Festivos Colombia'!$A$5:$A$42))</f>
        <v/>
      </c>
      <c r="H9" s="8" t="str">
        <f>IF($C$3="","",WORKDAY($C$3-1,F9*5,'Festivos Colombia'!$A$5:$A$42))</f>
        <v/>
      </c>
      <c r="I9" s="6">
        <f t="shared" si="0"/>
        <v>1</v>
      </c>
      <c r="J9" s="9">
        <v>0</v>
      </c>
      <c r="K9" s="10" t="s">
        <v>25</v>
      </c>
      <c r="L9" s="10"/>
      <c r="N9" s="11">
        <f t="shared" si="1"/>
        <v>0</v>
      </c>
      <c r="O9" s="11">
        <f t="shared" si="2"/>
        <v>1</v>
      </c>
      <c r="P9" s="11">
        <f t="shared" si="3"/>
        <v>0</v>
      </c>
      <c r="Q9" s="11">
        <f t="shared" si="4"/>
        <v>0</v>
      </c>
      <c r="R9" s="11">
        <f t="shared" si="5"/>
        <v>0</v>
      </c>
      <c r="S9" s="11">
        <f t="shared" si="6"/>
        <v>0</v>
      </c>
      <c r="T9" s="11">
        <f t="shared" si="7"/>
        <v>0</v>
      </c>
      <c r="U9" s="11">
        <f t="shared" si="8"/>
        <v>0</v>
      </c>
    </row>
    <row r="10" spans="1:21" ht="51" x14ac:dyDescent="0.25">
      <c r="A10" s="12">
        <v>4</v>
      </c>
      <c r="B10" s="33" t="s">
        <v>75</v>
      </c>
      <c r="C10" s="13" t="s">
        <v>28</v>
      </c>
      <c r="D10" s="34" t="s">
        <v>80</v>
      </c>
      <c r="E10" s="12">
        <v>3</v>
      </c>
      <c r="F10" s="12">
        <v>3</v>
      </c>
      <c r="G10" s="14" t="str">
        <f>IF($C$3="","",WORKDAY($C$3-1,(E10-1)*5+1,'Festivos Colombia'!$A$5:$A$42))</f>
        <v/>
      </c>
      <c r="H10" s="14" t="str">
        <f>IF($C$3="","",WORKDAY($C$3-1,F10*5,'Festivos Colombia'!$A$5:$A$42))</f>
        <v/>
      </c>
      <c r="I10" s="12">
        <f t="shared" si="0"/>
        <v>1</v>
      </c>
      <c r="J10" s="9">
        <v>0</v>
      </c>
      <c r="K10" s="10" t="s">
        <v>25</v>
      </c>
      <c r="L10" s="10"/>
      <c r="N10" s="11">
        <f t="shared" si="1"/>
        <v>0</v>
      </c>
      <c r="O10" s="11">
        <f t="shared" si="2"/>
        <v>0</v>
      </c>
      <c r="P10" s="11">
        <f t="shared" si="3"/>
        <v>1</v>
      </c>
      <c r="Q10" s="11">
        <f t="shared" si="4"/>
        <v>0</v>
      </c>
      <c r="R10" s="11">
        <f t="shared" si="5"/>
        <v>0</v>
      </c>
      <c r="S10" s="11">
        <f t="shared" si="6"/>
        <v>0</v>
      </c>
      <c r="T10" s="11">
        <f t="shared" si="7"/>
        <v>0</v>
      </c>
      <c r="U10" s="11">
        <f t="shared" si="8"/>
        <v>0</v>
      </c>
    </row>
    <row r="11" spans="1:21" ht="51" x14ac:dyDescent="0.25">
      <c r="A11" s="12">
        <v>5</v>
      </c>
      <c r="B11" s="33" t="s">
        <v>75</v>
      </c>
      <c r="C11" s="33" t="s">
        <v>29</v>
      </c>
      <c r="D11" s="34" t="s">
        <v>80</v>
      </c>
      <c r="E11" s="12">
        <v>3</v>
      </c>
      <c r="F11" s="12">
        <v>3</v>
      </c>
      <c r="G11" s="14" t="str">
        <f>IF($C$3="","",WORKDAY($C$3-1,(E11-1)*5+1,'Festivos Colombia'!$A$5:$A$42))</f>
        <v/>
      </c>
      <c r="H11" s="14" t="str">
        <f>IF($C$3="","",WORKDAY($C$3-1,F11*5,'Festivos Colombia'!$A$5:$A$42))</f>
        <v/>
      </c>
      <c r="I11" s="12">
        <f t="shared" si="0"/>
        <v>1</v>
      </c>
      <c r="J11" s="9">
        <v>0</v>
      </c>
      <c r="K11" s="10" t="s">
        <v>25</v>
      </c>
      <c r="L11" s="10"/>
      <c r="N11" s="11">
        <f t="shared" si="1"/>
        <v>0</v>
      </c>
      <c r="O11" s="11">
        <f t="shared" si="2"/>
        <v>0</v>
      </c>
      <c r="P11" s="11">
        <f t="shared" si="3"/>
        <v>1</v>
      </c>
      <c r="Q11" s="11">
        <f t="shared" si="4"/>
        <v>0</v>
      </c>
      <c r="R11" s="11">
        <f t="shared" si="5"/>
        <v>0</v>
      </c>
      <c r="S11" s="11">
        <f t="shared" si="6"/>
        <v>0</v>
      </c>
      <c r="T11" s="11">
        <f t="shared" si="7"/>
        <v>0</v>
      </c>
      <c r="U11" s="11">
        <f t="shared" si="8"/>
        <v>0</v>
      </c>
    </row>
    <row r="12" spans="1:21" ht="51" x14ac:dyDescent="0.25">
      <c r="A12" s="12">
        <v>6</v>
      </c>
      <c r="B12" s="33" t="s">
        <v>75</v>
      </c>
      <c r="C12" s="13" t="s">
        <v>30</v>
      </c>
      <c r="D12" s="34" t="s">
        <v>80</v>
      </c>
      <c r="E12" s="12">
        <v>3</v>
      </c>
      <c r="F12" s="12">
        <v>3</v>
      </c>
      <c r="G12" s="14" t="str">
        <f>IF($C$3="","",WORKDAY($C$3-1,(E12-1)*5+1,'Festivos Colombia'!$A$5:$A$42))</f>
        <v/>
      </c>
      <c r="H12" s="14" t="str">
        <f>IF($C$3="","",WORKDAY($C$3-1,F12*5,'Festivos Colombia'!$A$5:$A$42))</f>
        <v/>
      </c>
      <c r="I12" s="12">
        <f t="shared" si="0"/>
        <v>1</v>
      </c>
      <c r="J12" s="9">
        <v>0</v>
      </c>
      <c r="K12" s="10" t="s">
        <v>25</v>
      </c>
      <c r="L12" s="10"/>
      <c r="N12" s="11">
        <f t="shared" si="1"/>
        <v>0</v>
      </c>
      <c r="O12" s="11">
        <f t="shared" si="2"/>
        <v>0</v>
      </c>
      <c r="P12" s="11">
        <f t="shared" si="3"/>
        <v>1</v>
      </c>
      <c r="Q12" s="11">
        <f t="shared" si="4"/>
        <v>0</v>
      </c>
      <c r="R12" s="11">
        <f t="shared" si="5"/>
        <v>0</v>
      </c>
      <c r="S12" s="11">
        <f t="shared" si="6"/>
        <v>0</v>
      </c>
      <c r="T12" s="11">
        <f t="shared" si="7"/>
        <v>0</v>
      </c>
      <c r="U12" s="11">
        <f t="shared" si="8"/>
        <v>0</v>
      </c>
    </row>
    <row r="13" spans="1:21" ht="30" customHeight="1" x14ac:dyDescent="0.25">
      <c r="A13" s="15">
        <v>7</v>
      </c>
      <c r="B13" s="35" t="s">
        <v>74</v>
      </c>
      <c r="C13" s="16" t="s">
        <v>31</v>
      </c>
      <c r="D13" s="36" t="s">
        <v>81</v>
      </c>
      <c r="E13" s="15">
        <v>4</v>
      </c>
      <c r="F13" s="15">
        <v>4</v>
      </c>
      <c r="G13" s="17" t="str">
        <f>IF($C$3="","",WORKDAY($C$3-1,(E13-1)*5+1,'Festivos Colombia'!$A$5:$A$42))</f>
        <v/>
      </c>
      <c r="H13" s="17" t="str">
        <f>IF($C$3="","",WORKDAY($C$3-1,F13*5,'Festivos Colombia'!$A$5:$A$42))</f>
        <v/>
      </c>
      <c r="I13" s="15">
        <f t="shared" si="0"/>
        <v>1</v>
      </c>
      <c r="J13" s="9">
        <v>0</v>
      </c>
      <c r="K13" s="10" t="s">
        <v>25</v>
      </c>
      <c r="L13" s="10"/>
      <c r="N13" s="11">
        <f t="shared" si="1"/>
        <v>0</v>
      </c>
      <c r="O13" s="11">
        <f t="shared" si="2"/>
        <v>0</v>
      </c>
      <c r="P13" s="11">
        <f t="shared" si="3"/>
        <v>0</v>
      </c>
      <c r="Q13" s="11">
        <f t="shared" si="4"/>
        <v>1</v>
      </c>
      <c r="R13" s="11">
        <f t="shared" si="5"/>
        <v>0</v>
      </c>
      <c r="S13" s="11">
        <f t="shared" si="6"/>
        <v>0</v>
      </c>
      <c r="T13" s="11">
        <f t="shared" si="7"/>
        <v>0</v>
      </c>
      <c r="U13" s="11">
        <f t="shared" si="8"/>
        <v>0</v>
      </c>
    </row>
    <row r="14" spans="1:21" ht="30" customHeight="1" x14ac:dyDescent="0.25">
      <c r="A14" s="15">
        <v>8</v>
      </c>
      <c r="B14" s="35" t="s">
        <v>74</v>
      </c>
      <c r="C14" s="35" t="s">
        <v>32</v>
      </c>
      <c r="D14" s="36" t="s">
        <v>81</v>
      </c>
      <c r="E14" s="15">
        <v>4</v>
      </c>
      <c r="F14" s="15">
        <v>5</v>
      </c>
      <c r="G14" s="17" t="str">
        <f>IF($C$3="","",WORKDAY($C$3-1,(E14-1)*5+1,'Festivos Colombia'!$A$5:$A$42))</f>
        <v/>
      </c>
      <c r="H14" s="17" t="str">
        <f>IF($C$3="","",WORKDAY($C$3-1,F14*5,'Festivos Colombia'!$A$5:$A$42))</f>
        <v/>
      </c>
      <c r="I14" s="15">
        <f t="shared" si="0"/>
        <v>2</v>
      </c>
      <c r="J14" s="9">
        <v>0</v>
      </c>
      <c r="K14" s="10" t="s">
        <v>25</v>
      </c>
      <c r="L14" s="10"/>
      <c r="N14" s="11">
        <f t="shared" si="1"/>
        <v>0</v>
      </c>
      <c r="O14" s="11">
        <f t="shared" si="2"/>
        <v>0</v>
      </c>
      <c r="P14" s="11">
        <f t="shared" si="3"/>
        <v>0</v>
      </c>
      <c r="Q14" s="11">
        <f t="shared" si="4"/>
        <v>1</v>
      </c>
      <c r="R14" s="11">
        <f t="shared" si="5"/>
        <v>1</v>
      </c>
      <c r="S14" s="11">
        <f t="shared" si="6"/>
        <v>0</v>
      </c>
      <c r="T14" s="11">
        <f t="shared" si="7"/>
        <v>0</v>
      </c>
      <c r="U14" s="11">
        <f t="shared" si="8"/>
        <v>0</v>
      </c>
    </row>
    <row r="15" spans="1:21" ht="30" customHeight="1" x14ac:dyDescent="0.25">
      <c r="A15" s="15">
        <v>9</v>
      </c>
      <c r="B15" s="35" t="s">
        <v>74</v>
      </c>
      <c r="C15" s="16" t="s">
        <v>33</v>
      </c>
      <c r="D15" s="36" t="s">
        <v>81</v>
      </c>
      <c r="E15" s="15">
        <v>5</v>
      </c>
      <c r="F15" s="15">
        <v>5</v>
      </c>
      <c r="G15" s="17" t="str">
        <f>IF($C$3="","",WORKDAY($C$3-1,(E15-1)*5+1,'Festivos Colombia'!$A$5:$A$42))</f>
        <v/>
      </c>
      <c r="H15" s="17" t="str">
        <f>IF($C$3="","",WORKDAY($C$3-1,F15*5,'Festivos Colombia'!$A$5:$A$42))</f>
        <v/>
      </c>
      <c r="I15" s="15">
        <f t="shared" si="0"/>
        <v>1</v>
      </c>
      <c r="J15" s="9">
        <v>0</v>
      </c>
      <c r="K15" s="10" t="s">
        <v>25</v>
      </c>
      <c r="L15" s="10"/>
      <c r="N15" s="11">
        <f t="shared" si="1"/>
        <v>0</v>
      </c>
      <c r="O15" s="11">
        <f t="shared" si="2"/>
        <v>0</v>
      </c>
      <c r="P15" s="11">
        <f t="shared" si="3"/>
        <v>0</v>
      </c>
      <c r="Q15" s="11">
        <f t="shared" si="4"/>
        <v>0</v>
      </c>
      <c r="R15" s="11">
        <f t="shared" si="5"/>
        <v>1</v>
      </c>
      <c r="S15" s="11">
        <f t="shared" si="6"/>
        <v>0</v>
      </c>
      <c r="T15" s="11">
        <f t="shared" si="7"/>
        <v>0</v>
      </c>
      <c r="U15" s="11">
        <f t="shared" si="8"/>
        <v>0</v>
      </c>
    </row>
    <row r="16" spans="1:21" ht="54" customHeight="1" x14ac:dyDescent="0.25">
      <c r="A16" s="15">
        <v>10</v>
      </c>
      <c r="B16" s="35" t="s">
        <v>74</v>
      </c>
      <c r="C16" s="35" t="s">
        <v>84</v>
      </c>
      <c r="D16" s="36" t="s">
        <v>80</v>
      </c>
      <c r="E16" s="15">
        <v>6</v>
      </c>
      <c r="F16" s="15">
        <v>7</v>
      </c>
      <c r="G16" s="17"/>
      <c r="H16" s="17"/>
      <c r="I16" s="15">
        <f t="shared" si="0"/>
        <v>2</v>
      </c>
      <c r="J16" s="9">
        <v>0</v>
      </c>
      <c r="K16" s="10" t="s">
        <v>25</v>
      </c>
      <c r="L16" s="10"/>
      <c r="N16" s="11">
        <f t="shared" si="1"/>
        <v>0</v>
      </c>
      <c r="O16" s="11">
        <f t="shared" si="2"/>
        <v>0</v>
      </c>
      <c r="P16" s="11">
        <f t="shared" si="3"/>
        <v>0</v>
      </c>
      <c r="Q16" s="11">
        <f t="shared" si="4"/>
        <v>0</v>
      </c>
      <c r="R16" s="11">
        <f t="shared" si="5"/>
        <v>0</v>
      </c>
      <c r="S16" s="11">
        <f t="shared" si="6"/>
        <v>1</v>
      </c>
      <c r="T16" s="11">
        <f t="shared" si="7"/>
        <v>1</v>
      </c>
      <c r="U16" s="11">
        <f t="shared" si="8"/>
        <v>0</v>
      </c>
    </row>
    <row r="17" spans="1:21" ht="54" customHeight="1" x14ac:dyDescent="0.25">
      <c r="A17" s="15">
        <v>11</v>
      </c>
      <c r="B17" s="35" t="s">
        <v>74</v>
      </c>
      <c r="C17" s="35" t="s">
        <v>83</v>
      </c>
      <c r="D17" s="36" t="s">
        <v>80</v>
      </c>
      <c r="E17" s="15">
        <v>6</v>
      </c>
      <c r="F17" s="15">
        <v>7</v>
      </c>
      <c r="G17" s="17"/>
      <c r="H17" s="17"/>
      <c r="I17" s="15">
        <f t="shared" si="0"/>
        <v>2</v>
      </c>
      <c r="J17" s="9">
        <v>0</v>
      </c>
      <c r="K17" s="10" t="s">
        <v>25</v>
      </c>
      <c r="L17" s="10"/>
      <c r="N17" s="11">
        <f t="shared" si="1"/>
        <v>0</v>
      </c>
      <c r="O17" s="11">
        <f t="shared" si="2"/>
        <v>0</v>
      </c>
      <c r="P17" s="11">
        <f t="shared" si="3"/>
        <v>0</v>
      </c>
      <c r="Q17" s="11">
        <f t="shared" si="4"/>
        <v>0</v>
      </c>
      <c r="R17" s="11">
        <f t="shared" si="5"/>
        <v>0</v>
      </c>
      <c r="S17" s="11">
        <f t="shared" si="6"/>
        <v>1</v>
      </c>
      <c r="T17" s="11">
        <f t="shared" si="7"/>
        <v>1</v>
      </c>
      <c r="U17" s="11">
        <f t="shared" si="8"/>
        <v>0</v>
      </c>
    </row>
    <row r="18" spans="1:21" ht="30" customHeight="1" x14ac:dyDescent="0.25">
      <c r="A18" s="18">
        <v>12</v>
      </c>
      <c r="B18" s="37" t="s">
        <v>73</v>
      </c>
      <c r="C18" s="19" t="s">
        <v>34</v>
      </c>
      <c r="D18" s="38" t="s">
        <v>81</v>
      </c>
      <c r="E18" s="18">
        <v>5</v>
      </c>
      <c r="F18" s="18">
        <v>5</v>
      </c>
      <c r="G18" s="20" t="str">
        <f>IF($C$3="","",WORKDAY($C$3-1,(E18-1)*5+1,'Festivos Colombia'!$A$5:$A$42))</f>
        <v/>
      </c>
      <c r="H18" s="20" t="str">
        <f>IF($C$3="","",WORKDAY($C$3-1,F18*5,'Festivos Colombia'!$A$5:$A$42))</f>
        <v/>
      </c>
      <c r="I18" s="18">
        <f t="shared" si="0"/>
        <v>1</v>
      </c>
      <c r="J18" s="9">
        <v>0</v>
      </c>
      <c r="K18" s="10" t="s">
        <v>25</v>
      </c>
      <c r="L18" s="10"/>
      <c r="N18" s="11">
        <f t="shared" si="1"/>
        <v>0</v>
      </c>
      <c r="O18" s="11">
        <f t="shared" si="2"/>
        <v>0</v>
      </c>
      <c r="P18" s="11">
        <f t="shared" si="3"/>
        <v>0</v>
      </c>
      <c r="Q18" s="11">
        <f t="shared" si="4"/>
        <v>0</v>
      </c>
      <c r="R18" s="11">
        <f t="shared" si="5"/>
        <v>1</v>
      </c>
      <c r="S18" s="11">
        <f t="shared" si="6"/>
        <v>0</v>
      </c>
      <c r="T18" s="11">
        <f t="shared" si="7"/>
        <v>0</v>
      </c>
      <c r="U18" s="11">
        <f t="shared" si="8"/>
        <v>0</v>
      </c>
    </row>
    <row r="19" spans="1:21" ht="30" customHeight="1" x14ac:dyDescent="0.25">
      <c r="A19" s="18">
        <v>13</v>
      </c>
      <c r="B19" s="37" t="s">
        <v>73</v>
      </c>
      <c r="C19" s="19" t="s">
        <v>35</v>
      </c>
      <c r="D19" s="38" t="s">
        <v>81</v>
      </c>
      <c r="E19" s="18">
        <v>5</v>
      </c>
      <c r="F19" s="18">
        <v>6</v>
      </c>
      <c r="G19" s="20" t="str">
        <f>IF($C$3="","",WORKDAY($C$3-1,(E19-1)*5+1,'Festivos Colombia'!$A$5:$A$42))</f>
        <v/>
      </c>
      <c r="H19" s="20" t="str">
        <f>IF($C$3="","",WORKDAY($C$3-1,F19*5,'Festivos Colombia'!$A$5:$A$42))</f>
        <v/>
      </c>
      <c r="I19" s="18">
        <f t="shared" si="0"/>
        <v>2</v>
      </c>
      <c r="J19" s="9">
        <v>0</v>
      </c>
      <c r="K19" s="10" t="s">
        <v>25</v>
      </c>
      <c r="L19" s="10"/>
      <c r="N19" s="11">
        <f t="shared" si="1"/>
        <v>0</v>
      </c>
      <c r="O19" s="11">
        <f t="shared" si="2"/>
        <v>0</v>
      </c>
      <c r="P19" s="11">
        <f t="shared" si="3"/>
        <v>0</v>
      </c>
      <c r="Q19" s="11">
        <f t="shared" si="4"/>
        <v>0</v>
      </c>
      <c r="R19" s="11">
        <f t="shared" si="5"/>
        <v>1</v>
      </c>
      <c r="S19" s="11">
        <f t="shared" si="6"/>
        <v>1</v>
      </c>
      <c r="T19" s="11">
        <f t="shared" si="7"/>
        <v>0</v>
      </c>
      <c r="U19" s="11">
        <f t="shared" si="8"/>
        <v>0</v>
      </c>
    </row>
    <row r="20" spans="1:21" ht="30" customHeight="1" x14ac:dyDescent="0.25">
      <c r="A20" s="18">
        <v>14</v>
      </c>
      <c r="B20" s="37" t="s">
        <v>73</v>
      </c>
      <c r="C20" s="19" t="s">
        <v>36</v>
      </c>
      <c r="D20" s="38" t="s">
        <v>79</v>
      </c>
      <c r="E20" s="18">
        <v>6</v>
      </c>
      <c r="F20" s="18">
        <v>7</v>
      </c>
      <c r="G20" s="20" t="str">
        <f>IF($C$3="","",WORKDAY($C$3-1,(E20-1)*5+1,'Festivos Colombia'!$A$5:$A$42))</f>
        <v/>
      </c>
      <c r="H20" s="20" t="str">
        <f>IF($C$3="","",WORKDAY($C$3-1,F20*5,'Festivos Colombia'!$A$5:$A$42))</f>
        <v/>
      </c>
      <c r="I20" s="18">
        <f t="shared" si="0"/>
        <v>2</v>
      </c>
      <c r="J20" s="9">
        <v>0</v>
      </c>
      <c r="K20" s="10" t="s">
        <v>25</v>
      </c>
      <c r="L20" s="10"/>
      <c r="N20" s="11">
        <f t="shared" si="1"/>
        <v>0</v>
      </c>
      <c r="O20" s="11">
        <f t="shared" si="2"/>
        <v>0</v>
      </c>
      <c r="P20" s="11">
        <f t="shared" si="3"/>
        <v>0</v>
      </c>
      <c r="Q20" s="11">
        <f t="shared" si="4"/>
        <v>0</v>
      </c>
      <c r="R20" s="11">
        <f t="shared" si="5"/>
        <v>0</v>
      </c>
      <c r="S20" s="11">
        <f t="shared" si="6"/>
        <v>1</v>
      </c>
      <c r="T20" s="11">
        <f t="shared" si="7"/>
        <v>1</v>
      </c>
      <c r="U20" s="11">
        <f t="shared" si="8"/>
        <v>0</v>
      </c>
    </row>
    <row r="21" spans="1:21" ht="51" x14ac:dyDescent="0.25">
      <c r="A21" s="18">
        <v>15</v>
      </c>
      <c r="B21" s="37" t="s">
        <v>73</v>
      </c>
      <c r="C21" s="19" t="s">
        <v>37</v>
      </c>
      <c r="D21" s="38" t="s">
        <v>80</v>
      </c>
      <c r="E21" s="18">
        <v>7</v>
      </c>
      <c r="F21" s="18">
        <v>7</v>
      </c>
      <c r="G21" s="20" t="str">
        <f>IF($C$3="","",WORKDAY($C$3-1,(E21-1)*5+1,'Festivos Colombia'!$A$5:$A$42))</f>
        <v/>
      </c>
      <c r="H21" s="20" t="str">
        <f>IF($C$3="","",WORKDAY($C$3-1,F21*5,'Festivos Colombia'!$A$5:$A$42))</f>
        <v/>
      </c>
      <c r="I21" s="18">
        <f t="shared" si="0"/>
        <v>1</v>
      </c>
      <c r="J21" s="9">
        <v>0</v>
      </c>
      <c r="K21" s="10" t="s">
        <v>25</v>
      </c>
      <c r="L21" s="10"/>
      <c r="N21" s="11">
        <f t="shared" si="1"/>
        <v>0</v>
      </c>
      <c r="O21" s="11">
        <f t="shared" si="2"/>
        <v>0</v>
      </c>
      <c r="P21" s="11">
        <f t="shared" si="3"/>
        <v>0</v>
      </c>
      <c r="Q21" s="11">
        <f t="shared" si="4"/>
        <v>0</v>
      </c>
      <c r="R21" s="11">
        <f t="shared" si="5"/>
        <v>0</v>
      </c>
      <c r="S21" s="11">
        <f t="shared" si="6"/>
        <v>0</v>
      </c>
      <c r="T21" s="11">
        <f t="shared" si="7"/>
        <v>1</v>
      </c>
      <c r="U21" s="11">
        <f t="shared" si="8"/>
        <v>0</v>
      </c>
    </row>
    <row r="22" spans="1:21" ht="30" customHeight="1" x14ac:dyDescent="0.25">
      <c r="A22" s="18">
        <v>16</v>
      </c>
      <c r="B22" s="37" t="s">
        <v>73</v>
      </c>
      <c r="C22" s="19" t="s">
        <v>38</v>
      </c>
      <c r="D22" s="38" t="s">
        <v>79</v>
      </c>
      <c r="E22" s="18">
        <v>7</v>
      </c>
      <c r="F22" s="18">
        <v>8</v>
      </c>
      <c r="G22" s="20" t="str">
        <f>IF($C$3="","",WORKDAY($C$3-1,(E22-1)*5+1,'Festivos Colombia'!$A$5:$A$42))</f>
        <v/>
      </c>
      <c r="H22" s="20" t="str">
        <f>IF($C$3="","",WORKDAY($C$3-1,F22*5,'Festivos Colombia'!$A$5:$A$42))</f>
        <v/>
      </c>
      <c r="I22" s="18">
        <f t="shared" si="0"/>
        <v>2</v>
      </c>
      <c r="J22" s="9">
        <v>0</v>
      </c>
      <c r="K22" s="10" t="s">
        <v>25</v>
      </c>
      <c r="L22" s="10"/>
      <c r="N22" s="11">
        <f t="shared" si="1"/>
        <v>0</v>
      </c>
      <c r="O22" s="11">
        <f t="shared" si="2"/>
        <v>0</v>
      </c>
      <c r="P22" s="11">
        <f t="shared" si="3"/>
        <v>0</v>
      </c>
      <c r="Q22" s="11">
        <f t="shared" si="4"/>
        <v>0</v>
      </c>
      <c r="R22" s="11">
        <f t="shared" si="5"/>
        <v>0</v>
      </c>
      <c r="S22" s="11">
        <f t="shared" si="6"/>
        <v>0</v>
      </c>
      <c r="T22" s="11">
        <f t="shared" si="7"/>
        <v>1</v>
      </c>
      <c r="U22" s="11">
        <f t="shared" si="8"/>
        <v>1</v>
      </c>
    </row>
    <row r="23" spans="1:21" ht="30" customHeight="1" x14ac:dyDescent="0.25">
      <c r="A23" s="18">
        <v>17</v>
      </c>
      <c r="B23" s="37" t="s">
        <v>73</v>
      </c>
      <c r="C23" s="19" t="s">
        <v>39</v>
      </c>
      <c r="D23" s="38" t="s">
        <v>79</v>
      </c>
      <c r="E23" s="18">
        <v>8</v>
      </c>
      <c r="F23" s="18">
        <v>8</v>
      </c>
      <c r="G23" s="20" t="str">
        <f>IF($C$3="","",WORKDAY($C$3-1,(E23-1)*5+1,'Festivos Colombia'!$A$5:$A$42))</f>
        <v/>
      </c>
      <c r="H23" s="20" t="str">
        <f>IF($C$3="","",WORKDAY($C$3-1,F23*5,'Festivos Colombia'!$A$5:$A$42))</f>
        <v/>
      </c>
      <c r="I23" s="18">
        <f t="shared" si="0"/>
        <v>1</v>
      </c>
      <c r="J23" s="9">
        <v>0</v>
      </c>
      <c r="K23" s="10" t="s">
        <v>25</v>
      </c>
      <c r="L23" s="10"/>
      <c r="N23" s="11">
        <f t="shared" si="1"/>
        <v>0</v>
      </c>
      <c r="O23" s="11">
        <f t="shared" si="2"/>
        <v>0</v>
      </c>
      <c r="P23" s="11">
        <f t="shared" si="3"/>
        <v>0</v>
      </c>
      <c r="Q23" s="11">
        <f t="shared" si="4"/>
        <v>0</v>
      </c>
      <c r="R23" s="11">
        <f t="shared" si="5"/>
        <v>0</v>
      </c>
      <c r="S23" s="11">
        <f t="shared" si="6"/>
        <v>0</v>
      </c>
      <c r="T23" s="11">
        <f t="shared" si="7"/>
        <v>0</v>
      </c>
      <c r="U23" s="11">
        <f t="shared" si="8"/>
        <v>1</v>
      </c>
    </row>
    <row r="24" spans="1:21" ht="51" x14ac:dyDescent="0.25">
      <c r="A24" s="18">
        <v>18</v>
      </c>
      <c r="B24" s="37" t="s">
        <v>73</v>
      </c>
      <c r="C24" s="19" t="s">
        <v>40</v>
      </c>
      <c r="D24" s="38" t="s">
        <v>80</v>
      </c>
      <c r="E24" s="18">
        <v>8</v>
      </c>
      <c r="F24" s="18">
        <v>8</v>
      </c>
      <c r="G24" s="20" t="str">
        <f>IF($C$3="","",WORKDAY($C$3-1,(E24-1)*5+1,'Festivos Colombia'!$A$5:$A$42))</f>
        <v/>
      </c>
      <c r="H24" s="20" t="str">
        <f>IF($C$3="","",WORKDAY($C$3-1,F24*5,'Festivos Colombia'!$A$5:$A$42))</f>
        <v/>
      </c>
      <c r="I24" s="18">
        <f t="shared" si="0"/>
        <v>1</v>
      </c>
      <c r="J24" s="9">
        <v>0</v>
      </c>
      <c r="K24" s="10" t="s">
        <v>25</v>
      </c>
      <c r="L24" s="10"/>
      <c r="N24" s="11">
        <f t="shared" si="1"/>
        <v>0</v>
      </c>
      <c r="O24" s="11">
        <f t="shared" si="2"/>
        <v>0</v>
      </c>
      <c r="P24" s="11">
        <f t="shared" si="3"/>
        <v>0</v>
      </c>
      <c r="Q24" s="11">
        <f t="shared" si="4"/>
        <v>0</v>
      </c>
      <c r="R24" s="11">
        <f t="shared" si="5"/>
        <v>0</v>
      </c>
      <c r="S24" s="11">
        <f t="shared" si="6"/>
        <v>0</v>
      </c>
      <c r="T24" s="11">
        <f t="shared" si="7"/>
        <v>0</v>
      </c>
      <c r="U24" s="11">
        <f t="shared" si="8"/>
        <v>1</v>
      </c>
    </row>
  </sheetData>
  <autoFilter ref="A5:L24" xr:uid="{00000000-0009-0000-0000-000000000000}"/>
  <mergeCells count="3">
    <mergeCell ref="A1:L1"/>
    <mergeCell ref="A2:L2"/>
    <mergeCell ref="D3:F3"/>
  </mergeCells>
  <conditionalFormatting sqref="J7:J24">
    <cfRule type="dataBar" priority="10">
      <dataBar>
        <cfvo type="num" val="0"/>
        <cfvo type="num" val="1"/>
        <color rgb="FF638EC6"/>
      </dataBar>
      <extLst>
        <ext xmlns:x14="http://schemas.microsoft.com/office/spreadsheetml/2009/9/main" uri="{B025F937-C7B1-47D3-B67F-A62EFF666E3E}">
          <x14:id>{AD4BD5E8-FD20-4627-A9B7-5F6B6B967D4A}</x14:id>
        </ext>
      </extLst>
    </cfRule>
  </conditionalFormatting>
  <conditionalFormatting sqref="K7:K24">
    <cfRule type="expression" dxfId="7" priority="6">
      <formula>$K7="No iniciado"</formula>
    </cfRule>
    <cfRule type="expression" dxfId="6" priority="7">
      <formula>$K7="En curso"</formula>
    </cfRule>
    <cfRule type="expression" dxfId="5" priority="8">
      <formula>$K7="Completado"</formula>
    </cfRule>
    <cfRule type="expression" dxfId="4" priority="9">
      <formula>$K7="Bloqueado"</formula>
    </cfRule>
  </conditionalFormatting>
  <conditionalFormatting sqref="N7:U24">
    <cfRule type="expression" dxfId="3" priority="2">
      <formula>AND(N7=1,$B7="Módulo ER+ - Tablero de Control")</formula>
    </cfRule>
    <cfRule type="expression" dxfId="2" priority="3">
      <formula>AND(N7=1,$B7="Módulo RF - Migración de Datos")</formula>
    </cfRule>
    <cfRule type="expression" dxfId="1" priority="4">
      <formula>AND(N7=1,$B7="Módulo RF - Pruebas Generales")</formula>
    </cfRule>
    <cfRule type="expression" dxfId="0" priority="5">
      <formula>AND(N7=1,$B7="Módulo RF - Informes y Reportes")</formula>
    </cfRule>
  </conditionalFormatting>
  <dataValidations count="2">
    <dataValidation type="list" sqref="K7:K24" xr:uid="{00000000-0002-0000-0000-000000000000}">
      <formula1>"No iniciado,En curso,Completado,Bloqueado"</formula1>
      <formula2>0</formula2>
    </dataValidation>
    <dataValidation type="decimal" allowBlank="1" error="Ingresa un porcentaje entre 0% y 100%" sqref="J7:J24" xr:uid="{00000000-0002-0000-0000-000001000000}">
      <formula1>0</formula1>
      <formula2>1</formula2>
    </dataValidation>
  </dataValidations>
  <pageMargins left="0.75" right="0.75" top="1" bottom="1" header="0.511811023622047" footer="0.511811023622047"/>
  <pageSetup paperSize="9" orientation="portrait" horizontalDpi="300" verticalDpi="30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D4BD5E8-FD20-4627-A9B7-5F6B6B967D4A}">
            <x14:dataBar axisPosition="none">
              <x14:cfvo type="num">
                <xm:f>0</xm:f>
              </x14:cfvo>
              <x14:cfvo type="num">
                <xm:f>1</xm:f>
              </x14:cfvo>
              <x14:negativeFillColor rgb="FF638EC6"/>
            </x14:dataBar>
          </x14:cfRule>
          <xm:sqref>J7:J24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G15"/>
  <sheetViews>
    <sheetView showGridLines="0" zoomScaleNormal="100" workbookViewId="0">
      <selection activeCell="E6" sqref="E6"/>
    </sheetView>
  </sheetViews>
  <sheetFormatPr baseColWidth="10" defaultColWidth="8.7109375" defaultRowHeight="15" x14ac:dyDescent="0.25"/>
  <cols>
    <col min="1" max="1" width="3" customWidth="1"/>
    <col min="2" max="2" width="28.7109375" customWidth="1"/>
    <col min="3" max="7" width="16" customWidth="1"/>
  </cols>
  <sheetData>
    <row r="2" spans="2:7" ht="17.25" customHeight="1" x14ac:dyDescent="0.25">
      <c r="B2" s="40" t="s">
        <v>41</v>
      </c>
      <c r="C2" s="40"/>
      <c r="D2" s="40"/>
      <c r="E2" s="40"/>
      <c r="F2" s="40"/>
      <c r="G2" s="40"/>
    </row>
    <row r="4" spans="2:7" ht="15" customHeight="1" x14ac:dyDescent="0.25">
      <c r="B4" s="21" t="s">
        <v>42</v>
      </c>
      <c r="C4" s="21" t="s">
        <v>43</v>
      </c>
      <c r="D4" s="21" t="s">
        <v>44</v>
      </c>
      <c r="E4" s="21" t="s">
        <v>45</v>
      </c>
    </row>
    <row r="5" spans="2:7" ht="30" customHeight="1" x14ac:dyDescent="0.4">
      <c r="B5" s="22">
        <f>COUNT('Plan de Trabajo'!$A$7:$A$24)</f>
        <v>18</v>
      </c>
      <c r="C5" s="22">
        <f>COUNTIF('Plan de Trabajo'!$K$7:$K$24,"Completado")</f>
        <v>0</v>
      </c>
      <c r="D5" s="22">
        <f>COUNTIF('Plan de Trabajo'!$K$7:$K$24,"En curso")</f>
        <v>0</v>
      </c>
      <c r="E5" s="22">
        <f>COUNTIF('Plan de Trabajo'!$K$7:$K$24,"No iniciado")</f>
        <v>18</v>
      </c>
    </row>
    <row r="7" spans="2:7" ht="25.5" customHeight="1" x14ac:dyDescent="0.4">
      <c r="B7" s="42" t="s">
        <v>46</v>
      </c>
      <c r="C7" s="42"/>
      <c r="D7" s="23">
        <f>SUMPRODUCT('Plan de Trabajo'!$J$7:$J$24,'Plan de Trabajo'!$I$7:$I$24)/SUM('Plan de Trabajo'!$I$7:$I$24)</f>
        <v>0</v>
      </c>
    </row>
    <row r="10" spans="2:7" ht="15" customHeight="1" x14ac:dyDescent="0.25">
      <c r="B10" s="43" t="s">
        <v>47</v>
      </c>
      <c r="C10" s="43"/>
      <c r="D10" s="43"/>
      <c r="E10" s="43"/>
      <c r="F10" s="43"/>
      <c r="G10" s="43"/>
    </row>
    <row r="11" spans="2:7" ht="25.5" customHeight="1" x14ac:dyDescent="0.25">
      <c r="B11" s="3" t="s">
        <v>4</v>
      </c>
      <c r="C11" s="3" t="s">
        <v>48</v>
      </c>
      <c r="D11" s="3" t="s">
        <v>43</v>
      </c>
      <c r="E11" s="3" t="s">
        <v>49</v>
      </c>
      <c r="F11" s="3" t="s">
        <v>9</v>
      </c>
      <c r="G11" s="3" t="s">
        <v>10</v>
      </c>
    </row>
    <row r="12" spans="2:7" ht="15" customHeight="1" x14ac:dyDescent="0.25">
      <c r="B12" s="39" t="s">
        <v>76</v>
      </c>
      <c r="C12" s="24">
        <f>COUNTIF('Plan de Trabajo'!$B$7:$B$24,$B12)</f>
        <v>3</v>
      </c>
      <c r="D12" s="24">
        <f>COUNTIFS('Plan de Trabajo'!$B$7:$B$24,$B12,'Plan de Trabajo'!$K$7:$K$24,"Completado")</f>
        <v>0</v>
      </c>
      <c r="E12" s="25">
        <f>SUMPRODUCT(('Plan de Trabajo'!$B$7:$B$24=$B12)*'Plan de Trabajo'!$J$7:$J$24*'Plan de Trabajo'!$I$7:$I$24)/SUMPRODUCT(('Plan de Trabajo'!$B$7:$B$24=$B12)*'Plan de Trabajo'!$I$7:$I$24)</f>
        <v>0</v>
      </c>
      <c r="F12" s="26">
        <f>_xlfn.MINIFS('Plan de Trabajo'!$G$7:$G$24,'Plan de Trabajo'!$B$7:$B$24,$B12)</f>
        <v>0</v>
      </c>
      <c r="G12" s="26">
        <f>_xlfn.MAXIFS('Plan de Trabajo'!$H$7:$H$24,'Plan de Trabajo'!$B$7:$B$24,$B12)</f>
        <v>0</v>
      </c>
    </row>
    <row r="13" spans="2:7" ht="15" customHeight="1" x14ac:dyDescent="0.25">
      <c r="B13" s="39" t="s">
        <v>75</v>
      </c>
      <c r="C13" s="24">
        <f>COUNTIF('Plan de Trabajo'!$B$7:$B$24,$B13)</f>
        <v>3</v>
      </c>
      <c r="D13" s="24">
        <f>COUNTIFS('Plan de Trabajo'!$B$7:$B$24,$B13,'Plan de Trabajo'!$K$7:$K$24,"Completado")</f>
        <v>0</v>
      </c>
      <c r="E13" s="25">
        <f>SUMPRODUCT(('Plan de Trabajo'!$B$7:$B$24=$B13)*'Plan de Trabajo'!$J$7:$J$24*'Plan de Trabajo'!$I$7:$I$24)/SUMPRODUCT(('Plan de Trabajo'!$B$7:$B$24=$B13)*'Plan de Trabajo'!$I$7:$I$24)</f>
        <v>0</v>
      </c>
      <c r="F13" s="26">
        <f>_xlfn.MINIFS('Plan de Trabajo'!$G$7:$G$24,'Plan de Trabajo'!$B$7:$B$24,$B13)</f>
        <v>0</v>
      </c>
      <c r="G13" s="26">
        <f>_xlfn.MAXIFS('Plan de Trabajo'!$H$7:$H$24,'Plan de Trabajo'!$B$7:$B$24,$B13)</f>
        <v>0</v>
      </c>
    </row>
    <row r="14" spans="2:7" ht="15" customHeight="1" x14ac:dyDescent="0.25">
      <c r="B14" s="39" t="s">
        <v>74</v>
      </c>
      <c r="C14" s="24">
        <f>COUNTIF('Plan de Trabajo'!$B$7:$B$24,$B14)</f>
        <v>5</v>
      </c>
      <c r="D14" s="24">
        <f>COUNTIFS('Plan de Trabajo'!$B$7:$B$24,$B14,'Plan de Trabajo'!$K$7:$K$24,"Completado")</f>
        <v>0</v>
      </c>
      <c r="E14" s="25">
        <f>SUMPRODUCT(('Plan de Trabajo'!$B$7:$B$24=$B14)*'Plan de Trabajo'!$J$7:$J$24*'Plan de Trabajo'!$I$7:$I$24)/SUMPRODUCT(('Plan de Trabajo'!$B$7:$B$24=$B14)*'Plan de Trabajo'!$I$7:$I$24)</f>
        <v>0</v>
      </c>
      <c r="F14" s="26">
        <f>_xlfn.MINIFS('Plan de Trabajo'!$G$7:$G$24,'Plan de Trabajo'!$B$7:$B$24,$B14)</f>
        <v>0</v>
      </c>
      <c r="G14" s="26">
        <f>_xlfn.MAXIFS('Plan de Trabajo'!$H$7:$H$24,'Plan de Trabajo'!$B$7:$B$24,$B14)</f>
        <v>0</v>
      </c>
    </row>
    <row r="15" spans="2:7" ht="15" customHeight="1" x14ac:dyDescent="0.25">
      <c r="B15" s="39" t="s">
        <v>73</v>
      </c>
      <c r="C15" s="24">
        <f>COUNTIF('Plan de Trabajo'!$B$7:$B$24,$B15)</f>
        <v>7</v>
      </c>
      <c r="D15" s="24">
        <f>COUNTIFS('Plan de Trabajo'!$B$7:$B$24,$B15,'Plan de Trabajo'!$K$7:$K$24,"Completado")</f>
        <v>0</v>
      </c>
      <c r="E15" s="25">
        <f>SUMPRODUCT(('Plan de Trabajo'!$B$7:$B$24=$B15)*'Plan de Trabajo'!$J$7:$J$24*'Plan de Trabajo'!$I$7:$I$24)/SUMPRODUCT(('Plan de Trabajo'!$B$7:$B$24=$B15)*'Plan de Trabajo'!$I$7:$I$24)</f>
        <v>0</v>
      </c>
      <c r="F15" s="26">
        <f>_xlfn.MINIFS('Plan de Trabajo'!$G$7:$G$24,'Plan de Trabajo'!$B$7:$B$24,$B15)</f>
        <v>0</v>
      </c>
      <c r="G15" s="26">
        <f>_xlfn.MAXIFS('Plan de Trabajo'!$H$7:$H$24,'Plan de Trabajo'!$B$7:$B$24,$B15)</f>
        <v>0</v>
      </c>
    </row>
  </sheetData>
  <mergeCells count="3">
    <mergeCell ref="B2:G2"/>
    <mergeCell ref="B7:C7"/>
    <mergeCell ref="B10:G10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2"/>
  <sheetViews>
    <sheetView showGridLines="0" zoomScaleNormal="100" workbookViewId="0">
      <pane ySplit="4" topLeftCell="A5" activePane="bottomLeft" state="frozen"/>
      <selection pane="bottomLeft" activeCell="A2" sqref="A2:C2"/>
    </sheetView>
  </sheetViews>
  <sheetFormatPr baseColWidth="10" defaultColWidth="8.7109375" defaultRowHeight="15" x14ac:dyDescent="0.25"/>
  <cols>
    <col min="1" max="1" width="14" customWidth="1"/>
    <col min="2" max="2" width="32" customWidth="1"/>
    <col min="3" max="3" width="45" customWidth="1"/>
  </cols>
  <sheetData>
    <row r="1" spans="1:3" ht="16.5" x14ac:dyDescent="0.25">
      <c r="A1" s="44" t="s">
        <v>50</v>
      </c>
      <c r="B1" s="44"/>
      <c r="C1" s="44"/>
    </row>
    <row r="2" spans="1:3" x14ac:dyDescent="0.25">
      <c r="A2" s="41" t="s">
        <v>51</v>
      </c>
      <c r="B2" s="41"/>
      <c r="C2" s="41"/>
    </row>
    <row r="4" spans="1:3" x14ac:dyDescent="0.25">
      <c r="A4" s="27" t="s">
        <v>52</v>
      </c>
      <c r="B4" s="27" t="s">
        <v>53</v>
      </c>
      <c r="C4" s="27"/>
    </row>
    <row r="5" spans="1:3" x14ac:dyDescent="0.25">
      <c r="A5" s="28">
        <v>46023</v>
      </c>
      <c r="B5" s="29" t="s">
        <v>54</v>
      </c>
      <c r="C5" s="30"/>
    </row>
    <row r="6" spans="1:3" x14ac:dyDescent="0.25">
      <c r="A6" s="28">
        <v>46034</v>
      </c>
      <c r="B6" s="29" t="s">
        <v>55</v>
      </c>
      <c r="C6" s="30"/>
    </row>
    <row r="7" spans="1:3" x14ac:dyDescent="0.25">
      <c r="A7" s="28">
        <v>46104</v>
      </c>
      <c r="B7" s="29" t="s">
        <v>56</v>
      </c>
      <c r="C7" s="30"/>
    </row>
    <row r="8" spans="1:3" x14ac:dyDescent="0.25">
      <c r="A8" s="28">
        <v>46114</v>
      </c>
      <c r="B8" s="29" t="s">
        <v>57</v>
      </c>
      <c r="C8" s="30"/>
    </row>
    <row r="9" spans="1:3" x14ac:dyDescent="0.25">
      <c r="A9" s="28">
        <v>46115</v>
      </c>
      <c r="B9" s="29" t="s">
        <v>58</v>
      </c>
      <c r="C9" s="30"/>
    </row>
    <row r="10" spans="1:3" x14ac:dyDescent="0.25">
      <c r="A10" s="28">
        <v>46143</v>
      </c>
      <c r="B10" s="29" t="s">
        <v>59</v>
      </c>
      <c r="C10" s="30"/>
    </row>
    <row r="11" spans="1:3" x14ac:dyDescent="0.25">
      <c r="A11" s="28">
        <v>46160</v>
      </c>
      <c r="B11" s="29" t="s">
        <v>60</v>
      </c>
      <c r="C11" s="30"/>
    </row>
    <row r="12" spans="1:3" x14ac:dyDescent="0.25">
      <c r="A12" s="28">
        <v>46181</v>
      </c>
      <c r="B12" s="29" t="s">
        <v>61</v>
      </c>
      <c r="C12" s="30"/>
    </row>
    <row r="13" spans="1:3" x14ac:dyDescent="0.25">
      <c r="A13" s="28">
        <v>46188</v>
      </c>
      <c r="B13" s="29" t="s">
        <v>62</v>
      </c>
      <c r="C13" s="30"/>
    </row>
    <row r="14" spans="1:3" x14ac:dyDescent="0.25">
      <c r="A14" s="28">
        <v>46202</v>
      </c>
      <c r="B14" s="29" t="s">
        <v>63</v>
      </c>
      <c r="C14" s="30"/>
    </row>
    <row r="15" spans="1:3" x14ac:dyDescent="0.25">
      <c r="A15" s="28">
        <v>46216</v>
      </c>
      <c r="B15" s="29" t="s">
        <v>64</v>
      </c>
      <c r="C15" s="30"/>
    </row>
    <row r="16" spans="1:3" x14ac:dyDescent="0.25">
      <c r="A16" s="28">
        <v>46223</v>
      </c>
      <c r="B16" s="29" t="s">
        <v>65</v>
      </c>
      <c r="C16" s="30"/>
    </row>
    <row r="17" spans="1:3" x14ac:dyDescent="0.25">
      <c r="A17" s="28">
        <v>46241</v>
      </c>
      <c r="B17" s="29" t="s">
        <v>66</v>
      </c>
      <c r="C17" s="30"/>
    </row>
    <row r="18" spans="1:3" x14ac:dyDescent="0.25">
      <c r="A18" s="28">
        <v>46251</v>
      </c>
      <c r="B18" s="29" t="s">
        <v>67</v>
      </c>
      <c r="C18" s="30"/>
    </row>
    <row r="19" spans="1:3" x14ac:dyDescent="0.25">
      <c r="A19" s="28">
        <v>46307</v>
      </c>
      <c r="B19" s="29" t="s">
        <v>68</v>
      </c>
      <c r="C19" s="30"/>
    </row>
    <row r="20" spans="1:3" x14ac:dyDescent="0.25">
      <c r="A20" s="28">
        <v>46328</v>
      </c>
      <c r="B20" s="29" t="s">
        <v>69</v>
      </c>
      <c r="C20" s="30"/>
    </row>
    <row r="21" spans="1:3" x14ac:dyDescent="0.25">
      <c r="A21" s="28">
        <v>46342</v>
      </c>
      <c r="B21" s="29" t="s">
        <v>70</v>
      </c>
      <c r="C21" s="30"/>
    </row>
    <row r="22" spans="1:3" x14ac:dyDescent="0.25">
      <c r="A22" s="28">
        <v>46364</v>
      </c>
      <c r="B22" s="29" t="s">
        <v>71</v>
      </c>
      <c r="C22" s="30"/>
    </row>
    <row r="23" spans="1:3" x14ac:dyDescent="0.25">
      <c r="A23" s="28">
        <v>46381</v>
      </c>
      <c r="B23" s="29" t="s">
        <v>72</v>
      </c>
      <c r="C23" s="30"/>
    </row>
    <row r="24" spans="1:3" x14ac:dyDescent="0.25">
      <c r="A24" s="28">
        <v>46388</v>
      </c>
      <c r="B24" s="29" t="s">
        <v>54</v>
      </c>
      <c r="C24" s="30"/>
    </row>
    <row r="25" spans="1:3" x14ac:dyDescent="0.25">
      <c r="A25" s="28">
        <v>46398</v>
      </c>
      <c r="B25" s="29" t="s">
        <v>55</v>
      </c>
      <c r="C25" s="30"/>
    </row>
    <row r="26" spans="1:3" x14ac:dyDescent="0.25">
      <c r="A26" s="28">
        <v>46468</v>
      </c>
      <c r="B26" s="29" t="s">
        <v>56</v>
      </c>
      <c r="C26" s="30"/>
    </row>
    <row r="27" spans="1:3" x14ac:dyDescent="0.25">
      <c r="A27" s="28">
        <v>46471</v>
      </c>
      <c r="B27" s="29" t="s">
        <v>57</v>
      </c>
      <c r="C27" s="30"/>
    </row>
    <row r="28" spans="1:3" x14ac:dyDescent="0.25">
      <c r="A28" s="28">
        <v>46472</v>
      </c>
      <c r="B28" s="29" t="s">
        <v>58</v>
      </c>
      <c r="C28" s="30"/>
    </row>
    <row r="29" spans="1:3" x14ac:dyDescent="0.25">
      <c r="A29" s="28">
        <v>46508</v>
      </c>
      <c r="B29" s="29" t="s">
        <v>59</v>
      </c>
      <c r="C29" s="30"/>
    </row>
    <row r="30" spans="1:3" x14ac:dyDescent="0.25">
      <c r="A30" s="28">
        <v>46517</v>
      </c>
      <c r="B30" s="29" t="s">
        <v>60</v>
      </c>
      <c r="C30" s="30"/>
    </row>
    <row r="31" spans="1:3" x14ac:dyDescent="0.25">
      <c r="A31" s="28">
        <v>46538</v>
      </c>
      <c r="B31" s="29" t="s">
        <v>61</v>
      </c>
      <c r="C31" s="30"/>
    </row>
    <row r="32" spans="1:3" x14ac:dyDescent="0.25">
      <c r="A32" s="28">
        <v>46545</v>
      </c>
      <c r="B32" s="29" t="s">
        <v>62</v>
      </c>
      <c r="C32" s="30"/>
    </row>
    <row r="33" spans="1:3" x14ac:dyDescent="0.25">
      <c r="A33" s="28">
        <v>46573</v>
      </c>
      <c r="B33" s="29" t="s">
        <v>63</v>
      </c>
      <c r="C33" s="30"/>
    </row>
    <row r="34" spans="1:3" x14ac:dyDescent="0.25">
      <c r="A34" s="28">
        <v>46580</v>
      </c>
      <c r="B34" s="29" t="s">
        <v>64</v>
      </c>
      <c r="C34" s="30"/>
    </row>
    <row r="35" spans="1:3" x14ac:dyDescent="0.25">
      <c r="A35" s="28">
        <v>46588</v>
      </c>
      <c r="B35" s="29" t="s">
        <v>65</v>
      </c>
      <c r="C35" s="30"/>
    </row>
    <row r="36" spans="1:3" x14ac:dyDescent="0.25">
      <c r="A36" s="28">
        <v>46606</v>
      </c>
      <c r="B36" s="29" t="s">
        <v>66</v>
      </c>
      <c r="C36" s="30"/>
    </row>
    <row r="37" spans="1:3" x14ac:dyDescent="0.25">
      <c r="A37" s="28">
        <v>46615</v>
      </c>
      <c r="B37" s="29" t="s">
        <v>67</v>
      </c>
      <c r="C37" s="30"/>
    </row>
    <row r="38" spans="1:3" x14ac:dyDescent="0.25">
      <c r="A38" s="28">
        <v>46678</v>
      </c>
      <c r="B38" s="29" t="s">
        <v>68</v>
      </c>
      <c r="C38" s="30"/>
    </row>
    <row r="39" spans="1:3" x14ac:dyDescent="0.25">
      <c r="A39" s="28">
        <v>46692</v>
      </c>
      <c r="B39" s="29" t="s">
        <v>69</v>
      </c>
      <c r="C39" s="30"/>
    </row>
    <row r="40" spans="1:3" x14ac:dyDescent="0.25">
      <c r="A40" s="28">
        <v>46706</v>
      </c>
      <c r="B40" s="29" t="s">
        <v>70</v>
      </c>
      <c r="C40" s="30"/>
    </row>
    <row r="41" spans="1:3" x14ac:dyDescent="0.25">
      <c r="A41" s="28">
        <v>46729</v>
      </c>
      <c r="B41" s="29" t="s">
        <v>71</v>
      </c>
      <c r="C41" s="30"/>
    </row>
    <row r="42" spans="1:3" x14ac:dyDescent="0.25">
      <c r="A42" s="28">
        <v>46746</v>
      </c>
      <c r="B42" s="29" t="s">
        <v>72</v>
      </c>
      <c r="C42" s="30"/>
    </row>
  </sheetData>
  <mergeCells count="2">
    <mergeCell ref="A1:C1"/>
    <mergeCell ref="A2:C2"/>
  </mergeCells>
  <pageMargins left="0.75" right="0.75" top="1" bottom="1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 de Trabajo</vt:lpstr>
      <vt:lpstr>Resumen</vt:lpstr>
      <vt:lpstr>Festivos Colombia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Denis Eliana Hernandez Niño - Coordinadora GIT de Serv</cp:lastModifiedBy>
  <cp:revision>2</cp:revision>
  <dcterms:created xsi:type="dcterms:W3CDTF">2026-09-01T20:53:01Z</dcterms:created>
  <dcterms:modified xsi:type="dcterms:W3CDTF">2026-09-07T19:26:26Z</dcterms:modified>
  <dc:language>en-US</dc:language>
</cp:coreProperties>
</file>