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ComputadorMilena2026\0. AGENCIA DIANA\3. MUNICIPIOS\2026\M-TAUSA\Licitaciones\2. Menor Cuantía julio 2026\ULTIMOS - 21 julio VB\"/>
    </mc:Choice>
  </mc:AlternateContent>
  <xr:revisionPtr revIDLastSave="0" documentId="13_ncr:1_{8BCD2531-105E-4647-A6B6-D9E6ED85A72F}" xr6:coauthVersionLast="47" xr6:coauthVersionMax="47" xr10:uidLastSave="{00000000-0000-0000-0000-000000000000}"/>
  <bookViews>
    <workbookView xWindow="-120" yWindow="-120" windowWidth="24240" windowHeight="13140" tabRatio="913" firstSheet="3" activeTab="3" xr2:uid="{00000000-000D-0000-FFFF-FFFF00000000}"/>
  </bookViews>
  <sheets>
    <sheet name="RESUMEN  MV" sheetId="43" state="hidden" r:id="rId1"/>
    <sheet name="RESUMEN " sheetId="16" state="hidden" r:id="rId2"/>
    <sheet name="DEDUCIBLES" sheetId="42" state="hidden" r:id="rId3"/>
    <sheet name="RESUMEN" sheetId="51" r:id="rId4"/>
    <sheet name="EDIFICIOS Y TERRENOS" sheetId="21" r:id="rId5"/>
    <sheet name="CONTENIDOS - ENSERES - OTROS" sheetId="46" r:id="rId6"/>
    <sheet name="VEHIC Y MAQUI. REPOSO" sheetId="24" r:id="rId7"/>
    <sheet name="EQ ELEC - DATOS -COM - PORTAT." sheetId="47" r:id="rId8"/>
    <sheet name="TR. MAQUINARIA Y EQUIPO" sheetId="23" r:id="rId9"/>
    <sheet name="AUTOMOVILES" sheetId="22" r:id="rId10"/>
    <sheet name="SOAT1" sheetId="52" r:id="rId11"/>
    <sheet name="Hoja1" sheetId="36" state="hidden" r:id="rId12"/>
    <sheet name="RC SERV. PUBLICOS" sheetId="49" r:id="rId13"/>
    <sheet name="MANEJO" sheetId="50" r:id="rId14"/>
    <sheet name="RCE" sheetId="53" r:id="rId15"/>
    <sheet name="RC CONTRACTUAL OCUP" sheetId="25" r:id="rId16"/>
    <sheet name="VIDA GRUPO" sheetId="45" r:id="rId17"/>
    <sheet name="SEGUROS SOAT" sheetId="27" state="hidden" r:id="rId18"/>
    <sheet name="Hoja4" sheetId="31" state="hidden" r:id="rId19"/>
    <sheet name="VIDA CONCEJALES" sheetId="26" state="hidden" r:id="rId20"/>
    <sheet name="distr. tasa " sheetId="17" state="hidden" r:id="rId21"/>
    <sheet name="ESTUDIO MERCADOS" sheetId="1" state="hidden" r:id="rId22"/>
    <sheet name="EDIFICACIONES" sheetId="14" state="hidden" r:id="rId23"/>
    <sheet name="AUTOS" sheetId="11" state="hidden" r:id="rId24"/>
    <sheet name="REPOSO" sheetId="13" state="hidden" r:id="rId25"/>
    <sheet name="SOAT" sheetId="8" state="hidden" r:id="rId26"/>
    <sheet name="M&amp;E" sheetId="4" state="hidden" r:id="rId27"/>
    <sheet name="ACCIDENTES PASAJEROS" sheetId="15" state="hidden" r:id="rId28"/>
    <sheet name="VG" sheetId="10" state="hidden" r:id="rId29"/>
  </sheets>
  <definedNames>
    <definedName name="_xlnm._FilterDatabase" localSheetId="22" hidden="1">EDIFICACIONES!$C$1:$C$190</definedName>
    <definedName name="_xlnm._FilterDatabase" localSheetId="10" hidden="1">SOAT1!$B$6:$D$13</definedName>
    <definedName name="_xlnm.Print_Area" localSheetId="20">'distr. tasa '!$A$1:$K$35</definedName>
    <definedName name="_xlnm.Print_Area" localSheetId="1">'RESUMEN '!$A$1:$G$111</definedName>
    <definedName name="_xlnm.Print_Area" localSheetId="0">'RESUMEN  MV'!$A$1:$G$111</definedName>
    <definedName name="_xlnm.Print_Titles" localSheetId="21">'ESTUDIO MERCADOS'!$1:$8</definedName>
    <definedName name="_xlnm.Print_Titles" localSheetId="1">'RESUMEN '!$1:$6</definedName>
    <definedName name="_xlnm.Print_Titles" localSheetId="0">'RESUMEN  MV'!$1:$6</definedName>
  </definedNames>
  <calcPr calcId="191029"/>
</workbook>
</file>

<file path=xl/calcChain.xml><?xml version="1.0" encoding="utf-8"?>
<calcChain xmlns="http://schemas.openxmlformats.org/spreadsheetml/2006/main">
  <c r="C55" i="51" l="1"/>
  <c r="E13" i="52"/>
  <c r="C41" i="51" l="1"/>
  <c r="C40" i="51"/>
  <c r="C39" i="51"/>
  <c r="A8" i="52" l="1"/>
  <c r="A11" i="52" s="1"/>
  <c r="E27" i="22"/>
  <c r="E26" i="22"/>
  <c r="E16" i="22"/>
  <c r="C7" i="47" l="1"/>
  <c r="C9" i="47"/>
  <c r="C13" i="46"/>
  <c r="D18" i="23"/>
  <c r="C43" i="51"/>
  <c r="B12" i="47"/>
  <c r="B13" i="47" s="1"/>
  <c r="H26" i="22"/>
  <c r="F74" i="21"/>
  <c r="C20" i="23" l="1"/>
  <c r="F66" i="21"/>
  <c r="F58" i="21"/>
  <c r="D9" i="24"/>
  <c r="C22" i="51" l="1"/>
  <c r="D20" i="24"/>
  <c r="F67" i="21"/>
  <c r="F69" i="21" s="1"/>
  <c r="C7" i="51" l="1"/>
  <c r="A8" i="22"/>
  <c r="A9" i="22" s="1"/>
  <c r="A10" i="22" s="1"/>
  <c r="A11" i="22" s="1"/>
  <c r="A12" i="22" s="1"/>
  <c r="A13" i="22" s="1"/>
  <c r="A14" i="22" s="1"/>
  <c r="D17" i="24"/>
  <c r="C23" i="51" s="1"/>
  <c r="D22" i="51" l="1"/>
  <c r="A18" i="22"/>
  <c r="A19" i="22" s="1"/>
  <c r="A20" i="22" s="1"/>
  <c r="A21" i="22" s="1"/>
  <c r="A22" i="22" s="1"/>
  <c r="A23" i="22" s="1"/>
  <c r="A24" i="22" s="1"/>
  <c r="A25" i="22" s="1"/>
  <c r="A15" i="22"/>
  <c r="C9" i="51"/>
  <c r="C49" i="51"/>
  <c r="C46" i="51"/>
  <c r="C30" i="51"/>
  <c r="C28" i="51"/>
  <c r="C27" i="51"/>
  <c r="C26" i="51"/>
  <c r="C25" i="51"/>
  <c r="C24" i="51"/>
  <c r="C20" i="51"/>
  <c r="C19" i="51"/>
  <c r="C18" i="51"/>
  <c r="C11" i="51"/>
  <c r="C17" i="51"/>
  <c r="C16" i="51"/>
  <c r="C14" i="51"/>
  <c r="C13" i="51"/>
  <c r="C12" i="51"/>
  <c r="C10" i="51"/>
  <c r="C31" i="51" l="1"/>
  <c r="C15" i="51"/>
  <c r="C29" i="51"/>
  <c r="C21" i="51"/>
  <c r="D12" i="51"/>
  <c r="D10" i="51"/>
  <c r="D18" i="51"/>
  <c r="D24" i="51"/>
  <c r="C53" i="51"/>
  <c r="C50" i="51"/>
  <c r="C47" i="51"/>
  <c r="C44" i="51"/>
  <c r="D7" i="45" l="1"/>
  <c r="C57" i="51" l="1"/>
  <c r="E7" i="45"/>
  <c r="C58" i="51"/>
  <c r="C59" i="51" s="1"/>
  <c r="D10" i="45"/>
  <c r="D9" i="45"/>
  <c r="D8" i="45"/>
  <c r="D57" i="51" l="1"/>
  <c r="B15" i="47"/>
  <c r="C35" i="51" l="1"/>
  <c r="C8" i="51" l="1"/>
  <c r="C36" i="51"/>
  <c r="C37" i="51" s="1"/>
  <c r="B102" i="43"/>
  <c r="E59" i="43" s="1"/>
  <c r="E60" i="43" s="1"/>
  <c r="B91" i="43"/>
  <c r="F87" i="43"/>
  <c r="E82" i="43"/>
  <c r="F81" i="43"/>
  <c r="B76" i="43"/>
  <c r="B72" i="43"/>
  <c r="B68" i="43"/>
  <c r="B64" i="43"/>
  <c r="B60" i="43"/>
  <c r="B53" i="43"/>
  <c r="B54" i="43" s="1"/>
  <c r="A53" i="43"/>
  <c r="B49" i="43"/>
  <c r="C45" i="43"/>
  <c r="B45" i="43"/>
  <c r="A45" i="43"/>
  <c r="B44" i="43"/>
  <c r="A44" i="43"/>
  <c r="C43" i="43"/>
  <c r="B43" i="43"/>
  <c r="A43" i="43"/>
  <c r="C42" i="43"/>
  <c r="B42" i="43"/>
  <c r="A42" i="43"/>
  <c r="C41" i="43"/>
  <c r="B41" i="43"/>
  <c r="A41" i="43"/>
  <c r="C40" i="43"/>
  <c r="B40" i="43"/>
  <c r="A40" i="43"/>
  <c r="C39" i="43"/>
  <c r="B39" i="43"/>
  <c r="A39" i="43"/>
  <c r="C38" i="43"/>
  <c r="B38" i="43"/>
  <c r="A38" i="43"/>
  <c r="C37" i="43"/>
  <c r="B37" i="43"/>
  <c r="A37" i="43"/>
  <c r="C36" i="43"/>
  <c r="B36" i="43"/>
  <c r="A36" i="43"/>
  <c r="B35" i="43"/>
  <c r="A35" i="43"/>
  <c r="B32" i="43"/>
  <c r="B56" i="43" s="1"/>
  <c r="C30" i="43"/>
  <c r="C29" i="43"/>
  <c r="C28" i="43"/>
  <c r="C27" i="43"/>
  <c r="B23" i="43"/>
  <c r="C10" i="43"/>
  <c r="C11" i="43" s="1"/>
  <c r="C12" i="43" s="1"/>
  <c r="D7" i="51" l="1"/>
  <c r="C33" i="51"/>
  <c r="B92" i="43"/>
  <c r="B93" i="43" s="1"/>
  <c r="B94" i="43" s="1"/>
  <c r="E27" i="43"/>
  <c r="E71" i="43"/>
  <c r="E72" i="43" s="1"/>
  <c r="E48" i="43"/>
  <c r="E49" i="43" s="1"/>
  <c r="E38" i="43"/>
  <c r="F38" i="43" s="1"/>
  <c r="G38" i="43" s="1"/>
  <c r="E28" i="43"/>
  <c r="E40" i="43"/>
  <c r="F40" i="43" s="1"/>
  <c r="G40" i="43" s="1"/>
  <c r="E43" i="43"/>
  <c r="F43" i="43" s="1"/>
  <c r="G43" i="43" s="1"/>
  <c r="E75" i="43"/>
  <c r="E76" i="43" s="1"/>
  <c r="E90" i="43"/>
  <c r="G90" i="43" s="1"/>
  <c r="E29" i="43"/>
  <c r="F29" i="43" s="1"/>
  <c r="G29" i="43" s="1"/>
  <c r="E41" i="43"/>
  <c r="F41" i="43" s="1"/>
  <c r="G41" i="43" s="1"/>
  <c r="E63" i="43"/>
  <c r="E64" i="43" s="1"/>
  <c r="E79" i="43"/>
  <c r="E9" i="43"/>
  <c r="F9" i="43" s="1"/>
  <c r="E36" i="43"/>
  <c r="F36" i="43" s="1"/>
  <c r="E10" i="43"/>
  <c r="F10" i="43" s="1"/>
  <c r="G10" i="43" s="1"/>
  <c r="E31" i="43"/>
  <c r="E44" i="43"/>
  <c r="F44" i="43" s="1"/>
  <c r="G44" i="43" s="1"/>
  <c r="E67" i="43"/>
  <c r="E68" i="43" s="1"/>
  <c r="E30" i="43"/>
  <c r="E39" i="43"/>
  <c r="F39" i="43" s="1"/>
  <c r="G39" i="43" s="1"/>
  <c r="E37" i="43"/>
  <c r="F37" i="43" s="1"/>
  <c r="G37" i="43" s="1"/>
  <c r="E42" i="43"/>
  <c r="F42" i="43" s="1"/>
  <c r="G42" i="43" s="1"/>
  <c r="E26" i="43"/>
  <c r="F26" i="43" s="1"/>
  <c r="E35" i="43"/>
  <c r="E45" i="43"/>
  <c r="F45" i="43" s="1"/>
  <c r="G45" i="43" s="1"/>
  <c r="F27" i="43"/>
  <c r="G27" i="43" s="1"/>
  <c r="F28" i="43"/>
  <c r="G28" i="43" s="1"/>
  <c r="E12" i="43"/>
  <c r="C13" i="43"/>
  <c r="G9" i="43"/>
  <c r="B46" i="43"/>
  <c r="B50" i="43" s="1"/>
  <c r="E53" i="43"/>
  <c r="F31" i="43"/>
  <c r="G31" i="43" s="1"/>
  <c r="F71" i="43"/>
  <c r="F72" i="43" s="1"/>
  <c r="E11" i="43"/>
  <c r="F48" i="43"/>
  <c r="F49" i="43" s="1"/>
  <c r="F59" i="43"/>
  <c r="F60" i="43" s="1"/>
  <c r="F82" i="43"/>
  <c r="G82" i="43" s="1"/>
  <c r="E46" i="43" l="1"/>
  <c r="E50" i="43" s="1"/>
  <c r="F67" i="43"/>
  <c r="F68" i="43" s="1"/>
  <c r="E32" i="43"/>
  <c r="G26" i="43"/>
  <c r="F75" i="43"/>
  <c r="F76" i="43" s="1"/>
  <c r="G36" i="43"/>
  <c r="F35" i="43"/>
  <c r="F46" i="43" s="1"/>
  <c r="F50" i="43" s="1"/>
  <c r="E81" i="43"/>
  <c r="G79" i="43"/>
  <c r="G81" i="43" s="1"/>
  <c r="F30" i="43"/>
  <c r="F32" i="43" s="1"/>
  <c r="F63" i="43"/>
  <c r="F64" i="43" s="1"/>
  <c r="F11" i="43"/>
  <c r="G11" i="43" s="1"/>
  <c r="E54" i="43"/>
  <c r="F53" i="43"/>
  <c r="F54" i="43" s="1"/>
  <c r="G48" i="43"/>
  <c r="G49" i="43" s="1"/>
  <c r="E13" i="43"/>
  <c r="C14" i="43"/>
  <c r="G71" i="43"/>
  <c r="G72" i="43" s="1"/>
  <c r="F12" i="43"/>
  <c r="G12" i="43" s="1"/>
  <c r="G59" i="43"/>
  <c r="G60" i="43" s="1"/>
  <c r="G67" i="43" l="1"/>
  <c r="G68" i="43" s="1"/>
  <c r="G75" i="43"/>
  <c r="G76" i="43" s="1"/>
  <c r="G35" i="43"/>
  <c r="G46" i="43" s="1"/>
  <c r="G50" i="43" s="1"/>
  <c r="G30" i="43"/>
  <c r="G32" i="43" s="1"/>
  <c r="G63" i="43"/>
  <c r="G64" i="43" s="1"/>
  <c r="G53" i="43"/>
  <c r="G54" i="43" s="1"/>
  <c r="C15" i="43"/>
  <c r="E14" i="43"/>
  <c r="F13" i="43"/>
  <c r="G13" i="43" s="1"/>
  <c r="F14" i="43" l="1"/>
  <c r="G14" i="43" s="1"/>
  <c r="C16" i="43"/>
  <c r="E15" i="43"/>
  <c r="F15" i="43" l="1"/>
  <c r="G15" i="43" s="1"/>
  <c r="E16" i="43"/>
  <c r="C17" i="43"/>
  <c r="F16" i="43" l="1"/>
  <c r="G16" i="43" s="1"/>
  <c r="C18" i="43"/>
  <c r="E17" i="43"/>
  <c r="C19" i="43" l="1"/>
  <c r="E18" i="43"/>
  <c r="F17" i="43"/>
  <c r="G17" i="43" s="1"/>
  <c r="F18" i="43" l="1"/>
  <c r="G18" i="43" s="1"/>
  <c r="C20" i="43"/>
  <c r="E19" i="43"/>
  <c r="F19" i="43" l="1"/>
  <c r="G19" i="43" s="1"/>
  <c r="C21" i="43"/>
  <c r="E20" i="43"/>
  <c r="F81" i="16"/>
  <c r="F87" i="16"/>
  <c r="F20" i="43" l="1"/>
  <c r="G20" i="43" s="1"/>
  <c r="C22" i="43"/>
  <c r="E22" i="43" s="1"/>
  <c r="E21" i="43"/>
  <c r="F21" i="43" l="1"/>
  <c r="G21" i="43" s="1"/>
  <c r="F22" i="43"/>
  <c r="E23" i="43"/>
  <c r="E56" i="43" s="1"/>
  <c r="F23" i="43" l="1"/>
  <c r="F56" i="43" s="1"/>
  <c r="F96" i="43" s="1"/>
  <c r="G22" i="43"/>
  <c r="G23" i="43" s="1"/>
  <c r="G56" i="43" s="1"/>
  <c r="E85" i="16"/>
  <c r="E87" i="16" s="1"/>
  <c r="E85" i="43" l="1"/>
  <c r="G85" i="43" l="1"/>
  <c r="E87" i="43"/>
  <c r="E96" i="43"/>
  <c r="E25" i="36"/>
  <c r="G87" i="43" l="1"/>
  <c r="G96" i="43"/>
  <c r="I101" i="16"/>
  <c r="F1" i="26" l="1"/>
  <c r="G85" i="16"/>
  <c r="G87" i="16" s="1"/>
  <c r="F22" i="31"/>
  <c r="E25" i="31"/>
  <c r="E82" i="16" l="1"/>
  <c r="F82" i="16" s="1"/>
  <c r="G82" i="16" s="1"/>
  <c r="C45" i="16" l="1"/>
  <c r="C43" i="16"/>
  <c r="C42" i="16"/>
  <c r="C41" i="16"/>
  <c r="C40" i="16"/>
  <c r="C39" i="16"/>
  <c r="C38" i="16"/>
  <c r="C37" i="16"/>
  <c r="C36" i="16"/>
  <c r="C30" i="16"/>
  <c r="C29" i="16"/>
  <c r="C28" i="16"/>
  <c r="C27" i="16"/>
  <c r="C10" i="16"/>
  <c r="C11" i="16" l="1"/>
  <c r="C12" i="16" s="1"/>
  <c r="C13" i="16" s="1"/>
  <c r="C14" i="16" s="1"/>
  <c r="C15" i="16" s="1"/>
  <c r="C16" i="16" s="1"/>
  <c r="C17" i="16" s="1"/>
  <c r="C18" i="16" s="1"/>
  <c r="C19" i="16" s="1"/>
  <c r="C20" i="16" s="1"/>
  <c r="C21" i="16" s="1"/>
  <c r="C22" i="16" s="1"/>
  <c r="D25" i="27" l="1"/>
  <c r="B102" i="16" l="1"/>
  <c r="B45" i="16"/>
  <c r="E2" i="26"/>
  <c r="E4" i="26"/>
  <c r="E5" i="26"/>
  <c r="E6" i="26"/>
  <c r="E7" i="26"/>
  <c r="E8" i="26"/>
  <c r="E9" i="26"/>
  <c r="E10" i="26"/>
  <c r="E11" i="26"/>
  <c r="E12" i="26"/>
  <c r="E14" i="26" s="1"/>
  <c r="E3" i="26"/>
  <c r="B32" i="16"/>
  <c r="B53" i="16"/>
  <c r="E53" i="16" s="1"/>
  <c r="A53" i="16"/>
  <c r="B44" i="16"/>
  <c r="E44" i="16" s="1"/>
  <c r="F44" i="16" s="1"/>
  <c r="G44" i="16" s="1"/>
  <c r="B43" i="16"/>
  <c r="B42" i="16"/>
  <c r="E42" i="16" s="1"/>
  <c r="F42" i="16" s="1"/>
  <c r="G42" i="16" s="1"/>
  <c r="B41" i="16"/>
  <c r="E41" i="16" s="1"/>
  <c r="F41" i="16" s="1"/>
  <c r="G41" i="16" s="1"/>
  <c r="B40" i="16"/>
  <c r="E40" i="16" s="1"/>
  <c r="F40" i="16" s="1"/>
  <c r="G40" i="16" s="1"/>
  <c r="B39" i="16"/>
  <c r="E39" i="16" s="1"/>
  <c r="F39" i="16" s="1"/>
  <c r="G39" i="16" s="1"/>
  <c r="A43" i="16"/>
  <c r="A42" i="16"/>
  <c r="A41" i="16"/>
  <c r="A40" i="16"/>
  <c r="A39" i="16"/>
  <c r="A38" i="16"/>
  <c r="A37" i="16"/>
  <c r="A36" i="16"/>
  <c r="A35" i="16"/>
  <c r="B35" i="16"/>
  <c r="B36" i="16"/>
  <c r="B37" i="16"/>
  <c r="B38" i="16"/>
  <c r="E38" i="16" s="1"/>
  <c r="F38" i="16" s="1"/>
  <c r="G38" i="16" s="1"/>
  <c r="A45" i="16"/>
  <c r="A44" i="16"/>
  <c r="F22" i="10"/>
  <c r="F26" i="10" s="1"/>
  <c r="K27" i="17"/>
  <c r="K29" i="17" s="1"/>
  <c r="J26" i="17"/>
  <c r="J25" i="17"/>
  <c r="J24" i="17"/>
  <c r="B29" i="17"/>
  <c r="I18" i="17"/>
  <c r="I17" i="17"/>
  <c r="I29" i="17" s="1"/>
  <c r="J29" i="17"/>
  <c r="H19" i="17"/>
  <c r="H29" i="17" s="1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G28" i="17"/>
  <c r="G29" i="17" s="1"/>
  <c r="F20" i="17"/>
  <c r="F18" i="17"/>
  <c r="F17" i="17"/>
  <c r="F16" i="17"/>
  <c r="F15" i="17"/>
  <c r="F14" i="17"/>
  <c r="F13" i="17"/>
  <c r="F12" i="17"/>
  <c r="F11" i="17"/>
  <c r="F10" i="17"/>
  <c r="F9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B32" i="17"/>
  <c r="B76" i="16"/>
  <c r="B68" i="16"/>
  <c r="B64" i="16"/>
  <c r="B60" i="16"/>
  <c r="B49" i="16"/>
  <c r="G2" i="10"/>
  <c r="G5" i="10" s="1"/>
  <c r="E28" i="11"/>
  <c r="D79" i="1"/>
  <c r="B98" i="1"/>
  <c r="D72" i="1"/>
  <c r="D73" i="1" s="1"/>
  <c r="B91" i="16"/>
  <c r="B92" i="16" s="1"/>
  <c r="B93" i="16" s="1"/>
  <c r="B94" i="16" s="1"/>
  <c r="B72" i="16"/>
  <c r="D6" i="13"/>
  <c r="B26" i="1"/>
  <c r="B49" i="1" s="1"/>
  <c r="D49" i="1" s="1"/>
  <c r="E49" i="1" s="1"/>
  <c r="F14" i="4"/>
  <c r="G14" i="4" s="1"/>
  <c r="F13" i="4"/>
  <c r="G13" i="4"/>
  <c r="F12" i="4"/>
  <c r="G12" i="4" s="1"/>
  <c r="F11" i="4"/>
  <c r="G11" i="4" s="1"/>
  <c r="F10" i="4"/>
  <c r="G10" i="4" s="1"/>
  <c r="F9" i="4"/>
  <c r="G9" i="4" s="1"/>
  <c r="F8" i="4"/>
  <c r="G8" i="4" s="1"/>
  <c r="F7" i="4"/>
  <c r="G7" i="4"/>
  <c r="F6" i="4"/>
  <c r="G6" i="4" s="1"/>
  <c r="F5" i="4"/>
  <c r="G5" i="4" s="1"/>
  <c r="F4" i="4"/>
  <c r="G4" i="4" s="1"/>
  <c r="F3" i="4"/>
  <c r="G3" i="4"/>
  <c r="F2" i="4"/>
  <c r="G2" i="4"/>
  <c r="B23" i="16"/>
  <c r="E85" i="1"/>
  <c r="C190" i="14"/>
  <c r="C159" i="14"/>
  <c r="B55" i="1"/>
  <c r="B57" i="1" s="1"/>
  <c r="B56" i="1"/>
  <c r="D56" i="1" s="1"/>
  <c r="B46" i="1"/>
  <c r="D46" i="1" s="1"/>
  <c r="A46" i="1"/>
  <c r="A49" i="1"/>
  <c r="B48" i="1"/>
  <c r="A48" i="1"/>
  <c r="B47" i="1"/>
  <c r="D47" i="1" s="1"/>
  <c r="A47" i="1"/>
  <c r="B45" i="1"/>
  <c r="D45" i="1" s="1"/>
  <c r="E45" i="1" s="1"/>
  <c r="F45" i="1" s="1"/>
  <c r="A45" i="1"/>
  <c r="B44" i="1"/>
  <c r="D44" i="1" s="1"/>
  <c r="A44" i="1"/>
  <c r="B43" i="1"/>
  <c r="D43" i="1" s="1"/>
  <c r="A43" i="1"/>
  <c r="B42" i="1"/>
  <c r="D42" i="1" s="1"/>
  <c r="A42" i="1"/>
  <c r="B41" i="1"/>
  <c r="D41" i="1" s="1"/>
  <c r="A41" i="1"/>
  <c r="B40" i="1"/>
  <c r="D40" i="1" s="1"/>
  <c r="A40" i="1"/>
  <c r="B39" i="1"/>
  <c r="A39" i="1"/>
  <c r="B38" i="1"/>
  <c r="D38" i="1" s="1"/>
  <c r="A38" i="1"/>
  <c r="B69" i="1"/>
  <c r="D69" i="1" s="1"/>
  <c r="H28" i="8"/>
  <c r="D84" i="1"/>
  <c r="D85" i="1" s="1"/>
  <c r="B90" i="1"/>
  <c r="B91" i="1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D48" i="1"/>
  <c r="E48" i="1" s="1"/>
  <c r="D39" i="1"/>
  <c r="D23" i="1"/>
  <c r="D18" i="1"/>
  <c r="E18" i="1" s="1"/>
  <c r="D20" i="1"/>
  <c r="D34" i="1"/>
  <c r="E34" i="1" s="1"/>
  <c r="F34" i="1" s="1"/>
  <c r="D21" i="1"/>
  <c r="E21" i="1" s="1"/>
  <c r="F21" i="1" s="1"/>
  <c r="D33" i="1"/>
  <c r="E33" i="1" s="1"/>
  <c r="D24" i="1"/>
  <c r="F24" i="1" s="1"/>
  <c r="E24" i="1"/>
  <c r="D19" i="1"/>
  <c r="D17" i="1"/>
  <c r="D13" i="1"/>
  <c r="E13" i="1" s="1"/>
  <c r="D14" i="1"/>
  <c r="E72" i="1"/>
  <c r="F72" i="1" s="1"/>
  <c r="F73" i="1" s="1"/>
  <c r="E19" i="1"/>
  <c r="E17" i="1"/>
  <c r="F17" i="1"/>
  <c r="E23" i="1"/>
  <c r="D90" i="1"/>
  <c r="F90" i="1" s="1"/>
  <c r="H71" i="1"/>
  <c r="H72" i="1" s="1"/>
  <c r="D81" i="1"/>
  <c r="H25" i="1"/>
  <c r="B36" i="1"/>
  <c r="B30" i="1"/>
  <c r="B58" i="1" s="1"/>
  <c r="D75" i="1"/>
  <c r="H79" i="1"/>
  <c r="H91" i="1"/>
  <c r="D60" i="1"/>
  <c r="D77" i="1"/>
  <c r="E75" i="1"/>
  <c r="F75" i="1" s="1"/>
  <c r="F77" i="1" s="1"/>
  <c r="H80" i="1"/>
  <c r="H73" i="1"/>
  <c r="D52" i="1"/>
  <c r="D12" i="1"/>
  <c r="E92" i="1"/>
  <c r="F89" i="1"/>
  <c r="F79" i="1"/>
  <c r="F81" i="1" s="1"/>
  <c r="E81" i="1"/>
  <c r="D66" i="1"/>
  <c r="D63" i="1"/>
  <c r="D64" i="1" s="1"/>
  <c r="D15" i="1"/>
  <c r="E15" i="1"/>
  <c r="D35" i="1"/>
  <c r="E35" i="1"/>
  <c r="F35" i="1" s="1"/>
  <c r="D32" i="1"/>
  <c r="E32" i="1" s="1"/>
  <c r="E36" i="1" s="1"/>
  <c r="D16" i="1"/>
  <c r="E16" i="1" s="1"/>
  <c r="C25" i="1"/>
  <c r="D25" i="1" s="1"/>
  <c r="D22" i="1"/>
  <c r="E22" i="1"/>
  <c r="D26" i="1"/>
  <c r="E26" i="1" s="1"/>
  <c r="F26" i="1" s="1"/>
  <c r="D27" i="1"/>
  <c r="E27" i="1"/>
  <c r="F27" i="1" s="1"/>
  <c r="D29" i="1"/>
  <c r="E29" i="1"/>
  <c r="D28" i="1"/>
  <c r="E28" i="1" s="1"/>
  <c r="E41" i="1" l="1"/>
  <c r="F41" i="1" s="1"/>
  <c r="E40" i="1"/>
  <c r="F40" i="1"/>
  <c r="F52" i="1"/>
  <c r="F32" i="1"/>
  <c r="E73" i="1"/>
  <c r="E14" i="1"/>
  <c r="F14" i="1" s="1"/>
  <c r="F84" i="1"/>
  <c r="F85" i="1" s="1"/>
  <c r="E35" i="16"/>
  <c r="F28" i="1"/>
  <c r="F22" i="1"/>
  <c r="F29" i="1"/>
  <c r="F39" i="1"/>
  <c r="E29" i="17"/>
  <c r="F15" i="1"/>
  <c r="E52" i="1"/>
  <c r="C29" i="17"/>
  <c r="F29" i="17"/>
  <c r="D29" i="17"/>
  <c r="F23" i="1"/>
  <c r="F13" i="1"/>
  <c r="H74" i="1"/>
  <c r="E37" i="16"/>
  <c r="F37" i="16" s="1"/>
  <c r="G37" i="16" s="1"/>
  <c r="E43" i="16"/>
  <c r="E45" i="16"/>
  <c r="F16" i="1"/>
  <c r="D36" i="1"/>
  <c r="E39" i="1"/>
  <c r="F19" i="1"/>
  <c r="D30" i="1"/>
  <c r="E43" i="1"/>
  <c r="F43" i="1" s="1"/>
  <c r="E25" i="1"/>
  <c r="F25" i="1" s="1"/>
  <c r="E44" i="1"/>
  <c r="F44" i="1" s="1"/>
  <c r="G18" i="4"/>
  <c r="E42" i="1"/>
  <c r="F42" i="1" s="1"/>
  <c r="D70" i="1"/>
  <c r="E69" i="1"/>
  <c r="E70" i="1" s="1"/>
  <c r="E46" i="1"/>
  <c r="F46" i="1"/>
  <c r="E56" i="1"/>
  <c r="F56" i="1" s="1"/>
  <c r="C32" i="17"/>
  <c r="E47" i="1"/>
  <c r="F47" i="1" s="1"/>
  <c r="D50" i="1"/>
  <c r="D53" i="1" s="1"/>
  <c r="F38" i="1"/>
  <c r="E38" i="1"/>
  <c r="E66" i="1"/>
  <c r="E67" i="1" s="1"/>
  <c r="B70" i="1"/>
  <c r="F18" i="1"/>
  <c r="D67" i="1"/>
  <c r="E63" i="1"/>
  <c r="E20" i="1"/>
  <c r="F20" i="1" s="1"/>
  <c r="B50" i="1"/>
  <c r="B53" i="1" s="1"/>
  <c r="E60" i="1"/>
  <c r="E61" i="1" s="1"/>
  <c r="F48" i="1"/>
  <c r="F33" i="1"/>
  <c r="F36" i="1" s="1"/>
  <c r="D55" i="1"/>
  <c r="E12" i="1"/>
  <c r="D61" i="1"/>
  <c r="D91" i="1"/>
  <c r="F91" i="1" s="1"/>
  <c r="F92" i="1" s="1"/>
  <c r="F93" i="1" s="1"/>
  <c r="E77" i="1"/>
  <c r="F49" i="1"/>
  <c r="B56" i="16"/>
  <c r="B54" i="16"/>
  <c r="E79" i="16"/>
  <c r="E81" i="16" s="1"/>
  <c r="E90" i="16"/>
  <c r="E54" i="16"/>
  <c r="F53" i="16"/>
  <c r="F35" i="16"/>
  <c r="F43" i="16"/>
  <c r="G43" i="16" s="1"/>
  <c r="F45" i="16"/>
  <c r="G45" i="16" s="1"/>
  <c r="B46" i="16"/>
  <c r="B50" i="16" s="1"/>
  <c r="E36" i="16"/>
  <c r="F36" i="16" s="1"/>
  <c r="G36" i="16" s="1"/>
  <c r="G90" i="16"/>
  <c r="E75" i="16"/>
  <c r="E27" i="16"/>
  <c r="F27" i="16" s="1"/>
  <c r="G27" i="16" s="1"/>
  <c r="E71" i="16"/>
  <c r="E48" i="16"/>
  <c r="E49" i="16" s="1"/>
  <c r="E31" i="16"/>
  <c r="F31" i="16" s="1"/>
  <c r="G31" i="16" s="1"/>
  <c r="E67" i="16"/>
  <c r="E9" i="16"/>
  <c r="E59" i="16"/>
  <c r="E63" i="16"/>
  <c r="E26" i="16"/>
  <c r="E11" i="16"/>
  <c r="F11" i="16" s="1"/>
  <c r="G11" i="16" s="1"/>
  <c r="E10" i="16"/>
  <c r="F10" i="16" s="1"/>
  <c r="G10" i="16" s="1"/>
  <c r="E28" i="16"/>
  <c r="F28" i="16" s="1"/>
  <c r="G28" i="16" s="1"/>
  <c r="E30" i="16"/>
  <c r="F30" i="16" s="1"/>
  <c r="G30" i="16" s="1"/>
  <c r="E29" i="16"/>
  <c r="F29" i="16" s="1"/>
  <c r="G29" i="16" s="1"/>
  <c r="E12" i="16"/>
  <c r="F12" i="16" s="1"/>
  <c r="G12" i="16" s="1"/>
  <c r="E21" i="16"/>
  <c r="F21" i="16" s="1"/>
  <c r="G21" i="16" s="1"/>
  <c r="E17" i="16"/>
  <c r="F17" i="16" s="1"/>
  <c r="G17" i="16" s="1"/>
  <c r="E14" i="16"/>
  <c r="F14" i="16" s="1"/>
  <c r="G14" i="16" s="1"/>
  <c r="E20" i="16"/>
  <c r="F20" i="16" s="1"/>
  <c r="G20" i="16" s="1"/>
  <c r="E13" i="16"/>
  <c r="F13" i="16" s="1"/>
  <c r="G13" i="16" s="1"/>
  <c r="E18" i="16"/>
  <c r="F18" i="16" s="1"/>
  <c r="G18" i="16" s="1"/>
  <c r="E19" i="16"/>
  <c r="F19" i="16" s="1"/>
  <c r="G19" i="16" s="1"/>
  <c r="E22" i="16"/>
  <c r="F22" i="16" s="1"/>
  <c r="G22" i="16" s="1"/>
  <c r="E16" i="16"/>
  <c r="E15" i="16"/>
  <c r="F15" i="16" s="1"/>
  <c r="G15" i="16" s="1"/>
  <c r="G11" i="10"/>
  <c r="G9" i="10"/>
  <c r="G8" i="10"/>
  <c r="G7" i="10"/>
  <c r="G6" i="10"/>
  <c r="G12" i="10"/>
  <c r="G13" i="10"/>
  <c r="G10" i="10"/>
  <c r="G17" i="10"/>
  <c r="G16" i="10"/>
  <c r="G15" i="10"/>
  <c r="G14" i="10"/>
  <c r="E30" i="1" l="1"/>
  <c r="D92" i="1"/>
  <c r="F12" i="1"/>
  <c r="F30" i="1" s="1"/>
  <c r="F69" i="1"/>
  <c r="F70" i="1" s="1"/>
  <c r="G79" i="16"/>
  <c r="G81" i="16" s="1"/>
  <c r="E50" i="1"/>
  <c r="E53" i="1" s="1"/>
  <c r="F50" i="1"/>
  <c r="F53" i="1" s="1"/>
  <c r="D57" i="1"/>
  <c r="D58" i="1" s="1"/>
  <c r="D94" i="1" s="1"/>
  <c r="E55" i="1"/>
  <c r="E57" i="1" s="1"/>
  <c r="F66" i="1"/>
  <c r="F67" i="1" s="1"/>
  <c r="F60" i="1"/>
  <c r="F61" i="1" s="1"/>
  <c r="F63" i="1"/>
  <c r="F64" i="1" s="1"/>
  <c r="E64" i="1"/>
  <c r="E23" i="16"/>
  <c r="F67" i="16"/>
  <c r="E68" i="16"/>
  <c r="F46" i="16"/>
  <c r="F71" i="16"/>
  <c r="E72" i="16"/>
  <c r="F75" i="16"/>
  <c r="E76" i="16"/>
  <c r="E64" i="16"/>
  <c r="E32" i="16"/>
  <c r="F26" i="16"/>
  <c r="F63" i="16"/>
  <c r="F48" i="16"/>
  <c r="F16" i="16"/>
  <c r="G16" i="16" s="1"/>
  <c r="E60" i="16"/>
  <c r="F59" i="16"/>
  <c r="E46" i="16"/>
  <c r="E50" i="16" s="1"/>
  <c r="F9" i="16"/>
  <c r="G35" i="16"/>
  <c r="G46" i="16" s="1"/>
  <c r="G53" i="16"/>
  <c r="G54" i="16" s="1"/>
  <c r="F54" i="16"/>
  <c r="F55" i="1" l="1"/>
  <c r="F57" i="1" s="1"/>
  <c r="E58" i="1"/>
  <c r="E94" i="1" s="1"/>
  <c r="F58" i="1"/>
  <c r="G26" i="16"/>
  <c r="G32" i="16" s="1"/>
  <c r="F32" i="16"/>
  <c r="G67" i="16"/>
  <c r="G68" i="16" s="1"/>
  <c r="F68" i="16"/>
  <c r="F23" i="16"/>
  <c r="G48" i="16"/>
  <c r="G49" i="16" s="1"/>
  <c r="G50" i="16" s="1"/>
  <c r="F49" i="16"/>
  <c r="F50" i="16" s="1"/>
  <c r="E56" i="16"/>
  <c r="E96" i="16" s="1"/>
  <c r="G9" i="16"/>
  <c r="G23" i="16" s="1"/>
  <c r="G71" i="16"/>
  <c r="G72" i="16" s="1"/>
  <c r="F72" i="16"/>
  <c r="G75" i="16"/>
  <c r="G76" i="16" s="1"/>
  <c r="F76" i="16"/>
  <c r="G63" i="16"/>
  <c r="G64" i="16" s="1"/>
  <c r="F64" i="16"/>
  <c r="G59" i="16"/>
  <c r="G60" i="16" s="1"/>
  <c r="F60" i="16"/>
  <c r="F94" i="1" l="1"/>
  <c r="F86" i="1"/>
  <c r="F56" i="16"/>
  <c r="F96" i="16" s="1"/>
  <c r="G56" i="16"/>
  <c r="G96" i="16" l="1"/>
</calcChain>
</file>

<file path=xl/sharedStrings.xml><?xml version="1.0" encoding="utf-8"?>
<sst xmlns="http://schemas.openxmlformats.org/spreadsheetml/2006/main" count="2097" uniqueCount="1002">
  <si>
    <t>MUNICIPIO DE TAUSA</t>
  </si>
  <si>
    <t>RAMOS</t>
  </si>
  <si>
    <t>VALOR ASEGURADO</t>
  </si>
  <si>
    <t>TASA</t>
  </si>
  <si>
    <t>PRIMA</t>
  </si>
  <si>
    <t>IVA</t>
  </si>
  <si>
    <t>TOTAL</t>
  </si>
  <si>
    <t>DAÑOS MATERIALES COMBINADOS- TODO RIESGO</t>
  </si>
  <si>
    <t>INCENDIO</t>
  </si>
  <si>
    <t>EDIFICACIONES MUNICIPIO</t>
  </si>
  <si>
    <t>%o</t>
  </si>
  <si>
    <t>BODEGA - ALMACEN</t>
  </si>
  <si>
    <t>CONTENIDOS</t>
  </si>
  <si>
    <t>EQUIPO MEDICO Y LABORATORIO</t>
  </si>
  <si>
    <t>HERRAMIENTAS</t>
  </si>
  <si>
    <t>EQUIPO DE OFICINA</t>
  </si>
  <si>
    <t>LICENCIAS Y SOFTWARE</t>
  </si>
  <si>
    <t>MAQUINARIA Y EQUIPO</t>
  </si>
  <si>
    <t>MUEBLES Y ENSERES</t>
  </si>
  <si>
    <t>INSTALACIONES ELECTRICAS Y REDES</t>
  </si>
  <si>
    <t>DINEROS DENTRO Y FUERA DE CAJA FUERTE</t>
  </si>
  <si>
    <t>VEHICULOS EN REPOSO</t>
  </si>
  <si>
    <t>NORMA DE SISMORESISTENTA</t>
  </si>
  <si>
    <t>TERRENOS</t>
  </si>
  <si>
    <t>SUB TOTAL INCENDIO</t>
  </si>
  <si>
    <t>EQUIPO ELECTRICO Y ELECTRONICO- CORRIENTE DEBIL</t>
  </si>
  <si>
    <t>EQUIPO DE PROCESAMIENTO DE DATOS</t>
  </si>
  <si>
    <t>EQUIPOS ELETRICO Y ELECTRONICO</t>
  </si>
  <si>
    <t>EQUIPOS DE COMUNICACIÓN</t>
  </si>
  <si>
    <t>CIRCUITO CERRADO DE TV</t>
  </si>
  <si>
    <t>EQUIPO MOVILES Y PORTATILES</t>
  </si>
  <si>
    <t>SUB TOTAL EQUIPO ELÉCTRICO Y ELECTRÓNICO</t>
  </si>
  <si>
    <t>SUSTRACCION</t>
  </si>
  <si>
    <t>%</t>
  </si>
  <si>
    <t>SUB TOTAL SUSTRACCION</t>
  </si>
  <si>
    <t>SUSTRACCION TODO RIESGO</t>
  </si>
  <si>
    <t>INSTRUMENTOS MUSICALES (29.453.950), BICICLETAS (250.000) Y OTROS EQUIPOS ( 30.369.107)</t>
  </si>
  <si>
    <t>SUB TOTAL SUSTRACCION TODO RIESGO</t>
  </si>
  <si>
    <t>TOTAL SUSTRACCION Y SUSTRACCION TODO RIESGO</t>
  </si>
  <si>
    <t>ROTURA DE MAQUINARIA</t>
  </si>
  <si>
    <t>SUB TOTAL ROTURA DE MAQUINARIA</t>
  </si>
  <si>
    <t>TOTAL DAÑOS MATERIALES</t>
  </si>
  <si>
    <t>TODO RIESGO EQUIPO Y MAQUINARIA</t>
  </si>
  <si>
    <t>OFERTA BASICA</t>
  </si>
  <si>
    <t>TOTAL TODO RIESGO EQUIPO Y MAQUINARIA</t>
  </si>
  <si>
    <t>SEGURO DE MANEJO GLOBAL</t>
  </si>
  <si>
    <t>TOTAL SEGURO DE MANEJO GLOBAL</t>
  </si>
  <si>
    <t>RESPONSABILIDAD CIVIL EXTRACONTRACTUAL</t>
  </si>
  <si>
    <t>TOTAL RESPONSABILIDAD CIVIL EXTRACONTRACTUAL</t>
  </si>
  <si>
    <t xml:space="preserve">SEGURO DE AUTOMOVILES </t>
  </si>
  <si>
    <t>VEHICULOS</t>
  </si>
  <si>
    <t xml:space="preserve">TOTAL SEGURO DE AUTOMOVILES </t>
  </si>
  <si>
    <t xml:space="preserve">RESPONSABILIDAD CIVIL SERVIDORES PUBLICOS </t>
  </si>
  <si>
    <t>OFERTA BASICA (EVENTO / VIGENCIA)</t>
  </si>
  <si>
    <t xml:space="preserve">TOTAL RESPONSABILIDAD CIVIL SERVIDORES PUBLICOS </t>
  </si>
  <si>
    <t xml:space="preserve">ACCIDENTES PERSONALES </t>
  </si>
  <si>
    <t>100 SMMLV</t>
  </si>
  <si>
    <t>SEGÚN RELACION</t>
  </si>
  <si>
    <t xml:space="preserve">TOTAL ACCIDENTES PERSONALES </t>
  </si>
  <si>
    <t>BOLSA DE INCLUSIONES Y/O MODIFICACIONES Y/O EXPEDICION DE POLIZAS DE CUMPLIMIENTO POR CONCEPTO DE CONVENIOS Y/O CONTRATOS INTERADMINISTRATIVOS QUE CELEBRE EL MUNICIPIO</t>
  </si>
  <si>
    <t xml:space="preserve">SOAT </t>
  </si>
  <si>
    <t xml:space="preserve">OFERTA BASICA </t>
  </si>
  <si>
    <t>LEY</t>
  </si>
  <si>
    <t>TOTAL SOAT</t>
  </si>
  <si>
    <t xml:space="preserve">VIDA GRUPO </t>
  </si>
  <si>
    <t>COSTO SEGURO ALCALDE</t>
  </si>
  <si>
    <t>COSTO SEGURO PERSONERO</t>
  </si>
  <si>
    <t>COSTO SEGURO  9 CONCEJALES</t>
  </si>
  <si>
    <t>TOTAL VALOR ASEGURADO</t>
  </si>
  <si>
    <t>TOTAL VIDA GRUPO</t>
  </si>
  <si>
    <t>VIGENCIA DESDE</t>
  </si>
  <si>
    <t>VIGENCIA HASTA</t>
  </si>
  <si>
    <t>No. Dias</t>
  </si>
  <si>
    <t>JUAN MANUEL AGUIRRE BEDOYA</t>
  </si>
  <si>
    <t>Gerente Técnico - Administrativo</t>
  </si>
  <si>
    <t>www.pizanoecheverri.co</t>
  </si>
  <si>
    <t>SELECCIÓN ABREVIADA DE MENOR CUANTIA No. SAMC 001-2021</t>
  </si>
  <si>
    <t>ANEXO 4 -  Oferta Económica</t>
  </si>
  <si>
    <t>SOAT VIGENCIA 2021 - 2022</t>
  </si>
  <si>
    <t>VIGENCIA 24:00 HORAS</t>
  </si>
  <si>
    <r>
      <t xml:space="preserve">
_______________________________________
</t>
    </r>
    <r>
      <rPr>
        <b/>
        <sz val="10"/>
        <color theme="1"/>
        <rFont val="Arial"/>
        <family val="2"/>
      </rPr>
      <t>RAFAEL ARMANDO RODRIGUEZ MENDEZ</t>
    </r>
    <r>
      <rPr>
        <sz val="10"/>
        <color theme="1"/>
        <rFont val="Arial"/>
        <family val="2"/>
      </rPr>
      <t xml:space="preserve">
C.C. No. 80.421.019 de Bogotá D.C.
Representante Legal La Previsora S.A. Compañía de Seguros – Sucursal Estatal.l</t>
    </r>
  </si>
  <si>
    <t>OFERTA ECONOMICA - DEDUCIBLES</t>
  </si>
  <si>
    <t>Terremoto</t>
  </si>
  <si>
    <t>2% del valor de la pérdida, mínimo 0 SMMLV</t>
  </si>
  <si>
    <t>HMACCP Y AMIT</t>
  </si>
  <si>
    <t>Sin deducible</t>
  </si>
  <si>
    <t>Demás eventos amparados:</t>
  </si>
  <si>
    <t>CORRIENTE DÉBIL</t>
  </si>
  <si>
    <t>Hurto y Hurto Calificado</t>
  </si>
  <si>
    <t>Demás amparos</t>
  </si>
  <si>
    <t>SUSTRACCIÓN</t>
  </si>
  <si>
    <t>Toda y cada perdida</t>
  </si>
  <si>
    <t>Responsabilidad Civil Extra.</t>
  </si>
  <si>
    <t>SEGURO DE MANEJO</t>
  </si>
  <si>
    <t>Cajas Menores</t>
  </si>
  <si>
    <t>Demás perdidas</t>
  </si>
  <si>
    <t>Empleados no identificados</t>
  </si>
  <si>
    <t>Gastos Médicos</t>
  </si>
  <si>
    <t>Gastos de Defensa</t>
  </si>
  <si>
    <t>RC Hurto de vehículos - parqueaderos</t>
  </si>
  <si>
    <t>SEGURO DE AUTOMÓVILES</t>
  </si>
  <si>
    <t>Toda y Cada Pérdida</t>
  </si>
  <si>
    <t>Sin Deducible</t>
  </si>
  <si>
    <t>RESPONSABILIDAD CIVIL SERVIDORES PÚBLICOS</t>
  </si>
  <si>
    <t>Todos los amparos</t>
  </si>
  <si>
    <t>ACCIDENTES PERSONALES PASAJEROS</t>
  </si>
  <si>
    <t>SEGURO OBLIGATORIO (SOAT)</t>
  </si>
  <si>
    <t>NOTA: Para pérdidas inferiores a $3.000.000 no hay aplicación de deducibles</t>
  </si>
  <si>
    <t>PLACA</t>
  </si>
  <si>
    <t>DESCRIPCION VEHICULO</t>
  </si>
  <si>
    <t>FECHA DE VENCIMIENTO SOAT A LAS 24</t>
  </si>
  <si>
    <t>SPT587</t>
  </si>
  <si>
    <t>VOLQUETA FREITHLINER M2 106 C.C. 6370 CAPAC. 18320  MOD. 2009 PLACA SPT587</t>
  </si>
  <si>
    <t>OCM151</t>
  </si>
  <si>
    <t>BUS CHEVROLET NQR C.C. 5193 PASAJ. 32 MOD. 2013 PLACA OCM151</t>
  </si>
  <si>
    <t>CTQ97C</t>
  </si>
  <si>
    <r>
      <t xml:space="preserve">MOTOCICLETA KAWASAKI KLX150J CC. 144  MOD. 2017 PLACA CTQ79C </t>
    </r>
    <r>
      <rPr>
        <b/>
        <sz val="9"/>
        <color theme="1"/>
        <rFont val="Arial"/>
        <family val="2"/>
      </rPr>
      <t>BENEFICIARIO DEPARTAMENTO DE CUNDINAMARCA</t>
    </r>
  </si>
  <si>
    <t>KGN10</t>
  </si>
  <si>
    <t>MOTOCICLETA SUZUKI TS125  CC. 125 MOD. 1996 PLACA KGN10</t>
  </si>
  <si>
    <t>KGZ86</t>
  </si>
  <si>
    <t>MOTOCICLETA SUZUKI TS125  CC. 125 MOD. 1998 PLACA KGZ86 GOBERNACION DE CUNDINAMARCA</t>
  </si>
  <si>
    <t>LQG13A</t>
  </si>
  <si>
    <t>MOTOCICLETA SUZUKI TS185 CC. 185 MOD. 2003 PLACA LQG13A</t>
  </si>
  <si>
    <t>KGS51</t>
  </si>
  <si>
    <t>MOTOCICLETA SUZUKI TS125  CC. 125 MOD. 1997 PLACA KGS51</t>
  </si>
  <si>
    <t>KGY53</t>
  </si>
  <si>
    <t>MOTOCICLETA YAMAHA DT125 MOD. 1998 PLACA KGY53</t>
  </si>
  <si>
    <t>CIX16F</t>
  </si>
  <si>
    <t>MOTOCICLETA YAMAHA XTZ125 C.C. 124 MOD. 2020 PLACA CIX16F</t>
  </si>
  <si>
    <t>ODT434</t>
  </si>
  <si>
    <t>CAMION COMPACTADOR CHEVROLET FTR CC. 7790 CPAC. 6370 MOD. 2020 PLACA ODT434</t>
  </si>
  <si>
    <t>JSZ14</t>
  </si>
  <si>
    <t>EZJ29D</t>
  </si>
  <si>
    <t>MOTOCICLETA YAMAHA  XTZ 125 MOD.2013 PLACA EZJ29D</t>
  </si>
  <si>
    <t>EZJ30D</t>
  </si>
  <si>
    <t>MOTOCICLETA YAMAHA XTZ 125 MOD. 2014 PLACA EZJ30D</t>
  </si>
  <si>
    <t>QNE67B</t>
  </si>
  <si>
    <t>MOTOCICLETA SUZUKI DR 200 MT 200CC MOD. 2009 PLACA QNE67B</t>
  </si>
  <si>
    <t>OJZ529</t>
  </si>
  <si>
    <t>BUS HINO FC9JBUS CC. 5123 PASAJ. 36 MOD. 2016 PLACA OJZ529</t>
  </si>
  <si>
    <t>ODT362</t>
  </si>
  <si>
    <t>CAMIONETA MITSUBISHI SPORTERO 2,5 HIGH POWER DOBLE CABINA CC. 2477 MOD. 2018</t>
  </si>
  <si>
    <t>OJG703</t>
  </si>
  <si>
    <t>VOLQUETA INTERNATIONAL 4300  CC. 7636 MOD. 2013 PLACA OJG703</t>
  </si>
  <si>
    <t>OJF581</t>
  </si>
  <si>
    <r>
      <t xml:space="preserve">VOLQUETA CHEVROLET C70 149 CC. 8200 PLATON </t>
    </r>
    <r>
      <rPr>
        <b/>
        <sz val="9"/>
        <color rgb="FF000000"/>
        <rFont val="Arial"/>
        <family val="2"/>
      </rPr>
      <t>CARRO TANQUE</t>
    </r>
    <r>
      <rPr>
        <sz val="9"/>
        <color rgb="FF000000"/>
        <rFont val="Arial"/>
        <family val="2"/>
      </rPr>
      <t xml:space="preserve"> MOD. 1993  CAPAC. 7000  PLACA OJF581  </t>
    </r>
    <r>
      <rPr>
        <b/>
        <sz val="9"/>
        <color rgb="FF000000"/>
        <rFont val="Arial"/>
        <family val="2"/>
      </rPr>
      <t>BENEFICIARIO GOBERNACION DE CUNDINAMARCA</t>
    </r>
  </si>
  <si>
    <t>OSD464</t>
  </si>
  <si>
    <t>CAMPERO TOYOTA PRADO CABINADO WAGON PASAJ. 7 C.C. 2982 MOD. 2013 PLACA OSD464</t>
  </si>
  <si>
    <t>LQG21A</t>
  </si>
  <si>
    <t>MOTOCICLETA SUZUKI TS185 CC. 185 MOD. 2003 PLACA LKG21A</t>
  </si>
  <si>
    <t>ZDN07C</t>
  </si>
  <si>
    <r>
      <t xml:space="preserve">MOTOCICLETA YAMAHA XTZ125 CC. 125 MOD. 2013 PLACA ZDN07C </t>
    </r>
    <r>
      <rPr>
        <b/>
        <sz val="9"/>
        <color theme="1"/>
        <rFont val="Arial"/>
        <family val="2"/>
      </rPr>
      <t xml:space="preserve">BENEFICIARIO DEPARTAMENTO DE CUNDINAMARCA </t>
    </r>
  </si>
  <si>
    <t>QNE93B</t>
  </si>
  <si>
    <t>MOTOCICLETA SUZUKI DR 200 MT 200CC MOD. 2009 PLACA QNE93B</t>
  </si>
  <si>
    <t>OHK499</t>
  </si>
  <si>
    <t>CAMIONETA AMBULANCIA TOYOTA LAND CRUISER CC. 4500 MOD. 2001 PLACA OHK499</t>
  </si>
  <si>
    <t xml:space="preserve">FECHA DE VENCIMIENTO </t>
  </si>
  <si>
    <t>TARIFA</t>
  </si>
  <si>
    <t>VALOR</t>
  </si>
  <si>
    <t>VENCIDO</t>
  </si>
  <si>
    <t>MOTOCICLETA YAMAHA XTZ125 CC. 124 MOD. 2014 PLACA JSZ14</t>
  </si>
  <si>
    <t>VOLQUETA INTERNATIONAL 4300  CC. 7636 CAP. 9 MOD. 2013 PLACA OJG703</t>
  </si>
  <si>
    <t>Codigo Catastral</t>
  </si>
  <si>
    <t>Matricula Inmobiliaria</t>
  </si>
  <si>
    <t>Nombre de Inmueble</t>
  </si>
  <si>
    <t>Direccion</t>
  </si>
  <si>
    <t>Area Construida M2</t>
  </si>
  <si>
    <t>010000070004000</t>
  </si>
  <si>
    <t>172-84632</t>
  </si>
  <si>
    <t>Casa Municipal</t>
  </si>
  <si>
    <t>010000080001000</t>
  </si>
  <si>
    <t>ND</t>
  </si>
  <si>
    <t>Centro de Atención Integral a la Familia (CAIF)</t>
  </si>
  <si>
    <t>010000140001000</t>
  </si>
  <si>
    <t>Polideportivo</t>
  </si>
  <si>
    <t>000000010119000</t>
  </si>
  <si>
    <t>Matadero</t>
  </si>
  <si>
    <t>000000010057000</t>
  </si>
  <si>
    <t>172-26136</t>
  </si>
  <si>
    <t>Plaza de Ferias</t>
  </si>
  <si>
    <t>Coso Municipal</t>
  </si>
  <si>
    <t>Ludoteca Tecnológica</t>
  </si>
  <si>
    <t>020000070005000</t>
  </si>
  <si>
    <t>172-7341</t>
  </si>
  <si>
    <t>Casa Alta - Futura Casa de Cultura</t>
  </si>
  <si>
    <t>020000050008000</t>
  </si>
  <si>
    <t>Salon Comunal Tausa Vieja</t>
  </si>
  <si>
    <t>010000140005000</t>
  </si>
  <si>
    <t>172-33337</t>
  </si>
  <si>
    <t>Biblioteca Pública Municipal de Tausa</t>
  </si>
  <si>
    <t>010000040001000</t>
  </si>
  <si>
    <t>Colegio General Santander</t>
  </si>
  <si>
    <t>010000150001000</t>
  </si>
  <si>
    <t xml:space="preserve">Colegio Pío XII </t>
  </si>
  <si>
    <t>000000030250000</t>
  </si>
  <si>
    <t>172-53125</t>
  </si>
  <si>
    <t>Escuela Rasgata Bajo</t>
  </si>
  <si>
    <t>000000030184000</t>
  </si>
  <si>
    <t>172-69993</t>
  </si>
  <si>
    <t>Escuela Rasgata Alto</t>
  </si>
  <si>
    <t>000000040080000</t>
  </si>
  <si>
    <t>Escuela Ladera Grande</t>
  </si>
  <si>
    <t>000000050139000</t>
  </si>
  <si>
    <t>172-38628</t>
  </si>
  <si>
    <t>Escuela La Martina</t>
  </si>
  <si>
    <t>Hogar Primera Infancia</t>
  </si>
  <si>
    <t>000000050197000</t>
  </si>
  <si>
    <t>Escuela El Chorrillo</t>
  </si>
  <si>
    <t>000000060077000</t>
  </si>
  <si>
    <t>Escuela Lagunitas</t>
  </si>
  <si>
    <t>000000060243000</t>
  </si>
  <si>
    <t>Escuela Páramo Bajo</t>
  </si>
  <si>
    <t>000000060704000</t>
  </si>
  <si>
    <t>Escuela Llano Grande</t>
  </si>
  <si>
    <t>000000070061000</t>
  </si>
  <si>
    <t>Escuela El Salitre</t>
  </si>
  <si>
    <t>000000070092000</t>
  </si>
  <si>
    <t>Escuela San Antonio</t>
  </si>
  <si>
    <t>000000080018000</t>
  </si>
  <si>
    <t>Escuela Sabaneque</t>
  </si>
  <si>
    <t>000000090091000</t>
  </si>
  <si>
    <t>Escuela Páramo Alto</t>
  </si>
  <si>
    <t>000000090182000</t>
  </si>
  <si>
    <t>Escuela los Pinos</t>
  </si>
  <si>
    <t>000000060325000</t>
  </si>
  <si>
    <t>Escuela la Florida</t>
  </si>
  <si>
    <t>000000020198000</t>
  </si>
  <si>
    <t>172-23876</t>
  </si>
  <si>
    <t>Antigua Escuela Rural de Pueblo Viejo</t>
  </si>
  <si>
    <t>Predio privado</t>
  </si>
  <si>
    <t>Colegio Departamental Nacionalizado de Tausa</t>
  </si>
  <si>
    <t>000000030629000</t>
  </si>
  <si>
    <t>172-56873</t>
  </si>
  <si>
    <t xml:space="preserve">Centro Integral de Servicio Social - CISS </t>
  </si>
  <si>
    <t>000000090092000</t>
  </si>
  <si>
    <t>Centro de Salud Páramo Alto</t>
  </si>
  <si>
    <t>Inspección de Policía Páramo Alto</t>
  </si>
  <si>
    <t>000000070333000</t>
  </si>
  <si>
    <t>172-43773</t>
  </si>
  <si>
    <t>Centro de Salud e Inspección el  Salitre</t>
  </si>
  <si>
    <t>000000050625000</t>
  </si>
  <si>
    <t>172-63469</t>
  </si>
  <si>
    <t>Salón Comunal Chorrillo</t>
  </si>
  <si>
    <t>000000030558000</t>
  </si>
  <si>
    <t>172-52405</t>
  </si>
  <si>
    <t>Salón Comunal Boqueron</t>
  </si>
  <si>
    <t>010000130001000</t>
  </si>
  <si>
    <t>172-65882</t>
  </si>
  <si>
    <t>Casa Comunal Tausa</t>
  </si>
  <si>
    <t>Antena comunitaria</t>
  </si>
  <si>
    <t>Capilla Doctrinera de Tausa Vieja</t>
  </si>
  <si>
    <t>Planta de Tratamiento de Agua Potable</t>
  </si>
  <si>
    <t>Tanque almacenamiento de agua - Eucaliptus</t>
  </si>
  <si>
    <t>Tanque almacenamiento de agua - Carlos Alarcón</t>
  </si>
  <si>
    <t>000000060066000</t>
  </si>
  <si>
    <t>Tanque  almacenamiento de agua - Pino</t>
  </si>
  <si>
    <t>Tanque  almacenamiento de agua - Poveda</t>
  </si>
  <si>
    <t>Centro Integral de servicio de Salud</t>
  </si>
  <si>
    <t>Colegio Básico Päramo Bajo</t>
  </si>
  <si>
    <t>Escuela La Granja</t>
  </si>
  <si>
    <t>Colegio Básico San Antonio</t>
  </si>
  <si>
    <t>IED San Antonio</t>
  </si>
  <si>
    <t>010000010003000</t>
  </si>
  <si>
    <t>172-1831</t>
  </si>
  <si>
    <t xml:space="preserve">Estación de Bombeo Caseta Aguasal </t>
  </si>
  <si>
    <t>SUBTOTAL</t>
  </si>
  <si>
    <t>Parque Infantil</t>
  </si>
  <si>
    <t>Parque Infantil y Biosaludable</t>
  </si>
  <si>
    <t>Parque Central</t>
  </si>
  <si>
    <t>Construcción Centro Dia</t>
  </si>
  <si>
    <t>TOTAL EDIFICACIONES</t>
  </si>
  <si>
    <t xml:space="preserve">MAQUINARIA </t>
  </si>
  <si>
    <t xml:space="preserve">DESCRIPCION </t>
  </si>
  <si>
    <t>MOTONIVELADORA</t>
  </si>
  <si>
    <t xml:space="preserve">MOTONIVELADORA Marca FIAT ALLIS 10Y00136FJ140 Motor 8023409 </t>
  </si>
  <si>
    <t>RETROEXCAVADORA</t>
  </si>
  <si>
    <t>RETROEXCAVADORA  Marca CASE 580 Super E Modelo 2006 Diésel, SERIE N6C400497 TIPO DE MOTOR CUMMINS CASE 4T-390</t>
  </si>
  <si>
    <t>RETROEXCAVADORA  Marca CATERPILLAR color amarillo MODELO 416E2015 motor G4D54934 chasis CAT0416epmfg14161</t>
  </si>
  <si>
    <t>VIBROCOMPACTADOR</t>
  </si>
  <si>
    <t xml:space="preserve">VIBROCOMPACTADOR Marca CASE modelo SV2008 9 toneladas DDD0002059 </t>
  </si>
  <si>
    <t>ARADO</t>
  </si>
  <si>
    <t xml:space="preserve">ARADO CINCEL Marca Inamec  S/N  10318 color rojo </t>
  </si>
  <si>
    <t>RENOVADOR</t>
  </si>
  <si>
    <t xml:space="preserve">RENOVADOR DE PRADERAS Estructura metálica  color naranja </t>
  </si>
  <si>
    <t>TRACTOR</t>
  </si>
  <si>
    <t>TRACTOR CORTA CESPED - Motor 17,5 HP 4 Tiempos</t>
  </si>
  <si>
    <t>REMOLQUE</t>
  </si>
  <si>
    <t xml:space="preserve">REMOLQUE Estructura en hierro de  4 llantas </t>
  </si>
  <si>
    <t>COMPACTADOR DE BASURAS</t>
  </si>
  <si>
    <t>COMPACTADOR DE BASURAS MARCA RAMONERRE LINEA R2 2000 MODELO 2020 PLACA ODT434</t>
  </si>
  <si>
    <t xml:space="preserve">ROLLOCUCHILLO </t>
  </si>
  <si>
    <t>Rolocuchillo ROLOCUCHILLO Estructura en hierro  color naranja con 4 llantas  Referencia  Placa Sistema: 1358 Placa Anterior: 0</t>
  </si>
  <si>
    <t>TRACTOR AGRICOLA MARCA KUBOTA M9540
SERIE KBUMAEDRVM8D20457
MOTOR V3800 -T-2ME6146 DT</t>
  </si>
  <si>
    <t>ACCESORIOS ARADO DE CINCEL VIBRATORIO</t>
  </si>
  <si>
    <t>COD FASECOLDA</t>
  </si>
  <si>
    <t>MOTOR</t>
  </si>
  <si>
    <t xml:space="preserve">CHASIS </t>
  </si>
  <si>
    <t>E3B4E010233</t>
  </si>
  <si>
    <t>9FK3B2116D2010233</t>
  </si>
  <si>
    <t>3ALHCYCS19DAB0999</t>
  </si>
  <si>
    <t>4HK1-954499</t>
  </si>
  <si>
    <t>9GCN1R753DB000675</t>
  </si>
  <si>
    <t>3TL093899</t>
  </si>
  <si>
    <t>E3L5E007303</t>
  </si>
  <si>
    <t>LBPKE1964E0011473</t>
  </si>
  <si>
    <t>E3L5E003203</t>
  </si>
  <si>
    <t>LBPKE1967E0006719</t>
  </si>
  <si>
    <t>J05ETY11149</t>
  </si>
  <si>
    <t>9F3FC9JLTGXX10587</t>
  </si>
  <si>
    <t>LX150CEPX8869</t>
  </si>
  <si>
    <t>9FLLXRJ18HPJ04693</t>
  </si>
  <si>
    <t>4D56UAL4172</t>
  </si>
  <si>
    <t>MMBJNKL30JH001548</t>
  </si>
  <si>
    <t>470HM2U1600472</t>
  </si>
  <si>
    <t>3HAMMAAR9DL350661</t>
  </si>
  <si>
    <t>1KD2260167</t>
  </si>
  <si>
    <t>JTEBH9FJ8DK093376</t>
  </si>
  <si>
    <t>1FZ0456366</t>
  </si>
  <si>
    <t>9FH31UJ7514002167</t>
  </si>
  <si>
    <t>6HK1-224518</t>
  </si>
  <si>
    <t>9GDFTR344LB008404</t>
  </si>
  <si>
    <t>E3Y2E037386</t>
  </si>
  <si>
    <t>9FKDE0927L2037386</t>
  </si>
  <si>
    <t xml:space="preserve">COD. FASECOLDA </t>
  </si>
  <si>
    <t>OFT011</t>
  </si>
  <si>
    <t>BUS CHEVROLET B70 34 PASAJ. CC. 7200DIESEL MOD. 1998</t>
  </si>
  <si>
    <t>CARGO</t>
  </si>
  <si>
    <t>NOMBRES COMPLETOS</t>
  </si>
  <si>
    <t>FECHA DE NACIMIENTO</t>
  </si>
  <si>
    <t>CEDULA</t>
  </si>
  <si>
    <t>VR. ASAEGURADO INDIVIDUAL</t>
  </si>
  <si>
    <t>ALCALDE</t>
  </si>
  <si>
    <t>OSCAR HERNANDO OLAYA RINCON</t>
  </si>
  <si>
    <t>PERSONERA</t>
  </si>
  <si>
    <t>MAIRA YASMIN  CRISTANCHO CASAS</t>
  </si>
  <si>
    <t>CONCEJAL</t>
  </si>
  <si>
    <t>RUBIELA CASTILLO QUIROGA</t>
  </si>
  <si>
    <t>VICTOR JULIO CHAPARRO MOLINA</t>
  </si>
  <si>
    <t>PEDRO ALIRIO GUERRERO VELASQUEZ</t>
  </si>
  <si>
    <t>LUIS FABIAN LOZANO</t>
  </si>
  <si>
    <t>CLARA PAULINA MAYORGA</t>
  </si>
  <si>
    <t>DIEGO ALEJANDRO PAHON ASCENCIO</t>
  </si>
  <si>
    <t>MARLO PINZON</t>
  </si>
  <si>
    <t>CAMILO POVEDA RAMIREZ</t>
  </si>
  <si>
    <t>LUIS ALBERTO SANCHEZ ROJAS</t>
  </si>
  <si>
    <t>VALOR SOAT 2021-2022</t>
  </si>
  <si>
    <t>SUELDO SR ALCALDE AÑO 2020</t>
  </si>
  <si>
    <t xml:space="preserve"> </t>
  </si>
  <si>
    <t xml:space="preserve">TASAS </t>
  </si>
  <si>
    <t xml:space="preserve">TERREMOTO </t>
  </si>
  <si>
    <t xml:space="preserve">AMIT </t>
  </si>
  <si>
    <t xml:space="preserve">SUSTRACCIÓN </t>
  </si>
  <si>
    <t>SUS. TODO. R</t>
  </si>
  <si>
    <t xml:space="preserve">SUS DINEROS </t>
  </si>
  <si>
    <t xml:space="preserve">ROTURA </t>
  </si>
  <si>
    <t>CORRIENTE</t>
  </si>
  <si>
    <t xml:space="preserve">EQUIP. MOV Y PORT. </t>
  </si>
  <si>
    <t>DIAS DE VIGENCIA</t>
  </si>
  <si>
    <t xml:space="preserve">INCENDIO </t>
  </si>
  <si>
    <t>EDIFICACIONES PTAR</t>
  </si>
  <si>
    <t>MEJORAS LOCATIVAS</t>
  </si>
  <si>
    <t xml:space="preserve">MUEBLES Y ENSERES </t>
  </si>
  <si>
    <t>LIBROS Y TEXTOS</t>
  </si>
  <si>
    <t>EQUIPO MEDICO</t>
  </si>
  <si>
    <t>BODEGA ALMACEN</t>
  </si>
  <si>
    <t>EQUIPO DE LABORATORIO PTAR</t>
  </si>
  <si>
    <t>MAQUINARIA Y EQUIPO PTAR</t>
  </si>
  <si>
    <t>DINEROS DENTRO Y FUERA  DE CAJA FUERTE</t>
  </si>
  <si>
    <t>EQUIPO COMPUTO- PROCESAMIENTO ELECTRONICO DE DATOS</t>
  </si>
  <si>
    <t>EQUIPO CIRCUITO CERRADO TV</t>
  </si>
  <si>
    <t>INSTRUMENTOS MUSICALES</t>
  </si>
  <si>
    <t xml:space="preserve">TOTAL </t>
  </si>
  <si>
    <t>MUNICIPIO DE COGUA</t>
  </si>
  <si>
    <t>COTIZACION ESTUDIO DE MERCADOS  184 DIAS - MAYO DE 2018</t>
  </si>
  <si>
    <t xml:space="preserve">VIGENCIA DE LA OFERTA: </t>
  </si>
  <si>
    <t>VALOR 
ASEGURADO</t>
  </si>
  <si>
    <t>COSTO TOTAL DE LA OFERTA</t>
  </si>
  <si>
    <t>184 DIAS</t>
  </si>
  <si>
    <t xml:space="preserve">IVA </t>
  </si>
  <si>
    <t>RUBRO No. 1 SEGUROS GENERALES</t>
  </si>
  <si>
    <t>SUB TOTAL</t>
  </si>
  <si>
    <t>TOTAL SUSTRACCION</t>
  </si>
  <si>
    <t xml:space="preserve">TRANSPORTE DE VALORES </t>
  </si>
  <si>
    <t xml:space="preserve">PROYECCIÓN DE MOVILIZACION </t>
  </si>
  <si>
    <t>LIMITE MÁXIMO POR DESPACHO      $ 10.500.000</t>
  </si>
  <si>
    <t>BUS OJZ525- BUS OJG448</t>
  </si>
  <si>
    <t>SOAT VIGENCIA 2018</t>
  </si>
  <si>
    <t xml:space="preserve">TOTAL RUBRO No. 1 $ </t>
  </si>
  <si>
    <t>RUBRO No. 2 VIDA ALCALDE, PERSONERO Y CONCEJALES</t>
  </si>
  <si>
    <t>COSTO SEGURO CONCEJALES</t>
  </si>
  <si>
    <t>TOTAL RUBRO No. 2</t>
  </si>
  <si>
    <t>TOTAL GENERAL  =&gt;</t>
  </si>
  <si>
    <t>DÍAS</t>
  </si>
  <si>
    <t>DESDE</t>
  </si>
  <si>
    <t>HASTA LAS 00:00 HORAS</t>
  </si>
  <si>
    <t>Teléfonos: 255 3040 – 255 3042 – 217 8302 – 541 3808  FAX: 5412443</t>
  </si>
  <si>
    <t>Extensión 105</t>
  </si>
  <si>
    <t>Celular: + 57 311 809 4602 – 311 811 6006  –320 421 3892 – 310 880 7638 – 310 688 5446</t>
  </si>
  <si>
    <t>Carrera 13 No. 55 – 23 Of. 302</t>
  </si>
  <si>
    <t>asesorprofesional@pizanoecheverri.co</t>
  </si>
  <si>
    <t>Uso</t>
  </si>
  <si>
    <t>ValorCatastral</t>
  </si>
  <si>
    <t>ValorComercial</t>
  </si>
  <si>
    <t>NombrePredio</t>
  </si>
  <si>
    <t>INSTITUCIONAL</t>
  </si>
  <si>
    <t>Jardín Rafael Pombo 1052 mt2 MI 176-02953 No.01-017-005</t>
  </si>
  <si>
    <t xml:space="preserve">K 5 4 13 C 4 </t>
  </si>
  <si>
    <t>Casa Cultura-Concha Acústica 3650 mt2 MI 176-11739 No.01-003-025</t>
  </si>
  <si>
    <t xml:space="preserve">K 3 2 120 </t>
  </si>
  <si>
    <t>Parque Infantíl Urb.Carpintero 538 mt2 MI 176-20348 No.01-011-020</t>
  </si>
  <si>
    <t xml:space="preserve">C 6 4 21 </t>
  </si>
  <si>
    <t>Jardín San José 609 mt2 MI 176-24271 No.02-07-001</t>
  </si>
  <si>
    <t xml:space="preserve">K 3 10 35  </t>
  </si>
  <si>
    <t>Parque Infantíl San Antonio 435 mt2 MI 176-40335 No.01-01-01</t>
  </si>
  <si>
    <t xml:space="preserve">K 3 1 4 4  </t>
  </si>
  <si>
    <t>RECREATIVO</t>
  </si>
  <si>
    <t>Villa Olímpica 13333 mt2 MI 176-58854 No.01-15-04</t>
  </si>
  <si>
    <t xml:space="preserve">K 4 VILLA OLIMPICA  </t>
  </si>
  <si>
    <t>Concejo Municipal 1077 mt2 MI 176-96019 No.01-013-009</t>
  </si>
  <si>
    <t xml:space="preserve">C 4 3 29 </t>
  </si>
  <si>
    <t>Casa Cogua 1080 mt2 MI 176-101590 No.01-07-001</t>
  </si>
  <si>
    <t xml:space="preserve">C 4 3 08 </t>
  </si>
  <si>
    <t>Campo Deportivo Mortiño 16000 mt2 MI 176-20216 No.04-0327</t>
  </si>
  <si>
    <t xml:space="preserve">VILLA CLAUDIA   </t>
  </si>
  <si>
    <t>Campo Deportivo La Chapa 3300 mt2 MI 176-23705 No.05-0675</t>
  </si>
  <si>
    <t xml:space="preserve">CAMPO DE DEPORTE  </t>
  </si>
  <si>
    <t>Colegio Margaritas 20268 mt2 MI 176-30279 No.09-0060</t>
  </si>
  <si>
    <t xml:space="preserve">EL TAGUE  </t>
  </si>
  <si>
    <t>Granja Agropecuaria 47000 mt2 MI 176-38826 No.02-0007</t>
  </si>
  <si>
    <t xml:space="preserve">SAN PABLO </t>
  </si>
  <si>
    <t>Ampliación Escuela Altico 8000 mt2 MI 176-42475 No.06-0959</t>
  </si>
  <si>
    <t xml:space="preserve">FLORMORADO    </t>
  </si>
  <si>
    <t>Proyecto Vivienda Ojo Agua 5500 mt2 MI 176-45011 No.06-0610</t>
  </si>
  <si>
    <t xml:space="preserve">LA CRUZ  </t>
  </si>
  <si>
    <t>Escuela Altico 1000 mt2 MI 176-50870 No.006-0963</t>
  </si>
  <si>
    <t xml:space="preserve">CONCENTRACION-ESCOLAR-EL-ATICO </t>
  </si>
  <si>
    <t>FORESTAL O AMBIENTAL</t>
  </si>
  <si>
    <t>Embalse Q/honda 67000 mt2 MI 176-68348 No.009-0523</t>
  </si>
  <si>
    <t xml:space="preserve">POZO AZUL LA RELIQUIA </t>
  </si>
  <si>
    <t>Granja Agropecuaria 8320 mt2 MI 176-83478</t>
  </si>
  <si>
    <t xml:space="preserve">Centro Cogua </t>
  </si>
  <si>
    <t>Campo Deportivo 764 mt2 MI 176-84383 No.002-0066</t>
  </si>
  <si>
    <t xml:space="preserve">LA MANGA </t>
  </si>
  <si>
    <t>Colegio La Plazuela 8400 mt2 MI 176-85269 No.006-0954</t>
  </si>
  <si>
    <t xml:space="preserve">COLEGIO COMUNAL LA PLAZUELA    </t>
  </si>
  <si>
    <t>Escuela R/Santo 6400 mt2 MI 176-88105 No.003-0877</t>
  </si>
  <si>
    <t xml:space="preserve">ESCUELA RINCON SANTO </t>
  </si>
  <si>
    <t>Planta La Chapa 2000 mt2 MI 176-88759</t>
  </si>
  <si>
    <t>Vered la Chapa</t>
  </si>
  <si>
    <t>Planta La Plazuela 2000 mt2 MI 176-89309</t>
  </si>
  <si>
    <t xml:space="preserve">Vereda la Plazuela </t>
  </si>
  <si>
    <t>Planta Residual Mortiño 1500 mt2 MI 176-90615 No.004-0326</t>
  </si>
  <si>
    <t>LO PROYECTO-TRATAMIENTO-AGUAS-RESI</t>
  </si>
  <si>
    <t>Planta Plazuela-Olivo 500 mt2 MI 176-91342 No.009-0588</t>
  </si>
  <si>
    <t xml:space="preserve">LOTE  </t>
  </si>
  <si>
    <t>Complejo Deportivo 48807 mt2 MI 176-91420</t>
  </si>
  <si>
    <t xml:space="preserve">LOTE EL COMPLEJO DEPORTIVO </t>
  </si>
  <si>
    <t>Planta Tratamiento Regional 2857 mt2 MI 176-94518 No.006-0240</t>
  </si>
  <si>
    <t>LOTE</t>
  </si>
  <si>
    <t>Escuela Cardonal 1200 mt2 MI 176-95836 No.008-0030</t>
  </si>
  <si>
    <t>Vereda Cardonal</t>
  </si>
  <si>
    <t>Escuela Neusa 265 mt2 MI 176-95838 No.006-0432</t>
  </si>
  <si>
    <t>Vereda el Neusa</t>
  </si>
  <si>
    <t>Escuela Chapa 400 mt2 MI 176-95841 No.005-0390</t>
  </si>
  <si>
    <t xml:space="preserve">Vereda La Chapa </t>
  </si>
  <si>
    <t>Escuela B/Blanco 1600 mt2 MI 176-95955 No.002-0031</t>
  </si>
  <si>
    <t xml:space="preserve">Sector Barro Blanco </t>
  </si>
  <si>
    <t>Escuela R/tal 3227 mt2 MI 176-96018 No.005-0316</t>
  </si>
  <si>
    <t xml:space="preserve">Vereda Rodamontal </t>
  </si>
  <si>
    <t>Salón Plazuela 564 mt2 MI 176-98092 No.006-1247</t>
  </si>
  <si>
    <t>Salón Plazuela 481 mt2 MI 176-98093 No.006-1248</t>
  </si>
  <si>
    <t>Escuela Mortiño 2868 mt2 MI 176-98551 No.004-0078</t>
  </si>
  <si>
    <t xml:space="preserve">Vereda El Mortiño </t>
  </si>
  <si>
    <t xml:space="preserve">Predio campo deportivo Mat. Inm. 176-51955  N. cat.00-000005-0148-000  </t>
  </si>
  <si>
    <t xml:space="preserve">LA PLAYA           </t>
  </si>
  <si>
    <t>Ctas orden/06 Casa Mpal MI 176-95837</t>
  </si>
  <si>
    <t xml:space="preserve">K 3 3 40   </t>
  </si>
  <si>
    <t>Ctas orden/06 Escu.P/sica MI 176-68828, 0001-0041</t>
  </si>
  <si>
    <t xml:space="preserve">Vereda Patasica </t>
  </si>
  <si>
    <t>Ctas orden/06 Peñitas laurel MI 176-50079, 0009-0121</t>
  </si>
  <si>
    <t>Vereda Paramo alto</t>
  </si>
  <si>
    <t>Ctas orden/06 Escue P/alto, 0010-0064</t>
  </si>
  <si>
    <t>Ctas orden/06 Esc.Rosendales MI 176-5423, 0007-0048</t>
  </si>
  <si>
    <t>Vereda casa blanca</t>
  </si>
  <si>
    <t>Casa Cultura-Concha Acústica MI 176-11739 No.01-003-025</t>
  </si>
  <si>
    <t>Concejo MI 176-96019 No.01-013-009</t>
  </si>
  <si>
    <t>Casa Cogua MI 176-101590 No.01-007-001</t>
  </si>
  <si>
    <t>Granja Agropecuaria MI 176-38826 No.002-0007</t>
  </si>
  <si>
    <t>Casa vigilancia campo deportivo la granja</t>
  </si>
  <si>
    <t>Salón cultural  Plazuela 481 mt2 MI 176-98093 No.006-1248</t>
  </si>
  <si>
    <t>Construccion centro cultural la chapa</t>
  </si>
  <si>
    <t>Const.salon cultural casablanca</t>
  </si>
  <si>
    <t>Vereda Casa Blanca</t>
  </si>
  <si>
    <t>Centro cultural  Rincon Santo</t>
  </si>
  <si>
    <t>Centro cultural  Quebradahonda</t>
  </si>
  <si>
    <t xml:space="preserve">Vereda quebrada honda </t>
  </si>
  <si>
    <t>Centro Cultural paramoalto</t>
  </si>
  <si>
    <t>Vereda paramo alto</t>
  </si>
  <si>
    <t>Centro de Atencion Integral Primera Infancia</t>
  </si>
  <si>
    <t xml:space="preserve">Vereda Susagua </t>
  </si>
  <si>
    <t>Construccion 1 y 2 etapa Centro de Eventos</t>
  </si>
  <si>
    <t>Construccion centro Cultural Vda Cardonal</t>
  </si>
  <si>
    <t xml:space="preserve">Vereda Cardonal </t>
  </si>
  <si>
    <t>Construccion Centro Cultural Vda El Mortiño</t>
  </si>
  <si>
    <t>Salon cultural vereda barro blanco -cto 146/2015 y consul acep 028/2015</t>
  </si>
  <si>
    <t>Centro de informaion historica , ambiental y  turistica  cihat- entre interseccion cll 2a cra 2 Cogua  ---Consorcio cihat -// Coopemun</t>
  </si>
  <si>
    <t>Salon Cultural Vda Barroblanco Cto 146/2015</t>
  </si>
  <si>
    <t xml:space="preserve">Vereda Barro Blanco </t>
  </si>
  <si>
    <t xml:space="preserve">Oficinas </t>
  </si>
  <si>
    <t xml:space="preserve">Sala de exhibicion </t>
  </si>
  <si>
    <t>Jardín Rafael Pombo MI 176-02953 No.01-017-005</t>
  </si>
  <si>
    <t>Jardín San José MI 176-24271 No.02-007-001</t>
  </si>
  <si>
    <t>Colegio Margaritas MI 176-30279 No.009-0060</t>
  </si>
  <si>
    <t>Ampliación Escuela Altico MI 176-42475 No.006-0959</t>
  </si>
  <si>
    <t>Escuela Altico MI 176-50870 No.006-0963</t>
  </si>
  <si>
    <t>Escuela R/Santo MI 176-88105 No.003-0877</t>
  </si>
  <si>
    <t>Vereda Rincon Santo</t>
  </si>
  <si>
    <t>Escuela Cardonal MI 176-95836 No.008-0030</t>
  </si>
  <si>
    <t>Escuela Neusa MI 176-95838 No.006-0432</t>
  </si>
  <si>
    <t xml:space="preserve">Vereda Neusa </t>
  </si>
  <si>
    <t>Escuela Chapa MI 176-95841 No.005-0390</t>
  </si>
  <si>
    <t>Escuela B/Blanco MI 176-95955 No.002-0031</t>
  </si>
  <si>
    <t>Escuela R/tal MI 176-96018 No.005-0316</t>
  </si>
  <si>
    <t>Escuela Mortiño MI 176-98551 No.004-0078</t>
  </si>
  <si>
    <t>Colegio las Villas Matricula Inmob.</t>
  </si>
  <si>
    <t>Escuela casablanca</t>
  </si>
  <si>
    <t>Construccion Instalaciones Deprotivas Con 056/06</t>
  </si>
  <si>
    <t>Colegio la Plazuela</t>
  </si>
  <si>
    <t>Adecuacion y construccion IEDR La Plazuela sede Cardonal</t>
  </si>
  <si>
    <t>Adecuacion mtto Rafael Pombo Cogia cto 034/2015</t>
  </si>
  <si>
    <t xml:space="preserve">Sector Ojo de Agua </t>
  </si>
  <si>
    <t>Construcción Salón Cultural Sector Ojo de Agua</t>
  </si>
  <si>
    <t>Clinica y hospitales</t>
  </si>
  <si>
    <t xml:space="preserve">Invernadero </t>
  </si>
  <si>
    <t xml:space="preserve">Reserva forestal </t>
  </si>
  <si>
    <t>Unidad deportiva Rodamontal</t>
  </si>
  <si>
    <t>Villa olímpica MI 176-58854 No.01-015-004</t>
  </si>
  <si>
    <t>Campo deportivo Mortiño MI 176-20216 No.004-0327</t>
  </si>
  <si>
    <t>Campo deportivo Chapa MI 176-23705 No.005-0675</t>
  </si>
  <si>
    <t>Campo deportivo Granja MI 176-84383 No.002-0066</t>
  </si>
  <si>
    <t>Complejo deportivo MI 176-91420</t>
  </si>
  <si>
    <t>unidad deportiva el Altico</t>
  </si>
  <si>
    <t xml:space="preserve">Vereda el altico </t>
  </si>
  <si>
    <t>Unidad deportiva  Olivo</t>
  </si>
  <si>
    <t xml:space="preserve">Vereda el Olivo </t>
  </si>
  <si>
    <t>Unidad deportiva Casablanca</t>
  </si>
  <si>
    <t>Unidad deportiva San Jose</t>
  </si>
  <si>
    <t xml:space="preserve">Barrio San jose </t>
  </si>
  <si>
    <t>Polideportivo  los Cerritos</t>
  </si>
  <si>
    <t>Construccion y Mantenimiento Centro deportivo</t>
  </si>
  <si>
    <t>Construccion Unidad Deportiva</t>
  </si>
  <si>
    <t>Mant. Adec. Cubiertas escenarios deportivos - complejo deportivo Cont 174/14</t>
  </si>
  <si>
    <t>Const cerramiento complejo Dtvo Vda El Mortiño. Cont 175 de 2014</t>
  </si>
  <si>
    <t>Mtto  de campo deportivo Vereda Cardonal Cto 162 de 2015</t>
  </si>
  <si>
    <t>Cto 173/2015 adecuacion mmto poliportivo urbanizacion las mercedes y villa nohora cogua</t>
  </si>
  <si>
    <t>Cto 035 de 2015 Interventoria Cto 173-2015  Adecuacion y mmto polideportivo Mercedes y Villa Nohora Cogua</t>
  </si>
  <si>
    <t>Construcción canchas de futbol 5 complejo</t>
  </si>
  <si>
    <t>Polideportivo vda Susagua y sector moros Cto 126/2014-Cto 130/2014</t>
  </si>
  <si>
    <t>Ctas orden/06 Matadero, 01-00-004-001</t>
  </si>
  <si>
    <t>Ctas orden/06 Plaza Mercado 01-007-003</t>
  </si>
  <si>
    <t>Ctas orden/06 Conc.lluvia sueños, 01-0015-001</t>
  </si>
  <si>
    <t>Ctas orden/06 Sal.Cultu.C/blanca, 007-0157</t>
  </si>
  <si>
    <t>Ctas orden/06 Escue.Plazuela, 006-1245</t>
  </si>
  <si>
    <t>Ctas orden/06 Escue.R/santo MI 176-58955, 003-0082</t>
  </si>
  <si>
    <t>Ctas orden/06 Cent.Cult.y Dptivo Q/honda MI 176-101799, 0090522 y 009-0373</t>
  </si>
  <si>
    <t>Ctas orden/06 Escue.P/sica MI 176-68828, 001-0041</t>
  </si>
  <si>
    <t>Ctas orden/06 Esc.P/alto, 0010-0064</t>
  </si>
  <si>
    <t>Ctas orden/06 Escue.Rosendales MI 176-5423, 007-0048</t>
  </si>
  <si>
    <t>Otras edificaciones</t>
  </si>
  <si>
    <t>Perrera municipal - Granja</t>
  </si>
  <si>
    <t>Plantas de tratamiento</t>
  </si>
  <si>
    <t>Planta Chapa MI 176-88759</t>
  </si>
  <si>
    <t>Planta Plazuela MI 176-89309</t>
  </si>
  <si>
    <t>Planta residual Mortiño MI 176-90615 No.004-0326</t>
  </si>
  <si>
    <t>Planta Plazuela, Olivo MI 176-91342 No.009-0588</t>
  </si>
  <si>
    <t>Planta tratamiento regional MI 176-94518 No.006-0240</t>
  </si>
  <si>
    <t>Construccion acueducto R/santo</t>
  </si>
  <si>
    <t>Construccion acueducto la Chapa</t>
  </si>
  <si>
    <t>Construccion alcantarillado Alto de  la Cruz</t>
  </si>
  <si>
    <t>Sector alto de la cruz</t>
  </si>
  <si>
    <t>Construccion acueducto La Chorrera P/Alto</t>
  </si>
  <si>
    <t>Construccion Mantenimiento Alcantarillado Marroquin B/Blanco</t>
  </si>
  <si>
    <t>Construccion Infra. Acueducto C/Blanca y Cardonal</t>
  </si>
  <si>
    <t xml:space="preserve">Vereda casa blanca </t>
  </si>
  <si>
    <t>Construccion tramo alcantarillado Aguas Lluvias</t>
  </si>
  <si>
    <t>zona verde</t>
  </si>
  <si>
    <t>Construccion Redes Distribucion Acueducto Plazuela</t>
  </si>
  <si>
    <t>Construccion Infra Redes Distribucion Acueducto Mortiño</t>
  </si>
  <si>
    <t>Construccion Infra Distribucions Acueducto Rodamontal</t>
  </si>
  <si>
    <t>Optimizacion y mejoramiento planta de tratameiento de aguas residuales PTAR</t>
  </si>
  <si>
    <t>Plantas de transmisión</t>
  </si>
  <si>
    <t>Tramos Alcanta.aguas lluvias casco urbano</t>
  </si>
  <si>
    <t>Alcantarillado Vda. La Chapa</t>
  </si>
  <si>
    <t>Alcantarillado Rodamontal</t>
  </si>
  <si>
    <t>Alcantarillado Barroblanco</t>
  </si>
  <si>
    <t>Alcantarillado Rodamontal sector San Antonio</t>
  </si>
  <si>
    <t>Sector San Antonio</t>
  </si>
  <si>
    <t>Alcantarillado El Altico</t>
  </si>
  <si>
    <t>Alcantarillado Rincón Santo</t>
  </si>
  <si>
    <t>Alcantarillado Susaguá</t>
  </si>
  <si>
    <t>Alcantarillado El Olivo</t>
  </si>
  <si>
    <t>Alcantarillado  san Jose</t>
  </si>
  <si>
    <t>Alcantarillado urbano</t>
  </si>
  <si>
    <t>Const Mej. Emisario final obras complementarias sector San Jose y planta de tratamiento aguas residuales Cont 154/15</t>
  </si>
  <si>
    <t>Estacion de Bombeo  Rincon santo</t>
  </si>
  <si>
    <t>Líneas y cables de conducción</t>
  </si>
  <si>
    <t>Parques recreacionales</t>
  </si>
  <si>
    <t xml:space="preserve">ZONAS VERDES </t>
  </si>
  <si>
    <t>Parque infantíl B/Rincón Cogua</t>
  </si>
  <si>
    <t>Parque infantíl Carpintero MI 176-20348 No.01-011-020</t>
  </si>
  <si>
    <t>Parque infantíl S/Antonio MI 176-40335 No.01-01-01</t>
  </si>
  <si>
    <t>Construccion Parque recreativo urbanozacion Villanohora</t>
  </si>
  <si>
    <t>Construccion Parque Multifuncionales</t>
  </si>
  <si>
    <t>Construccion pista de skate park</t>
  </si>
  <si>
    <t xml:space="preserve">Monumentos </t>
  </si>
  <si>
    <t>Donacion - Libros // Min cultura 2016</t>
  </si>
  <si>
    <t>Donacion- Secretaria de Salud- Dpto Cundinamarca 2016</t>
  </si>
  <si>
    <t>Texto154</t>
  </si>
  <si>
    <t>txtValor</t>
  </si>
  <si>
    <t>CATEGORIA</t>
  </si>
  <si>
    <t>Placa</t>
  </si>
  <si>
    <t>División en Vidrio templado con Soportes Vidrio Templado</t>
  </si>
  <si>
    <t>División en Vidrio Templado, con soportes</t>
  </si>
  <si>
    <t xml:space="preserve">División en Vidrio templado con Soportes  </t>
  </si>
  <si>
    <t>Puerta en Vidrio Templado, con soportes</t>
  </si>
  <si>
    <t>Puerta en Vidrio Templado con Soportes  Vidrio Templado</t>
  </si>
  <si>
    <t>División de Oficina en Vidrio Templado Vidrio Templado</t>
  </si>
  <si>
    <t>Superficie Counter de 60 * 1.8 en Vidrio Templado</t>
  </si>
  <si>
    <t>CLIENTE</t>
  </si>
  <si>
    <t>TARIFA FASECOLDA AL 31 DE MAYO DE 2018</t>
  </si>
  <si>
    <t>COGUA ALCALDIA</t>
  </si>
  <si>
    <t>JMG41</t>
  </si>
  <si>
    <t>MOTOCICLETA HONDA XR250 CC. 249 MOD. 2012 PLACA JMG41</t>
  </si>
  <si>
    <t>03417093</t>
  </si>
  <si>
    <t>ODR613</t>
  </si>
  <si>
    <t>VOLQUETA PLATON CHEVROLET FVR CC. 7790 CAPAC. 9000 MOD. 2015 PLACA ODR613</t>
  </si>
  <si>
    <t>01626093</t>
  </si>
  <si>
    <t>OJG696</t>
  </si>
  <si>
    <t xml:space="preserve">CHASIS CAMIONETA KIA K2700  CC. 2665 MOD. 2012 PLACA OJG696 </t>
  </si>
  <si>
    <t>04612012</t>
  </si>
  <si>
    <t>ODR694</t>
  </si>
  <si>
    <t>CAMION RECOLECTOR CHEVROLET FVZ CC. 7790 CAPAC. 10397 MOD. 2015 PLACA ODR694</t>
  </si>
  <si>
    <t>01604078</t>
  </si>
  <si>
    <t>GOV27</t>
  </si>
  <si>
    <t>MOTOCICLETA HONDA XL185 MOD. 1990 PLACA GOV27</t>
  </si>
  <si>
    <t>03417069</t>
  </si>
  <si>
    <t>GOV26</t>
  </si>
  <si>
    <t>MOTOCICLETA HONDA XL185 MOD. 1990 PLACA GOV26</t>
  </si>
  <si>
    <t>GOM47</t>
  </si>
  <si>
    <t>MOTOCICLETA HONDA XL185 MOD. 1990 PLACA GOM47</t>
  </si>
  <si>
    <t>OJG685</t>
  </si>
  <si>
    <t>CAMPERO TOYOTA PRADO LC150 TX AT 4000CC 5P  MOD. 2011 PLACA OJG685</t>
  </si>
  <si>
    <t>09008151</t>
  </si>
  <si>
    <t>OJG531</t>
  </si>
  <si>
    <t xml:space="preserve">CAMPERO MITSUBISHI  MONTERO V43WA MT 3000CC 5P AA MOD. 2002 PLACA OJG531 </t>
  </si>
  <si>
    <t>06208046</t>
  </si>
  <si>
    <t>OIL283</t>
  </si>
  <si>
    <t>VOLQUETA INTERNACIONAL 2674 MT 8700CC TD 6-MOD. 1995 PLACA  OIL283</t>
  </si>
  <si>
    <t>03626004</t>
  </si>
  <si>
    <t>OJG448</t>
  </si>
  <si>
    <t>BUS CHEVROLET B70  229 MT 7200CC TD 4X - PASAJ. 37 MOD.2000 PLACA OJG448</t>
  </si>
  <si>
    <t>01603080</t>
  </si>
  <si>
    <t>JGF34</t>
  </si>
  <si>
    <t>MOTOCICLETA YAMAHA DT 175 (CALIBMATIC MT 175CC 2T)-PLACA  JGF34-  MOD,97</t>
  </si>
  <si>
    <t>09817017</t>
  </si>
  <si>
    <t>XHA96A</t>
  </si>
  <si>
    <t>MOTOCICLETA SUSUKI TS 185 MT 185CC 2T- MOD.05 -PLACA XHA96A</t>
  </si>
  <si>
    <t>08817043</t>
  </si>
  <si>
    <t>OIL282</t>
  </si>
  <si>
    <t>VOLQUETA INTERNACIONAL S-SERIES S1754 MT -7500CC TD 6X2 - MOD.97- 10TON PLACA OIL282</t>
  </si>
  <si>
    <t>03626005</t>
  </si>
  <si>
    <t>YXB24D</t>
  </si>
  <si>
    <t>MOTOCICLETA SUZUKI DR-X CC. 199 CAP. 2 MOD. 2016 PLACA YXB24D</t>
  </si>
  <si>
    <t>08817150</t>
  </si>
  <si>
    <t>YXB25D</t>
  </si>
  <si>
    <t>MOTOCICLETA SUZUKI DR-X CC. 199 CAP. 2 MOD. 2016 PLACA YXB25D</t>
  </si>
  <si>
    <t>YXB26D</t>
  </si>
  <si>
    <t>MOTOCICLETA SUZUKI DR-X CC. 199 CAP. 2 MOD. 2016 PLACA YXB26D</t>
  </si>
  <si>
    <t>ODR730</t>
  </si>
  <si>
    <t>CAMIONETA  TOYOTA HILUX DOBLE CABINA CC. 2494 CAP. 5 MOD. 2015 PLACA ODR730</t>
  </si>
  <si>
    <t>09021060</t>
  </si>
  <si>
    <t>OJZ525</t>
  </si>
  <si>
    <t>BUS  HINO FC9JBUS CAPC. 36 PASAJ C.C.5123 MOD. 2016 PLACA OJZ525</t>
  </si>
  <si>
    <t>03703016</t>
  </si>
  <si>
    <t>OJG640</t>
  </si>
  <si>
    <t>CAMION CHEVROLET KODIAK 229  MOD.2009-7000CC -7,20TON PLACA OJG640</t>
  </si>
  <si>
    <t>01604042</t>
  </si>
  <si>
    <t>OJG639</t>
  </si>
  <si>
    <t xml:space="preserve">CAMION CHEVROLET KODIAK 229 (TANDEM) MT 7200CC TD 6X - MOD. 2008 PLACA OJG639 </t>
  </si>
  <si>
    <t>OJG638</t>
  </si>
  <si>
    <t>CAMION CHEVROLET KODIAK 157 MT 7200CC TD 4X - MOD.2009- 7.20TON PLACA OJG638</t>
  </si>
  <si>
    <t>01626019</t>
  </si>
  <si>
    <t>OHK975</t>
  </si>
  <si>
    <t>TOYOTA HILUX PICKUP - DOBLE CABINA CC. 2500 MOD. 2014 PLACA OHK975</t>
  </si>
  <si>
    <t>09021052</t>
  </si>
  <si>
    <t>ZDM97C</t>
  </si>
  <si>
    <t>MOTOCICLETA YAMAHA XTZ125 CC 124 MOD 2013 PLACA ZDM97C</t>
  </si>
  <si>
    <t>09817110</t>
  </si>
  <si>
    <t>OJG690</t>
  </si>
  <si>
    <t>PATRULLA - POLICIA - CAMIONETA DOBLE CABINA DIESEL NISSAN D22 MOD. 2012 CC. 2953 PLACA OJG690</t>
  </si>
  <si>
    <t>06421020</t>
  </si>
  <si>
    <t>OKZ328</t>
  </si>
  <si>
    <t>CAMION FURGON CHEVROLET NPR CC. 5193 CAPAC. 3950 MOD. 2016 PLACA OKZ328</t>
  </si>
  <si>
    <t>01612155</t>
  </si>
  <si>
    <t xml:space="preserve"> TARIFA FASECOLDA Al 04 DE ABRIL DE 2018</t>
  </si>
  <si>
    <t>JEV54</t>
  </si>
  <si>
    <t>MOTOCICLETA SUSUKI  TS 125 MT 125CC 2T -PLACA JEV54 -MOD.95</t>
  </si>
  <si>
    <t>JDN58</t>
  </si>
  <si>
    <t>MOTOCICLETA SUSUKI TS 125MT 125CC 2T -PLACA JDN58 - MOD.94</t>
  </si>
  <si>
    <t>SOAT VIGENCIA 2018-2019</t>
  </si>
  <si>
    <t xml:space="preserve">No </t>
  </si>
  <si>
    <t>MARCA</t>
  </si>
  <si>
    <t>VALOR SOAT 2018-2019</t>
  </si>
  <si>
    <t>SUZUKI</t>
  </si>
  <si>
    <t>CAMPERO MITSUBISHI  MONTERO V43WA MT 3000CC 5P AA -MOD. 2002 PLACA OJG531</t>
  </si>
  <si>
    <t>BUS CHEVROLET B70  229 MT 7200CC TD 4X - PASAJ. 37 - MOD.2000 PLACA OJG448</t>
  </si>
  <si>
    <t>MOTOCICLETA YAMAHA DT 175 (CALIBMATIC MT 175CC 2T)-MODELO 1997 PLACA  JGF34</t>
  </si>
  <si>
    <t>TOYOTA</t>
  </si>
  <si>
    <t>HINO</t>
  </si>
  <si>
    <t>CHEVROLET</t>
  </si>
  <si>
    <t xml:space="preserve">VOLQUETA INTERNACIONAL 2674 MT 8700CC TD 6-MOD. 1995 PLACA  OIL283 </t>
  </si>
  <si>
    <t>YAMAHA</t>
  </si>
  <si>
    <t>BUS  HINO FC9J ESCOLAR  C.C.4990 MOD. 2016 - BENEFICIARIO GOBERNACION DE CUNDINAMARCA CONVENIO 204  PLACA OJZ525</t>
  </si>
  <si>
    <t>HONDA</t>
  </si>
  <si>
    <t>CAMION CHEVROLET KODIAK 229 OJG640 MOD.2009-7000CC -7,20TON</t>
  </si>
  <si>
    <t>NISSAN</t>
  </si>
  <si>
    <t>CAMION CHEVROLET KODIAK 229 (TANDEM) MT 7200CC TD 6X- MOD.2008 PLACA OJG639</t>
  </si>
  <si>
    <t>MOTOCICLETA YAMAHA XTZ125 CC 124 MOD 2013- BENEFICIARIO GOBERNACION DE CUNDINAMARCA  PLACA ZDM97C</t>
  </si>
  <si>
    <t>UNIDAD MEDICO ODONTOLOGICA CAMION FURGON CHEVROLET NPR CC. 5193 CAPAC. 3950 MOD. 2016 PLACA OKZ328</t>
  </si>
  <si>
    <t>RUK35D</t>
  </si>
  <si>
    <t>MOTOCICLETA SUZUKI  DR650 CC. 644 MOD. 2017 PLACA RUK35D</t>
  </si>
  <si>
    <t>KIA</t>
  </si>
  <si>
    <t>RUK31D</t>
  </si>
  <si>
    <t>MOTOCICLETA SUZUKI  DR650 CC. 644 MOD. 2017 PLACA RUK31D</t>
  </si>
  <si>
    <t>RUK34D</t>
  </si>
  <si>
    <t>MOTOCICLETA SUZUKI  DR650 CC. 644 MOD. 2017 PLACA RUK34D</t>
  </si>
  <si>
    <t>RUK32D</t>
  </si>
  <si>
    <t>MOTOCICLETA SUZUKI  DR650 CC. 644 MOD. 2017 PLACA RUK32D</t>
  </si>
  <si>
    <t>RUK33D</t>
  </si>
  <si>
    <t>MOTOCICLETA SUZUKI  DR650 CC. 644 MOD. 2017 PLACA RUK33D</t>
  </si>
  <si>
    <t xml:space="preserve">ENTIDAD </t>
  </si>
  <si>
    <t>MODELO</t>
  </si>
  <si>
    <t>VALOR REPOSICION A NUEVO</t>
  </si>
  <si>
    <t>INDICE VARIABLE 5%</t>
  </si>
  <si>
    <t>VALOR AJUSTADO CON INDICE VARIABLE DEL 5%</t>
  </si>
  <si>
    <t>COGUA</t>
  </si>
  <si>
    <t xml:space="preserve">CATERPILLAR CS-431 serie 9XL00159, 9 toneladas amarillo </t>
  </si>
  <si>
    <t>MOTONOVELADORA</t>
  </si>
  <si>
    <t>CHAMPIUM tipo articulada No. chasis 23955 - 710ª</t>
  </si>
  <si>
    <t xml:space="preserve">JHON DEERE No. serie TO410 EX82866 </t>
  </si>
  <si>
    <t>CAMABAJA</t>
  </si>
  <si>
    <t>CAMABAJA    Camabaja Placa R24900 ColombiaAmarillo MARCA Tecnipesados REF. 109-97</t>
  </si>
  <si>
    <t>TRACTOR    Tractor doble Transmisión, potencia 10.5H P, Ensamblaje Brasil,con capota tipo antivuelo original,llantas delanteras de 14.9*24,llantas traseras de 23.1*26,TurboalimentadoRojo/Negro MARCA Massey Ferguson REF. 2924184790. MAS HERRAMIENTAS POR $ 180.000</t>
  </si>
  <si>
    <t>TRACTOR TIPO CARRO DE CORTE</t>
  </si>
  <si>
    <t>TRACTOR    Tractor de Corte de Cesped,Giro Zero RZ 4219,Motor Briggs y StrattonNaranja/Negro MARCA Husqvarna</t>
  </si>
  <si>
    <t>CAJA COMPACTADORA</t>
  </si>
  <si>
    <t xml:space="preserve"> CHEVROLET KODIAK OJG639 MOD.2009 </t>
  </si>
  <si>
    <t xml:space="preserve">VEHICULO AUTOMOTOR TIPO RESCATE - ATENCIÓN DESASTRES - labores de prevención y atencion de desastres - jurisdiccion del mun de cogua CHASIS $ - CARROCERIA $ 70.025.169 y dotacion $18.791.167- dotacion que consta en el contrato 224 - 27 dic de 2011 </t>
  </si>
  <si>
    <t xml:space="preserve"> CAMIONETA KIA - K-2700 - C.C. 2.665 - COLOR BLANCO- DIESEL DOBLE CABINA- MODELO 2012- PLACA OJG696</t>
  </si>
  <si>
    <t xml:space="preserve"> MARCA JHON DEERE MODELO 410JRE - AÑO 2008 - - DISTRIBUIDORA NISSAN serie N° TO410J172181 MOTOR # PE4045L061806 </t>
  </si>
  <si>
    <t xml:space="preserve">MOTONIVELADORA ACERT TURBOALIMENTADOR, POTENCIA VARIABLE DE 125 HP A 145HP, PESO 13.032 KG, CABINA CERRADA CON AIRE ACONDICIONADO, ANCHO DE HOJA DE 12 PIES, ESCARIFICADOR, SISTEMA DE LUCES Y DEMAS ACCESORIO.  EQUIPADA CON MOTOR </t>
  </si>
  <si>
    <t xml:space="preserve">CATERPILLAR C7  120K , </t>
  </si>
  <si>
    <t xml:space="preserve">COSECHADORA  Y PICADORA DE FORRAJE DE PRECISION </t>
  </si>
  <si>
    <t xml:space="preserve">COGUA </t>
  </si>
  <si>
    <t>VAGON FORRAJERO JF5000</t>
  </si>
  <si>
    <t>MOD. 2016</t>
  </si>
  <si>
    <t>COMPACTADOR DE BASURA    Compactador de Basura, Placa ODR 694 de Funza, Motor N°6HK1-663005, Chasis N°9GDFVZ348FB036804, Linea FVZ,Cilindrara CC7790Blanco MARCA Chevrolet</t>
  </si>
  <si>
    <t xml:space="preserve">SUBSOLADOR VIBRATORIO  </t>
  </si>
  <si>
    <t xml:space="preserve">RENOVADOR DE CINSEL   </t>
  </si>
  <si>
    <t xml:space="preserve">RASTRA O ARADO EN CINSEL  </t>
  </si>
  <si>
    <t>BUS CHEVROLET B70  229 MT 7200CC TD 4X - PASAJ. 37 PLACA OJG448- MOD.2000</t>
  </si>
  <si>
    <t>ALCALDE - PERSONERO Y CONCEJALES 2018</t>
  </si>
  <si>
    <t>VR ASEGURADO INDIVIDUAL</t>
  </si>
  <si>
    <t>WILLIAM DARIO FORERO FORERO</t>
  </si>
  <si>
    <t>PERSONERO</t>
  </si>
  <si>
    <t>CAMILO FERNANDO RODRIGUEZ OTALORA</t>
  </si>
  <si>
    <t>CONCEJO</t>
  </si>
  <si>
    <t>ALVARO POVEDA POVEDA</t>
  </si>
  <si>
    <t>DANIEL CAMILO TORRES PACHON</t>
  </si>
  <si>
    <t>DIANA MARCELA POVEDA MALAVER</t>
  </si>
  <si>
    <t>ORLANDO SIERRA ZAMORA</t>
  </si>
  <si>
    <t>LUIS HERNANDO HERNANDEZ CHOLO</t>
  </si>
  <si>
    <t>WILSON ORLANDO GUZMAN BELTRAN</t>
  </si>
  <si>
    <t>JHON ALEXANDER OLAYA CASTIBLANCO</t>
  </si>
  <si>
    <t>VICTOR ORLANDO SUAREZ SANCHEZ</t>
  </si>
  <si>
    <t>JORGE ENRIQUE SALAZAR RAMOS</t>
  </si>
  <si>
    <t>JAVIER TIEMPOS GOMEZ</t>
  </si>
  <si>
    <t>JORGE STID GARNICA TINJACA</t>
  </si>
  <si>
    <t>SUELDO SR ALCALDE AÑO 2018</t>
  </si>
  <si>
    <t>BUSETA CHEVROLET NKR MOD. 2012 PASAJ. 32  PLACA OCM151</t>
  </si>
  <si>
    <t>BUS HINO FC9J CC. 5123 MOD. 2016  PASAJ 36 PLACA OJZ529</t>
  </si>
  <si>
    <t>CAMIONETA MITSUBISHI SPORTERO 2,5 HIGH POWER DOBLE CABINA CC. 2477 MOD. 2018 PLACA ODT362</t>
  </si>
  <si>
    <r>
      <t xml:space="preserve">TRACTOR Agrícola Marca NEW HOLLAND modelo 6610S M74301 4WDdiesel F4CE  </t>
    </r>
    <r>
      <rPr>
        <b/>
        <sz val="9"/>
        <color theme="1"/>
        <rFont val="Arial"/>
        <family val="2"/>
      </rPr>
      <t>BENEFICIARIO DEPARTAMENTO DE CUNDINAMARCA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NIT 899.999.114-0.</t>
    </r>
  </si>
  <si>
    <t>relacion pdf</t>
  </si>
  <si>
    <t>02926004</t>
  </si>
  <si>
    <t>01603118</t>
  </si>
  <si>
    <t>09817015</t>
  </si>
  <si>
    <t>03703017</t>
  </si>
  <si>
    <t>04517112</t>
  </si>
  <si>
    <t>06221026</t>
  </si>
  <si>
    <t>03626093</t>
  </si>
  <si>
    <t>09008153</t>
  </si>
  <si>
    <t>09008057</t>
  </si>
  <si>
    <t>01611146</t>
  </si>
  <si>
    <t>01626002</t>
  </si>
  <si>
    <t>09817188</t>
  </si>
  <si>
    <t>TOTAL MAQUINARIA Y EQUIPO</t>
  </si>
  <si>
    <t>TOTAL VEHICULOS EN REPOSO</t>
  </si>
  <si>
    <t>TOTAL VEHICULOS</t>
  </si>
  <si>
    <t>EDIFICACIONES</t>
  </si>
  <si>
    <t>TODO RIESGO MAQUINARIA Y EQUIPO</t>
  </si>
  <si>
    <t>VEHÍCULOS</t>
  </si>
  <si>
    <t>PÓLIZA DE SEGURO DE ACCIDENTES PERSONALES PARA PASAJEROS Y/O RESPONSABILIDAD CIVIL CONTRACTUAL PARA OCUPANTES DE VEHICULOS</t>
  </si>
  <si>
    <t>100 smmlv</t>
  </si>
  <si>
    <t>Bodega</t>
  </si>
  <si>
    <t>Almacén</t>
  </si>
  <si>
    <t>DESCRIPCION</t>
  </si>
  <si>
    <t>OTROS BIENES</t>
  </si>
  <si>
    <t>EQUIPOS</t>
  </si>
  <si>
    <t>Valor Asegurado</t>
  </si>
  <si>
    <t>POLIZA RESPONSABILIDAD CIVIL SERVIDORES PUBLICOS</t>
  </si>
  <si>
    <t>Valor asegurado</t>
  </si>
  <si>
    <t>1 a 25 cargos</t>
  </si>
  <si>
    <t>SECRETARIA GENERAL Y DE GOBIERNO</t>
  </si>
  <si>
    <t>SECRETARIO PLANEACION E INFRAESTRUCTURA</t>
  </si>
  <si>
    <t>VIDA GRUPO</t>
  </si>
  <si>
    <t xml:space="preserve">SALARIO ALCALDE </t>
  </si>
  <si>
    <t>VALORES ASEGURADOS</t>
  </si>
  <si>
    <t>Amparo vida Fallecimiento por cualquier causa</t>
  </si>
  <si>
    <t>Incapacidad Total y Permanente</t>
  </si>
  <si>
    <t>Indemnización  adicional por muerte Accidental</t>
  </si>
  <si>
    <t>Enfermedades Graves</t>
  </si>
  <si>
    <t>Auxilio Funerario</t>
  </si>
  <si>
    <t>SECRETARIO DE SERVICIOS PUBLICOS</t>
  </si>
  <si>
    <t>SECRETARIA DE DESARROLLO ECONOMICO Y AMBIENTE</t>
  </si>
  <si>
    <t>JEFE DE PRESUPUESTO</t>
  </si>
  <si>
    <t>SECRETARIA DE SALUD Y DESARROLLO SOCIAL</t>
  </si>
  <si>
    <t>SECRETARIA DE HACIENDA</t>
  </si>
  <si>
    <t>ORTIZ GARCIA DAVID ALEJANDRO</t>
  </si>
  <si>
    <t>CASTILLO QUIROGA RUBIELA</t>
  </si>
  <si>
    <t>CHAPARRO CAMARGO JULIO CESAR</t>
  </si>
  <si>
    <t>GARCIA ORTIZ DUBAN JOHAN</t>
  </si>
  <si>
    <t>MONTAÑO MONTAÑO JUAN IGNACIO</t>
  </si>
  <si>
    <t>PACHON ASCENCIO DIEGO ALEJANDRO</t>
  </si>
  <si>
    <t>PINZON BELLO BERNABE</t>
  </si>
  <si>
    <t>RODRIGUEZ GONZALEZ HECTOR EMILIO</t>
  </si>
  <si>
    <t>GOMEZ RINCON ELIAS</t>
  </si>
  <si>
    <t>ALCALDE MUNICIPAL</t>
  </si>
  <si>
    <t>SECRETARIA DE PERSONERIA</t>
  </si>
  <si>
    <t>SECRETARIO EJECUTIVO</t>
  </si>
  <si>
    <t>PRESIDENTE DEL CONCEJO MUNICIPAL</t>
  </si>
  <si>
    <t>TOTAL MOTOCICLETAS</t>
  </si>
  <si>
    <t>TOTAL OTROS VEHÍCULOS</t>
  </si>
  <si>
    <t>PEREZ LUNA SAUL</t>
  </si>
  <si>
    <t>AHUMADA SANCHEZ MARIA INES</t>
  </si>
  <si>
    <t>PACHON PALACIO YURY LUCIA</t>
  </si>
  <si>
    <t>PACHON RODRIGUEZ HELIA LISED</t>
  </si>
  <si>
    <t>PACHON AREVALO CLARA INES</t>
  </si>
  <si>
    <t>AMPAROS</t>
  </si>
  <si>
    <t>VR. ASEGURADO</t>
  </si>
  <si>
    <t>TODO RIESGO DAÑOS MATERIALES</t>
  </si>
  <si>
    <t>Edificaciones, sedes de gobierno, sedes Educativas y Otras Edificaciones</t>
  </si>
  <si>
    <t>Terrenos</t>
  </si>
  <si>
    <t>Contenidos</t>
  </si>
  <si>
    <t>Equipo medico y laboratorio</t>
  </si>
  <si>
    <t>Herramientas</t>
  </si>
  <si>
    <t>Equipo de oficina</t>
  </si>
  <si>
    <t>Licencias y software</t>
  </si>
  <si>
    <t>Maquinaria y Equipo  (Rotura)</t>
  </si>
  <si>
    <t>Muebles y enseres</t>
  </si>
  <si>
    <t>Instalaciones electricas y redes</t>
  </si>
  <si>
    <t>Dineros dentro y fuera de caja fuerte</t>
  </si>
  <si>
    <t>Instrumentos musicales</t>
  </si>
  <si>
    <t>Equipo de procesamiento de datos</t>
  </si>
  <si>
    <t>Equipos eletrico y electronico</t>
  </si>
  <si>
    <t>Equipos de comunicación</t>
  </si>
  <si>
    <t>Circuito cerrado de tv</t>
  </si>
  <si>
    <t>Equipo moviles y portatiles</t>
  </si>
  <si>
    <t xml:space="preserve">Adecuación a normas sismo Resistentes </t>
  </si>
  <si>
    <t>TOTAL ASEGURADO</t>
  </si>
  <si>
    <t>TODO RIESGO CONTRATISTA - MAQUINARIA Y EQUIPO</t>
  </si>
  <si>
    <t>Equipo y Maquinaria- Agricola y amarilla</t>
  </si>
  <si>
    <t>RESPONSABILIDAD CIVIL EXRANCONTRACTUAL</t>
  </si>
  <si>
    <t>Básico (P.L.O)</t>
  </si>
  <si>
    <t>RESPONSABILIDAD CIVIL SERVIDORES PUBLICOS</t>
  </si>
  <si>
    <t>Limite Asegurado</t>
  </si>
  <si>
    <t xml:space="preserve">MANEJO GLOBAL </t>
  </si>
  <si>
    <t>Manejo Global.</t>
  </si>
  <si>
    <t>AUTOMOVILES</t>
  </si>
  <si>
    <t>POLIZA DE SEGUROS DE ACCIDENTES PERSONALES PARA PASAJEROS Y/O RESPONSABILIDAD CIVIL CONTRACTUAL</t>
  </si>
  <si>
    <t>2 Automotores</t>
  </si>
  <si>
    <t>SOAT</t>
  </si>
  <si>
    <t>GRUPO VIDA CONCEJALES</t>
  </si>
  <si>
    <t>TOTAL ALCALDE, PERSONERO Y CONCEJALES</t>
  </si>
  <si>
    <t>vrs</t>
  </si>
  <si>
    <t>Calle 2 No. 2-55 - Tausa</t>
  </si>
  <si>
    <t>Calle 2 No. 3-05/13 - Tausa</t>
  </si>
  <si>
    <t xml:space="preserve">Casa de la cultura </t>
  </si>
  <si>
    <t xml:space="preserve">Lote - Tausa </t>
  </si>
  <si>
    <t>Casco Urbano -Tausa</t>
  </si>
  <si>
    <t>Casco urbano - Tausa</t>
  </si>
  <si>
    <t>Casco Urbano - Predio Las juntas - Tausa</t>
  </si>
  <si>
    <t>Tausa Vieja - Carrera 3 No. 2-13 - Tausa</t>
  </si>
  <si>
    <t>Calle 2 No. 4-80 - Tausa</t>
  </si>
  <si>
    <t>Urbanización San Alfonso - Tausa</t>
  </si>
  <si>
    <t>Calle 1A No. 6-29 - Tausa</t>
  </si>
  <si>
    <t>Calle 3 No. 2-20 - Tausa</t>
  </si>
  <si>
    <t>Vereda Rasgata - Tausa</t>
  </si>
  <si>
    <t>Vereda Rasgata - Lote 2 - Tausa</t>
  </si>
  <si>
    <t>Vereda Ladera Grande - Tausa</t>
  </si>
  <si>
    <t>Vereda Pajarito - Tausa</t>
  </si>
  <si>
    <t>Vereda Chorrillo -Tausa</t>
  </si>
  <si>
    <t>Vereda Lagunitas -Tausa</t>
  </si>
  <si>
    <t>Vereda Páramo Bajo - Tausa</t>
  </si>
  <si>
    <t>Vereda Llano Grande -Tausa</t>
  </si>
  <si>
    <t>Vereda Salitre -Tausa</t>
  </si>
  <si>
    <t>Vereda San Antonio - Tausa</t>
  </si>
  <si>
    <t>Vereda Sabaneque -Tausa</t>
  </si>
  <si>
    <t>Vereda Páramo Alto -Tausa</t>
  </si>
  <si>
    <t>Vereda los Pinos - Tausa</t>
  </si>
  <si>
    <t>Vereda la Florida - Tausa</t>
  </si>
  <si>
    <t>Vereda Pueblo Viejo - Lote La escuela - Tausa</t>
  </si>
  <si>
    <t>Calle 3 No. 4-2 - Tausa</t>
  </si>
  <si>
    <t>Vereda Rasgata - Predio Villa Laura - Tausa</t>
  </si>
  <si>
    <t>Vereda Chorrillo - Predio Carbonera -Tausa</t>
  </si>
  <si>
    <t>Centro Urbano -Tausa</t>
  </si>
  <si>
    <t>Tausa alta- Tausa</t>
  </si>
  <si>
    <t>Tausa vieja - Tausa</t>
  </si>
  <si>
    <t>Alto de Tausa - Tausa</t>
  </si>
  <si>
    <t>Tausa</t>
  </si>
  <si>
    <t>Vereda páramo Bajo- Tausa</t>
  </si>
  <si>
    <t>Vda La Granja- Tausa</t>
  </si>
  <si>
    <t>Vda San Antonio - Tausa</t>
  </si>
  <si>
    <t>Calle 1A No. 3-95 - Tausa</t>
  </si>
  <si>
    <t>Costado de la Plaza de mercado Municipal -Tausa</t>
  </si>
  <si>
    <t>Pueblo viejo - Tausa</t>
  </si>
  <si>
    <t>calle 3 con carrera 3 Esquina - Tausa</t>
  </si>
  <si>
    <t>Dentro de terreno del estadio municipal -Tausa</t>
  </si>
  <si>
    <t>Costado oriental de la Calle 2 entre Carrera 2 y Carrera 3  - Tausa</t>
  </si>
  <si>
    <t>Karrera 15 1 - 21 -Tausa</t>
  </si>
  <si>
    <t>OTROS TERRENOS</t>
  </si>
  <si>
    <t>Terreno Rural</t>
  </si>
  <si>
    <t>172-39187</t>
  </si>
  <si>
    <t>código catastral 00-00-00-00-0006-0406-0-00-00-0000</t>
  </si>
  <si>
    <t>Vereda Paramo Bajo - Tausa</t>
  </si>
  <si>
    <t>TOTAL TERRENOS</t>
  </si>
  <si>
    <t>MOTONIVELADORA CATERPILLAR modelo 120articular con motor cat c7.1 rango de potencia neta de 125-56hp, cerrada, aire acondicionado marca caterpilllar modelo 120</t>
  </si>
  <si>
    <t>1.0766.572.74</t>
  </si>
  <si>
    <t>LBE68G</t>
  </si>
  <si>
    <t>MOTOCICLETA YAMAHA XTZ125 CC. 124 MOD. 2023</t>
  </si>
  <si>
    <t>E3Y2E101278</t>
  </si>
  <si>
    <t>9FKDE092XP2101278</t>
  </si>
  <si>
    <t>INDICE VARIABLE  5%</t>
  </si>
  <si>
    <t>INDICE VARIABLE  EDIFICIOS 5%</t>
  </si>
  <si>
    <t>CON COBRO DE PRIMA ADICIONAL</t>
  </si>
  <si>
    <t>OSM904</t>
  </si>
  <si>
    <t>CAMIONETA CHEVROLET COLORADO DOBLE CABINA 2776CC MODELO 2023 PLACA OSM904</t>
  </si>
  <si>
    <t>LWNF222761082</t>
  </si>
  <si>
    <t>9BG148FK0PC427722</t>
  </si>
  <si>
    <t>Vencimiento</t>
  </si>
  <si>
    <t xml:space="preserve">LOZANO AMOROCHO LUIS FABIAN </t>
  </si>
  <si>
    <t>DESBROZADORA</t>
  </si>
  <si>
    <t>AGRIMEC</t>
  </si>
  <si>
    <t>01621103</t>
  </si>
  <si>
    <t>MAQUINARIA  EN REPOSO</t>
  </si>
  <si>
    <t>TOTAL MAQUINARIA EN REPOSO</t>
  </si>
  <si>
    <t>TOTAL VEHICULOS Y MAQUINARIA EN REPOSO</t>
  </si>
  <si>
    <t>SARMIENTO RODRIGUEZ JUAN PABLO</t>
  </si>
  <si>
    <t>Indice Variable</t>
  </si>
  <si>
    <t>Alcalde</t>
  </si>
  <si>
    <t xml:space="preserve">Personero </t>
  </si>
  <si>
    <t>9 Concejales</t>
  </si>
  <si>
    <t>Vehículos en Reposo</t>
  </si>
  <si>
    <t>Maquinaria en reposo</t>
  </si>
  <si>
    <t xml:space="preserve">CHAPARRO  CAMARGO JULIO CESAR </t>
  </si>
  <si>
    <t xml:space="preserve">FANDIÑO RINCON ERCY ESMERALDA </t>
  </si>
  <si>
    <t xml:space="preserve">QUIROGA CASTIBLANCO YEIMI PAOLA </t>
  </si>
  <si>
    <t>IVP08H</t>
  </si>
  <si>
    <t>MOTOCICLETA HONDA XR 150 CC. 149 MOD. 2025 SERVI OFICIAL</t>
  </si>
  <si>
    <t>KD07E3150533</t>
  </si>
  <si>
    <t>9FMKD0790SE015440</t>
  </si>
  <si>
    <t> 03454021</t>
  </si>
  <si>
    <t>18 Vehiculos</t>
  </si>
  <si>
    <t>ELSA POVEDA BELLO</t>
  </si>
  <si>
    <t>SILVA GOMEZ EDGAR ASMET</t>
  </si>
  <si>
    <t>PÓLIZA DE RESPONSABILIDAD CIVIL EXTRACONTRACTUAL</t>
  </si>
  <si>
    <t>PLO</t>
  </si>
  <si>
    <t>NIT. 899999481-9</t>
  </si>
  <si>
    <r>
      <t>OTRAS POLIZAS</t>
    </r>
    <r>
      <rPr>
        <sz val="9"/>
        <color indexed="8"/>
        <rFont val="Arial"/>
        <family val="2"/>
      </rPr>
      <t xml:space="preserve"> QUE EL MUNICIPIO ESTUVIERE OBLIGADO A ADQUIRIR,  dentro de las que pueden incluirse cumplimiento, responsabilidad  civil de convenios interad polizas de accidentes personales para personal a cargo del municipio durante competencias y/o salidas a que hubiere lugar</t>
    </r>
    <r>
      <rPr>
        <b/>
        <sz val="9"/>
        <color theme="1"/>
        <rFont val="Arial"/>
        <family val="2"/>
      </rPr>
      <t>.</t>
    </r>
  </si>
  <si>
    <r>
      <t xml:space="preserve">VOLQUETA CHEVROLET C70 149 CC. 8200 PLATON </t>
    </r>
    <r>
      <rPr>
        <b/>
        <sz val="9"/>
        <color rgb="FF000000"/>
        <rFont val="Arial"/>
        <family val="2"/>
      </rPr>
      <t>CARRO TANQUE</t>
    </r>
    <r>
      <rPr>
        <sz val="9"/>
        <color rgb="FF000000"/>
        <rFont val="Arial"/>
        <family val="2"/>
      </rPr>
      <t xml:space="preserve"> MOD. 1993  CAPAC. 7000  PLACA OJF581  </t>
    </r>
    <r>
      <rPr>
        <b/>
        <sz val="9"/>
        <color rgb="FF000000"/>
        <rFont val="Arial"/>
        <family val="2"/>
      </rPr>
      <t>BENEFICIARIO GOBERNACION DE CUNDINAMARCA</t>
    </r>
    <r>
      <rPr>
        <sz val="9"/>
        <color theme="1"/>
        <rFont val="Arial"/>
        <family val="2"/>
      </rPr>
      <t xml:space="preserve"> - MOTOR: MCO8123L86 - CHASIS: CMCO8123</t>
    </r>
  </si>
  <si>
    <r>
      <t xml:space="preserve">MOTOCICLETA YAMAHA XTZ125 C.C. 124 MOD. 2020 PLACA CIX16F </t>
    </r>
    <r>
      <rPr>
        <b/>
        <sz val="9"/>
        <color theme="1"/>
        <rFont val="Arial"/>
        <family val="2"/>
      </rPr>
      <t xml:space="preserve">BENEFICIARIO DEPARTAMENTO DE CUNDINAMARCA </t>
    </r>
  </si>
  <si>
    <t>TARIFA FASECOLDA 2026 (mayo)</t>
  </si>
  <si>
    <t>Seguro Obligatorio de Accidentes de Tránsito - S.OA.T.</t>
  </si>
  <si>
    <t>01603023</t>
  </si>
  <si>
    <t>Vr. SOAT
2026</t>
  </si>
  <si>
    <t>NIT. 89999481-9</t>
  </si>
  <si>
    <t>POLIZA GLOBAL DE MANEJO GLOBAL</t>
  </si>
  <si>
    <t>AMPARO</t>
  </si>
  <si>
    <t>,</t>
  </si>
  <si>
    <t>Motocicletas</t>
  </si>
  <si>
    <t xml:space="preserve">Otros Vehículos </t>
  </si>
  <si>
    <t xml:space="preserve">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</si>
</sst>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\ _€_-;\-* #,##0\ _€_-;_-* &quot;-&quot;\ _€_-;_-@_-"/>
    <numFmt numFmtId="171" formatCode="_-* #,##0.00\ _€_-;\-* #,##0.00\ _€_-;_-* &quot;-&quot;??\ _€_-;_-@_-"/>
    <numFmt numFmtId="172" formatCode="_(* #,##0_);_(* \(#,##0\);_(* &quot;-&quot;??_);_(@_)"/>
    <numFmt numFmtId="173" formatCode="0.0"/>
    <numFmt numFmtId="174" formatCode="_ * #,##0.00_ ;_ * \-#,##0.00_ ;_ * &quot;-&quot;??_ ;_ @_ "/>
    <numFmt numFmtId="175" formatCode="_ &quot;$&quot;\ * #,##0.00_ ;_ &quot;$&quot;\ * \-#,##0.00_ ;_ &quot;$&quot;\ * &quot;-&quot;??_ ;_ @_ "/>
    <numFmt numFmtId="176" formatCode="_(&quot;$&quot;\ * #,##0_);_(&quot;$&quot;\ * \(#,##0\);_(&quot;$&quot;\ * &quot;-&quot;??_);_(@_)"/>
    <numFmt numFmtId="177" formatCode="[$-240A]d&quot; de &quot;mmmm&quot; de &quot;yyyy;@"/>
    <numFmt numFmtId="178" formatCode="_-* #,##0.00\ _D_M_-;\-* #,##0.00\ _D_M_-;_-* &quot;-&quot;??\ _D_M_-;_-@_-"/>
    <numFmt numFmtId="179" formatCode="&quot;$&quot;\ #,##0"/>
    <numFmt numFmtId="180" formatCode="#,##0.00;\(#,##0.00\)"/>
    <numFmt numFmtId="181" formatCode="d/mm/yyyy;@"/>
    <numFmt numFmtId="182" formatCode="_(* #,##0.0_);_(* \(#,##0.0\);_(* &quot;-&quot;??_);_(@_)"/>
    <numFmt numFmtId="183" formatCode="_ * #,##0.00_ ;_ * \-#,##0.00_ ;_ * \-??_ ;_ @_ "/>
    <numFmt numFmtId="184" formatCode="_-[$€-2]* #,##0.00_-;\-[$€-2]* #,##0.00_-;_-[$€-2]* \-??_-"/>
    <numFmt numFmtId="185" formatCode="_-[$€-2]* #,##0.00_-;\-[$€-2]* #,##0.00_-;_-[$€-2]* &quot;-&quot;??_-"/>
    <numFmt numFmtId="186" formatCode="_ [$€-2]\ * #,##0.00_ ;_ [$€-2]\ * \-#,##0.00_ ;_ [$€-2]\ * &quot;-&quot;??_ "/>
    <numFmt numFmtId="187" formatCode="_ [$€-2]\ * #,##0.00_ ;_ [$€-2]\ * \-#,##0.00_ ;_ [$€-2]\ * \-??_ "/>
    <numFmt numFmtId="188" formatCode="_-* #,##0_-;\-* #,##0_-;_-* \-_-;_-@_-"/>
    <numFmt numFmtId="189" formatCode="_-* #,##0.00_-;\-* #,##0.00_-;_-* \-??_-;_-@_-"/>
    <numFmt numFmtId="190" formatCode="_(* #,##0.00_);_(* \(#,##0.00\);_(* \-??_);_(@_)"/>
    <numFmt numFmtId="191" formatCode="0.0000"/>
    <numFmt numFmtId="192" formatCode="_-* #,##0\ _€_-;\-* #,##0\ _€_-;_-* &quot;- &quot;_€_-;_-@_-"/>
    <numFmt numFmtId="193" formatCode="_-* #,##0.00\ _€_-;\-* #,##0.00\ _€_-;_-* \-??\ _€_-;_-@_-"/>
    <numFmt numFmtId="194" formatCode="[$$-240A]\ #,##0"/>
    <numFmt numFmtId="195" formatCode="_(&quot;$ &quot;* #,##0_);_(&quot;$ &quot;* \(#,##0\);_(&quot;$ &quot;* \-_);_(@_)"/>
    <numFmt numFmtId="196" formatCode="_-\$* #,##0.00_-;&quot;-$&quot;* #,##0.00_-;_-\$* \-??_-;_-@_-"/>
    <numFmt numFmtId="197" formatCode="_ &quot;$ &quot;* #,##0.00_ ;_ &quot;$ &quot;* \-#,##0.00_ ;_ &quot;$ &quot;* \-??_ ;_ @_ "/>
    <numFmt numFmtId="198" formatCode="_-* #,##0.00\ _F_-;\-* #,##0.00\ _F_-;_-* &quot;-&quot;??\ _F_-;_-@_-"/>
    <numFmt numFmtId="199" formatCode="_-* #,##0.00\ _F_-;\-* #,##0.00\ _F_-;_-* \-??\ _F_-;_-@_-"/>
    <numFmt numFmtId="200" formatCode="_-* #,##0_-;\-* #,##0_-;_-* \-??_-;_-@_-"/>
    <numFmt numFmtId="201" formatCode="&quot;$ &quot;#,##0_);[Red]&quot;($ &quot;#,##0\)"/>
    <numFmt numFmtId="202" formatCode="_(&quot;$ &quot;* #,##0.00_);_(&quot;$ &quot;* \(#,##0.00\);_(&quot;$ &quot;* \-??_);_(@_)"/>
    <numFmt numFmtId="203" formatCode="_-* #,##0_-;\-* #,##0_-;_-* &quot;-&quot;??_-;_-@_-"/>
    <numFmt numFmtId="204" formatCode="dd/mm/yyyy;@"/>
    <numFmt numFmtId="205" formatCode="#,##0.00000"/>
  </numFmts>
  <fonts count="9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6" tint="-0.499984740745262"/>
      <name val="Albertus Extra Bold"/>
      <family val="2"/>
    </font>
    <font>
      <b/>
      <sz val="8"/>
      <color theme="6" tint="-0.499984740745262"/>
      <name val="Arial"/>
      <family val="2"/>
    </font>
    <font>
      <b/>
      <sz val="9"/>
      <color rgb="FF000000"/>
      <name val="Verdana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10"/>
      <color rgb="FFFF0000"/>
      <name val="Arial"/>
      <family val="2"/>
    </font>
    <font>
      <b/>
      <i/>
      <sz val="10"/>
      <color rgb="FF203864"/>
      <name val="Century Gothic"/>
      <family val="2"/>
    </font>
    <font>
      <i/>
      <sz val="10"/>
      <color rgb="FFC55A11"/>
      <name val="Sylfaen"/>
      <family val="1"/>
    </font>
    <font>
      <b/>
      <i/>
      <sz val="9"/>
      <color rgb="FF203864"/>
      <name val="Century Gothic"/>
      <family val="2"/>
    </font>
    <font>
      <u/>
      <sz val="10"/>
      <color theme="1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color theme="1"/>
      <name val="Arial "/>
    </font>
    <font>
      <b/>
      <sz val="9"/>
      <name val="Arial"/>
      <family val="2"/>
    </font>
    <font>
      <sz val="9"/>
      <color theme="1"/>
      <name val="Arial"/>
      <family val="2"/>
    </font>
    <font>
      <b/>
      <sz val="14"/>
      <name val="Arial"/>
      <family val="2"/>
    </font>
    <font>
      <sz val="7"/>
      <color indexed="8"/>
      <name val="Arial"/>
      <family val="2"/>
    </font>
    <font>
      <sz val="8"/>
      <color indexed="8"/>
      <name val="Arial Narrow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theme="1"/>
      <name val="Arial"/>
      <family val="2"/>
    </font>
    <font>
      <b/>
      <sz val="2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color indexed="8"/>
      <name val="Tahoma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rgb="FFFF0000"/>
      <name val="Verdana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indexed="8"/>
      <name val="Arial"/>
      <family val="2"/>
    </font>
    <font>
      <b/>
      <i/>
      <sz val="9"/>
      <color theme="1"/>
      <name val="Arial"/>
      <family val="2"/>
    </font>
    <font>
      <b/>
      <sz val="9"/>
      <color rgb="FF0033CC"/>
      <name val="Arial"/>
      <family val="2"/>
    </font>
    <font>
      <sz val="9"/>
      <color rgb="FF0033CC"/>
      <name val="Arial"/>
      <family val="2"/>
    </font>
    <font>
      <sz val="9"/>
      <color rgb="FFFF0000"/>
      <name val="Arial"/>
      <family val="2"/>
    </font>
    <font>
      <b/>
      <sz val="9"/>
      <color rgb="FFFF3300"/>
      <name val="Arial"/>
      <family val="2"/>
    </font>
    <font>
      <sz val="9"/>
      <color theme="0"/>
      <name val="Arial"/>
      <family val="2"/>
    </font>
    <font>
      <sz val="9"/>
      <color rgb="FFED0000"/>
      <name val="Arial"/>
      <family val="2"/>
    </font>
    <font>
      <sz val="9"/>
      <color rgb="FF009688"/>
      <name val="Arial"/>
      <family val="2"/>
    </font>
    <font>
      <b/>
      <sz val="9"/>
      <color theme="0"/>
      <name val="Arial"/>
      <family val="2"/>
    </font>
    <font>
      <b/>
      <i/>
      <sz val="9"/>
      <name val="Arial"/>
      <family val="2"/>
    </font>
    <font>
      <b/>
      <i/>
      <sz val="9"/>
      <color theme="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921">
    <xf numFmtId="177" fontId="0" fillId="0" borderId="0"/>
    <xf numFmtId="169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7" fontId="11" fillId="0" borderId="0"/>
    <xf numFmtId="177" fontId="11" fillId="0" borderId="0"/>
    <xf numFmtId="177" fontId="11" fillId="0" borderId="0"/>
    <xf numFmtId="43" fontId="11" fillId="0" borderId="0" applyFon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NumberForma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7" fontId="11" fillId="0" borderId="0"/>
    <xf numFmtId="177" fontId="11" fillId="0" borderId="0"/>
    <xf numFmtId="177" fontId="11" fillId="0" borderId="0"/>
    <xf numFmtId="177" fontId="11" fillId="0" borderId="0"/>
    <xf numFmtId="177" fontId="11" fillId="0" borderId="0"/>
    <xf numFmtId="177" fontId="11" fillId="0" borderId="0"/>
    <xf numFmtId="177" fontId="11" fillId="0" borderId="0"/>
    <xf numFmtId="177" fontId="11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7" fontId="33" fillId="0" borderId="0" applyNumberFormat="0" applyFill="0" applyBorder="0" applyAlignment="0" applyProtection="0"/>
    <xf numFmtId="177" fontId="8" fillId="0" borderId="0"/>
    <xf numFmtId="168" fontId="8" fillId="0" borderId="0" applyFont="0" applyFill="0" applyBorder="0" applyAlignment="0" applyProtection="0"/>
    <xf numFmtId="177" fontId="9" fillId="0" borderId="0"/>
    <xf numFmtId="177" fontId="9" fillId="0" borderId="0"/>
    <xf numFmtId="177" fontId="35" fillId="0" borderId="0"/>
    <xf numFmtId="0" fontId="7" fillId="0" borderId="0"/>
    <xf numFmtId="169" fontId="7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1" borderId="0" applyNumberFormat="0" applyBorder="0" applyAlignment="0" applyProtection="0"/>
    <xf numFmtId="0" fontId="48" fillId="11" borderId="0" applyNumberFormat="0" applyBorder="0" applyAlignment="0" applyProtection="0"/>
    <xf numFmtId="0" fontId="48" fillId="17" borderId="0" applyNumberFormat="0" applyBorder="0" applyAlignment="0" applyProtection="0"/>
    <xf numFmtId="0" fontId="48" fillId="17" borderId="0" applyNumberFormat="0" applyBorder="0" applyAlignment="0" applyProtection="0"/>
    <xf numFmtId="0" fontId="48" fillId="11" borderId="0" applyNumberFormat="0" applyBorder="0" applyAlignment="0" applyProtection="0"/>
    <xf numFmtId="0" fontId="48" fillId="17" borderId="0" applyNumberFormat="0" applyBorder="0" applyAlignment="0" applyProtection="0"/>
    <xf numFmtId="0" fontId="48" fillId="11" borderId="0" applyNumberFormat="0" applyBorder="0" applyAlignment="0" applyProtection="0"/>
    <xf numFmtId="0" fontId="48" fillId="17" borderId="0" applyNumberFormat="0" applyBorder="0" applyAlignment="0" applyProtection="0"/>
    <xf numFmtId="0" fontId="48" fillId="12" borderId="0" applyNumberFormat="0" applyBorder="0" applyAlignment="0" applyProtection="0"/>
    <xf numFmtId="0" fontId="48" fillId="12" borderId="0" applyNumberFormat="0" applyBorder="0" applyAlignment="0" applyProtection="0"/>
    <xf numFmtId="0" fontId="48" fillId="18" borderId="0" applyNumberFormat="0" applyBorder="0" applyAlignment="0" applyProtection="0"/>
    <xf numFmtId="0" fontId="48" fillId="18" borderId="0" applyNumberFormat="0" applyBorder="0" applyAlignment="0" applyProtection="0"/>
    <xf numFmtId="0" fontId="48" fillId="12" borderId="0" applyNumberFormat="0" applyBorder="0" applyAlignment="0" applyProtection="0"/>
    <xf numFmtId="0" fontId="48" fillId="18" borderId="0" applyNumberFormat="0" applyBorder="0" applyAlignment="0" applyProtection="0"/>
    <xf numFmtId="0" fontId="48" fillId="12" borderId="0" applyNumberFormat="0" applyBorder="0" applyAlignment="0" applyProtection="0"/>
    <xf numFmtId="0" fontId="48" fillId="18" borderId="0" applyNumberFormat="0" applyBorder="0" applyAlignment="0" applyProtection="0"/>
    <xf numFmtId="0" fontId="48" fillId="13" borderId="0" applyNumberFormat="0" applyBorder="0" applyAlignment="0" applyProtection="0"/>
    <xf numFmtId="0" fontId="48" fillId="13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3" borderId="0" applyNumberFormat="0" applyBorder="0" applyAlignment="0" applyProtection="0"/>
    <xf numFmtId="0" fontId="48" fillId="19" borderId="0" applyNumberFormat="0" applyBorder="0" applyAlignment="0" applyProtection="0"/>
    <xf numFmtId="0" fontId="48" fillId="13" borderId="0" applyNumberFormat="0" applyBorder="0" applyAlignment="0" applyProtection="0"/>
    <xf numFmtId="0" fontId="48" fillId="19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48" fillId="15" borderId="0" applyNumberFormat="0" applyBorder="0" applyAlignment="0" applyProtection="0"/>
    <xf numFmtId="0" fontId="48" fillId="21" borderId="0" applyNumberFormat="0" applyBorder="0" applyAlignment="0" applyProtection="0"/>
    <xf numFmtId="0" fontId="48" fillId="15" borderId="0" applyNumberFormat="0" applyBorder="0" applyAlignment="0" applyProtection="0"/>
    <xf numFmtId="0" fontId="48" fillId="21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48" fillId="22" borderId="0" applyNumberFormat="0" applyBorder="0" applyAlignment="0" applyProtection="0"/>
    <xf numFmtId="0" fontId="48" fillId="22" borderId="0" applyNumberFormat="0" applyBorder="0" applyAlignment="0" applyProtection="0"/>
    <xf numFmtId="0" fontId="48" fillId="16" borderId="0" applyNumberFormat="0" applyBorder="0" applyAlignment="0" applyProtection="0"/>
    <xf numFmtId="0" fontId="48" fillId="22" borderId="0" applyNumberFormat="0" applyBorder="0" applyAlignment="0" applyProtection="0"/>
    <xf numFmtId="0" fontId="48" fillId="16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14" borderId="0" applyNumberFormat="0" applyBorder="0" applyAlignment="0" applyProtection="0"/>
    <xf numFmtId="0" fontId="48" fillId="23" borderId="0" applyNumberFormat="0" applyBorder="0" applyAlignment="0" applyProtection="0"/>
    <xf numFmtId="0" fontId="48" fillId="26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28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8" fillId="29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8" fillId="14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14" borderId="0" applyNumberFormat="0" applyBorder="0" applyAlignment="0" applyProtection="0"/>
    <xf numFmtId="0" fontId="48" fillId="20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3" borderId="0" applyNumberFormat="0" applyBorder="0" applyAlignment="0" applyProtection="0"/>
    <xf numFmtId="0" fontId="48" fillId="27" borderId="0" applyNumberFormat="0" applyBorder="0" applyAlignment="0" applyProtection="0"/>
    <xf numFmtId="0" fontId="48" fillId="26" borderId="0" applyNumberFormat="0" applyBorder="0" applyAlignment="0" applyProtection="0"/>
    <xf numFmtId="0" fontId="48" fillId="26" borderId="0" applyNumberFormat="0" applyBorder="0" applyAlignment="0" applyProtection="0"/>
    <xf numFmtId="0" fontId="48" fillId="30" borderId="0" applyNumberFormat="0" applyBorder="0" applyAlignment="0" applyProtection="0"/>
    <xf numFmtId="0" fontId="48" fillId="30" borderId="0" applyNumberFormat="0" applyBorder="0" applyAlignment="0" applyProtection="0"/>
    <xf numFmtId="0" fontId="48" fillId="26" borderId="0" applyNumberFormat="0" applyBorder="0" applyAlignment="0" applyProtection="0"/>
    <xf numFmtId="0" fontId="48" fillId="30" borderId="0" applyNumberFormat="0" applyBorder="0" applyAlignment="0" applyProtection="0"/>
    <xf numFmtId="0" fontId="48" fillId="26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1" borderId="0" applyNumberFormat="0" applyBorder="0" applyAlignment="0" applyProtection="0"/>
    <xf numFmtId="0" fontId="49" fillId="31" borderId="0" applyNumberFormat="0" applyBorder="0" applyAlignment="0" applyProtection="0"/>
    <xf numFmtId="0" fontId="49" fillId="35" borderId="0" applyNumberFormat="0" applyBorder="0" applyAlignment="0" applyProtection="0"/>
    <xf numFmtId="0" fontId="49" fillId="35" borderId="0" applyNumberFormat="0" applyBorder="0" applyAlignment="0" applyProtection="0"/>
    <xf numFmtId="0" fontId="49" fillId="31" borderId="0" applyNumberFormat="0" applyBorder="0" applyAlignment="0" applyProtection="0"/>
    <xf numFmtId="0" fontId="49" fillId="35" borderId="0" applyNumberFormat="0" applyBorder="0" applyAlignment="0" applyProtection="0"/>
    <xf numFmtId="0" fontId="49" fillId="31" borderId="0" applyNumberFormat="0" applyBorder="0" applyAlignment="0" applyProtection="0"/>
    <xf numFmtId="0" fontId="49" fillId="35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4" borderId="0" applyNumberFormat="0" applyBorder="0" applyAlignment="0" applyProtection="0"/>
    <xf numFmtId="0" fontId="49" fillId="28" borderId="0" applyNumberFormat="0" applyBorder="0" applyAlignment="0" applyProtection="0"/>
    <xf numFmtId="0" fontId="49" fillId="24" borderId="0" applyNumberFormat="0" applyBorder="0" applyAlignment="0" applyProtection="0"/>
    <xf numFmtId="0" fontId="49" fillId="28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5" borderId="0" applyNumberFormat="0" applyBorder="0" applyAlignment="0" applyProtection="0"/>
    <xf numFmtId="0" fontId="49" fillId="29" borderId="0" applyNumberFormat="0" applyBorder="0" applyAlignment="0" applyProtection="0"/>
    <xf numFmtId="0" fontId="49" fillId="25" borderId="0" applyNumberFormat="0" applyBorder="0" applyAlignment="0" applyProtection="0"/>
    <xf numFmtId="0" fontId="49" fillId="29" borderId="0" applyNumberFormat="0" applyBorder="0" applyAlignment="0" applyProtection="0"/>
    <xf numFmtId="0" fontId="49" fillId="32" borderId="0" applyNumberFormat="0" applyBorder="0" applyAlignment="0" applyProtection="0"/>
    <xf numFmtId="0" fontId="49" fillId="32" borderId="0" applyNumberFormat="0" applyBorder="0" applyAlignment="0" applyProtection="0"/>
    <xf numFmtId="0" fontId="49" fillId="36" borderId="0" applyNumberFormat="0" applyBorder="0" applyAlignment="0" applyProtection="0"/>
    <xf numFmtId="0" fontId="49" fillId="36" borderId="0" applyNumberFormat="0" applyBorder="0" applyAlignment="0" applyProtection="0"/>
    <xf numFmtId="0" fontId="49" fillId="32" borderId="0" applyNumberFormat="0" applyBorder="0" applyAlignment="0" applyProtection="0"/>
    <xf numFmtId="0" fontId="49" fillId="36" borderId="0" applyNumberFormat="0" applyBorder="0" applyAlignment="0" applyProtection="0"/>
    <xf numFmtId="0" fontId="49" fillId="32" borderId="0" applyNumberFormat="0" applyBorder="0" applyAlignment="0" applyProtection="0"/>
    <xf numFmtId="0" fontId="49" fillId="36" borderId="0" applyNumberFormat="0" applyBorder="0" applyAlignment="0" applyProtection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34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38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49" fillId="42" borderId="0" applyNumberFormat="0" applyBorder="0" applyAlignment="0" applyProtection="0"/>
    <xf numFmtId="0" fontId="50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3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51" fillId="13" borderId="0" applyNumberFormat="0" applyBorder="0" applyAlignment="0" applyProtection="0"/>
    <xf numFmtId="0" fontId="51" fillId="19" borderId="0" applyNumberFormat="0" applyBorder="0" applyAlignment="0" applyProtection="0"/>
    <xf numFmtId="0" fontId="51" fillId="13" borderId="0" applyNumberFormat="0" applyBorder="0" applyAlignment="0" applyProtection="0"/>
    <xf numFmtId="0" fontId="51" fillId="19" borderId="0" applyNumberFormat="0" applyBorder="0" applyAlignment="0" applyProtection="0"/>
    <xf numFmtId="0" fontId="52" fillId="43" borderId="6" applyNumberFormat="0" applyAlignment="0" applyProtection="0"/>
    <xf numFmtId="0" fontId="52" fillId="43" borderId="6" applyNumberFormat="0" applyAlignment="0" applyProtection="0"/>
    <xf numFmtId="0" fontId="52" fillId="43" borderId="6" applyNumberFormat="0" applyAlignment="0" applyProtection="0"/>
    <xf numFmtId="0" fontId="52" fillId="44" borderId="6" applyNumberFormat="0" applyAlignment="0" applyProtection="0"/>
    <xf numFmtId="0" fontId="52" fillId="44" borderId="6" applyNumberFormat="0" applyAlignment="0" applyProtection="0"/>
    <xf numFmtId="0" fontId="52" fillId="43" borderId="6" applyNumberFormat="0" applyAlignment="0" applyProtection="0"/>
    <xf numFmtId="0" fontId="52" fillId="44" borderId="6" applyNumberFormat="0" applyAlignment="0" applyProtection="0"/>
    <xf numFmtId="0" fontId="52" fillId="43" borderId="6" applyNumberFormat="0" applyAlignment="0" applyProtection="0"/>
    <xf numFmtId="0" fontId="52" fillId="44" borderId="6" applyNumberFormat="0" applyAlignment="0" applyProtection="0"/>
    <xf numFmtId="0" fontId="53" fillId="45" borderId="7" applyNumberFormat="0" applyAlignment="0" applyProtection="0"/>
    <xf numFmtId="0" fontId="53" fillId="45" borderId="7" applyNumberFormat="0" applyAlignment="0" applyProtection="0"/>
    <xf numFmtId="0" fontId="53" fillId="46" borderId="7" applyNumberFormat="0" applyAlignment="0" applyProtection="0"/>
    <xf numFmtId="0" fontId="53" fillId="46" borderId="7" applyNumberFormat="0" applyAlignment="0" applyProtection="0"/>
    <xf numFmtId="0" fontId="53" fillId="45" borderId="7" applyNumberFormat="0" applyAlignment="0" applyProtection="0"/>
    <xf numFmtId="0" fontId="53" fillId="46" borderId="7" applyNumberFormat="0" applyAlignment="0" applyProtection="0"/>
    <xf numFmtId="0" fontId="53" fillId="45" borderId="7" applyNumberFormat="0" applyAlignment="0" applyProtection="0"/>
    <xf numFmtId="0" fontId="53" fillId="46" borderId="7" applyNumberFormat="0" applyAlignment="0" applyProtection="0"/>
    <xf numFmtId="0" fontId="54" fillId="0" borderId="8" applyNumberFormat="0" applyFill="0" applyAlignment="0" applyProtection="0"/>
    <xf numFmtId="0" fontId="54" fillId="0" borderId="8" applyNumberFormat="0" applyFill="0" applyAlignment="0" applyProtection="0"/>
    <xf numFmtId="0" fontId="54" fillId="0" borderId="8" applyNumberFormat="0" applyFill="0" applyAlignment="0" applyProtection="0"/>
    <xf numFmtId="0" fontId="54" fillId="0" borderId="8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9" fillId="39" borderId="0" applyNumberFormat="0" applyBorder="0" applyAlignment="0" applyProtection="0"/>
    <xf numFmtId="0" fontId="49" fillId="39" borderId="0" applyNumberFormat="0" applyBorder="0" applyAlignment="0" applyProtection="0"/>
    <xf numFmtId="0" fontId="9" fillId="0" borderId="0"/>
    <xf numFmtId="0" fontId="9" fillId="0" borderId="0"/>
    <xf numFmtId="0" fontId="49" fillId="39" borderId="0" applyNumberFormat="0" applyBorder="0" applyAlignment="0" applyProtection="0"/>
    <xf numFmtId="0" fontId="9" fillId="0" borderId="0"/>
    <xf numFmtId="0" fontId="49" fillId="39" borderId="0" applyNumberFormat="0" applyBorder="0" applyAlignment="0" applyProtection="0"/>
    <xf numFmtId="0" fontId="9" fillId="0" borderId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9" fillId="0" borderId="0"/>
    <xf numFmtId="0" fontId="9" fillId="0" borderId="0"/>
    <xf numFmtId="0" fontId="49" fillId="40" borderId="0" applyNumberFormat="0" applyBorder="0" applyAlignment="0" applyProtection="0"/>
    <xf numFmtId="0" fontId="9" fillId="0" borderId="0"/>
    <xf numFmtId="0" fontId="49" fillId="40" borderId="0" applyNumberFormat="0" applyBorder="0" applyAlignment="0" applyProtection="0"/>
    <xf numFmtId="0" fontId="9" fillId="0" borderId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9" fillId="0" borderId="0"/>
    <xf numFmtId="0" fontId="9" fillId="0" borderId="0"/>
    <xf numFmtId="0" fontId="49" fillId="41" borderId="0" applyNumberFormat="0" applyBorder="0" applyAlignment="0" applyProtection="0"/>
    <xf numFmtId="0" fontId="9" fillId="0" borderId="0"/>
    <xf numFmtId="0" fontId="49" fillId="41" borderId="0" applyNumberFormat="0" applyBorder="0" applyAlignment="0" applyProtection="0"/>
    <xf numFmtId="0" fontId="9" fillId="0" borderId="0"/>
    <xf numFmtId="0" fontId="49" fillId="32" borderId="0" applyNumberFormat="0" applyBorder="0" applyAlignment="0" applyProtection="0"/>
    <xf numFmtId="0" fontId="49" fillId="32" borderId="0" applyNumberFormat="0" applyBorder="0" applyAlignment="0" applyProtection="0"/>
    <xf numFmtId="0" fontId="9" fillId="0" borderId="0"/>
    <xf numFmtId="0" fontId="9" fillId="0" borderId="0"/>
    <xf numFmtId="0" fontId="49" fillId="32" borderId="0" applyNumberFormat="0" applyBorder="0" applyAlignment="0" applyProtection="0"/>
    <xf numFmtId="0" fontId="9" fillId="0" borderId="0"/>
    <xf numFmtId="0" fontId="49" fillId="32" borderId="0" applyNumberFormat="0" applyBorder="0" applyAlignment="0" applyProtection="0"/>
    <xf numFmtId="0" fontId="9" fillId="0" borderId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9" fillId="0" borderId="0"/>
    <xf numFmtId="0" fontId="9" fillId="0" borderId="0"/>
    <xf numFmtId="0" fontId="49" fillId="33" borderId="0" applyNumberFormat="0" applyBorder="0" applyAlignment="0" applyProtection="0"/>
    <xf numFmtId="0" fontId="9" fillId="0" borderId="0"/>
    <xf numFmtId="0" fontId="49" fillId="33" borderId="0" applyNumberFormat="0" applyBorder="0" applyAlignment="0" applyProtection="0"/>
    <xf numFmtId="0" fontId="9" fillId="0" borderId="0"/>
    <xf numFmtId="0" fontId="49" fillId="42" borderId="0" applyNumberFormat="0" applyBorder="0" applyAlignment="0" applyProtection="0"/>
    <xf numFmtId="0" fontId="49" fillId="42" borderId="0" applyNumberFormat="0" applyBorder="0" applyAlignment="0" applyProtection="0"/>
    <xf numFmtId="0" fontId="9" fillId="0" borderId="0"/>
    <xf numFmtId="0" fontId="9" fillId="0" borderId="0"/>
    <xf numFmtId="0" fontId="49" fillId="42" borderId="0" applyNumberFormat="0" applyBorder="0" applyAlignment="0" applyProtection="0"/>
    <xf numFmtId="0" fontId="9" fillId="0" borderId="0"/>
    <xf numFmtId="0" fontId="49" fillId="42" borderId="0" applyNumberFormat="0" applyBorder="0" applyAlignment="0" applyProtection="0"/>
    <xf numFmtId="0" fontId="9" fillId="0" borderId="0"/>
    <xf numFmtId="0" fontId="56" fillId="16" borderId="6" applyNumberFormat="0" applyAlignment="0" applyProtection="0"/>
    <xf numFmtId="0" fontId="56" fillId="16" borderId="6" applyNumberFormat="0" applyAlignment="0" applyProtection="0"/>
    <xf numFmtId="0" fontId="56" fillId="22" borderId="6" applyNumberFormat="0" applyAlignment="0" applyProtection="0"/>
    <xf numFmtId="0" fontId="56" fillId="22" borderId="6" applyNumberFormat="0" applyAlignment="0" applyProtection="0"/>
    <xf numFmtId="0" fontId="56" fillId="16" borderId="6" applyNumberFormat="0" applyAlignment="0" applyProtection="0"/>
    <xf numFmtId="0" fontId="56" fillId="22" borderId="6" applyNumberFormat="0" applyAlignment="0" applyProtection="0"/>
    <xf numFmtId="0" fontId="56" fillId="16" borderId="6" applyNumberFormat="0" applyAlignment="0" applyProtection="0"/>
    <xf numFmtId="0" fontId="56" fillId="22" borderId="6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6" fontId="9" fillId="0" borderId="0" applyFont="0" applyFill="0" applyBorder="0" applyAlignment="0" applyProtection="0"/>
    <xf numFmtId="187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5" fontId="9" fillId="0" borderId="0" applyFont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9" applyNumberFormat="0" applyFill="0" applyAlignment="0" applyProtection="0"/>
    <xf numFmtId="0" fontId="59" fillId="0" borderId="10" applyNumberFormat="0" applyFill="0" applyAlignment="0" applyProtection="0"/>
    <xf numFmtId="0" fontId="55" fillId="0" borderId="11" applyNumberFormat="0" applyFill="0" applyAlignment="0" applyProtection="0"/>
    <xf numFmtId="0" fontId="50" fillId="12" borderId="0" applyNumberFormat="0" applyBorder="0" applyAlignment="0" applyProtection="0"/>
    <xf numFmtId="0" fontId="50" fillId="12" borderId="0" applyNumberFormat="0" applyBorder="0" applyAlignment="0" applyProtection="0"/>
    <xf numFmtId="0" fontId="50" fillId="18" borderId="0" applyNumberFormat="0" applyBorder="0" applyAlignment="0" applyProtection="0"/>
    <xf numFmtId="0" fontId="50" fillId="18" borderId="0" applyNumberFormat="0" applyBorder="0" applyAlignment="0" applyProtection="0"/>
    <xf numFmtId="0" fontId="50" fillId="12" borderId="0" applyNumberFormat="0" applyBorder="0" applyAlignment="0" applyProtection="0"/>
    <xf numFmtId="0" fontId="50" fillId="18" borderId="0" applyNumberFormat="0" applyBorder="0" applyAlignment="0" applyProtection="0"/>
    <xf numFmtId="0" fontId="50" fillId="12" borderId="0" applyNumberFormat="0" applyBorder="0" applyAlignment="0" applyProtection="0"/>
    <xf numFmtId="0" fontId="50" fillId="18" borderId="0" applyNumberFormat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88" fontId="9" fillId="0" borderId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190" fontId="9" fillId="0" borderId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48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191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92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89" fontId="9" fillId="0" borderId="0" applyFill="0" applyBorder="0" applyAlignment="0" applyProtection="0"/>
    <xf numFmtId="170" fontId="9" fillId="0" borderId="0" applyFont="0" applyFill="0" applyBorder="0" applyAlignment="0" applyProtection="0"/>
    <xf numFmtId="192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89" fontId="9" fillId="0" borderId="0" applyFill="0" applyBorder="0" applyAlignment="0" applyProtection="0"/>
    <xf numFmtId="171" fontId="9" fillId="0" borderId="0" applyFont="0" applyFill="0" applyBorder="0" applyAlignment="0" applyProtection="0"/>
    <xf numFmtId="193" fontId="9" fillId="0" borderId="0" applyFill="0" applyBorder="0" applyAlignment="0" applyProtection="0"/>
    <xf numFmtId="43" fontId="48" fillId="0" borderId="0" applyFont="0" applyFill="0" applyBorder="0" applyAlignment="0" applyProtection="0"/>
    <xf numFmtId="170" fontId="9" fillId="0" borderId="0" applyFont="0" applyFill="0" applyBorder="0" applyAlignment="0" applyProtection="0"/>
    <xf numFmtId="192" fontId="9" fillId="0" borderId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189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74" fontId="9" fillId="0" borderId="0" applyFont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83" fontId="9" fillId="0" borderId="0" applyFill="0" applyBorder="0" applyAlignment="0" applyProtection="0"/>
    <xf numFmtId="194" fontId="48" fillId="0" borderId="0" applyFont="0" applyFill="0" applyBorder="0" applyAlignment="0" applyProtection="0"/>
    <xf numFmtId="194" fontId="9" fillId="0" borderId="0" applyFill="0" applyBorder="0" applyAlignment="0" applyProtection="0"/>
    <xf numFmtId="166" fontId="35" fillId="0" borderId="0"/>
    <xf numFmtId="195" fontId="35" fillId="0" borderId="0"/>
    <xf numFmtId="43" fontId="9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60" fillId="0" borderId="0" applyFont="0" applyFill="0" applyBorder="0" applyAlignment="0" applyProtection="0"/>
    <xf numFmtId="189" fontId="9" fillId="0" borderId="0" applyFill="0" applyBorder="0" applyAlignment="0" applyProtection="0"/>
    <xf numFmtId="43" fontId="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9" fontId="9" fillId="0" borderId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90" fontId="9" fillId="0" borderId="0" applyFill="0" applyBorder="0" applyAlignment="0" applyProtection="0"/>
    <xf numFmtId="190" fontId="9" fillId="0" borderId="0" applyFill="0" applyBorder="0" applyAlignment="0" applyProtection="0"/>
    <xf numFmtId="168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96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8" fontId="9" fillId="0" borderId="0" applyFont="0" applyFill="0" applyBorder="0" applyAlignment="0" applyProtection="0"/>
    <xf numFmtId="199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85" fontId="48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84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85" fontId="48" fillId="0" borderId="0" applyFont="0" applyFill="0" applyBorder="0" applyAlignment="0" applyProtection="0"/>
    <xf numFmtId="184" fontId="9" fillId="0" borderId="0" applyFill="0" applyBorder="0" applyAlignment="0" applyProtection="0"/>
    <xf numFmtId="200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8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8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8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8" fontId="9" fillId="0" borderId="0" applyFont="0" applyFill="0" applyBorder="0" applyAlignment="0" applyProtection="0"/>
    <xf numFmtId="196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68" fontId="48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5" fontId="9" fillId="0" borderId="0" applyFont="0" applyFill="0" applyBorder="0" applyAlignment="0" applyProtection="0"/>
    <xf numFmtId="201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5" fontId="9" fillId="0" borderId="0" applyFont="0" applyFill="0" applyBorder="0" applyAlignment="0" applyProtection="0"/>
    <xf numFmtId="201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8" fontId="48" fillId="0" borderId="0" applyFont="0" applyFill="0" applyBorder="0" applyAlignment="0" applyProtection="0"/>
    <xf numFmtId="202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8" fontId="48" fillId="0" borderId="0" applyFont="0" applyFill="0" applyBorder="0" applyAlignment="0" applyProtection="0"/>
    <xf numFmtId="202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202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5" fontId="9" fillId="0" borderId="0" applyFont="0" applyFill="0" applyBorder="0" applyAlignment="0" applyProtection="0"/>
    <xf numFmtId="201" fontId="9" fillId="0" borderId="0" applyFill="0" applyBorder="0" applyAlignment="0" applyProtection="0"/>
    <xf numFmtId="168" fontId="9" fillId="0" borderId="0" applyFont="0" applyFill="0" applyBorder="0" applyAlignment="0" applyProtection="0"/>
    <xf numFmtId="202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97" fontId="9" fillId="0" borderId="0" applyFill="0" applyBorder="0" applyAlignment="0" applyProtection="0"/>
    <xf numFmtId="168" fontId="9" fillId="0" borderId="0" applyFont="0" applyFill="0" applyBorder="0" applyAlignment="0" applyProtection="0"/>
    <xf numFmtId="202" fontId="9" fillId="0" borderId="0" applyFill="0" applyBorder="0" applyAlignment="0" applyProtection="0"/>
    <xf numFmtId="6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202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75" fontId="9" fillId="0" borderId="0" applyFont="0" applyFill="0" applyBorder="0" applyAlignment="0" applyProtection="0"/>
    <xf numFmtId="197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5" fontId="9" fillId="0" borderId="0" applyFont="0" applyFill="0" applyBorder="0" applyAlignment="0" applyProtection="0"/>
    <xf numFmtId="201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196" fontId="9" fillId="0" borderId="0" applyFill="0" applyBorder="0" applyAlignment="0" applyProtection="0"/>
    <xf numFmtId="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168" fontId="35" fillId="0" borderId="0"/>
    <xf numFmtId="168" fontId="48" fillId="0" borderId="0" applyFont="0" applyFill="0" applyBorder="0" applyAlignment="0" applyProtection="0"/>
    <xf numFmtId="202" fontId="9" fillId="0" borderId="0" applyFill="0" applyBorder="0" applyAlignment="0" applyProtection="0"/>
    <xf numFmtId="202" fontId="35" fillId="0" borderId="0"/>
    <xf numFmtId="168" fontId="9" fillId="0" borderId="0" applyFont="0" applyFill="0" applyBorder="0" applyAlignment="0" applyProtection="0"/>
    <xf numFmtId="202" fontId="9" fillId="0" borderId="0" applyFill="0" applyBorder="0" applyAlignment="0" applyProtection="0"/>
    <xf numFmtId="6" fontId="9" fillId="0" borderId="0" applyFont="0" applyFill="0" applyBorder="0" applyAlignment="0" applyProtection="0"/>
    <xf numFmtId="202" fontId="9" fillId="0" borderId="0" applyFill="0" applyBorder="0" applyAlignment="0" applyProtection="0"/>
    <xf numFmtId="165" fontId="9" fillId="0" borderId="0" applyFont="0" applyFill="0" applyBorder="0" applyAlignment="0" applyProtection="0"/>
    <xf numFmtId="201" fontId="9" fillId="0" borderId="0" applyFill="0" applyBorder="0" applyAlignment="0" applyProtection="0"/>
    <xf numFmtId="164" fontId="9" fillId="0" borderId="0" applyFont="0" applyFill="0" applyBorder="0" applyAlignment="0" applyProtection="0"/>
    <xf numFmtId="196" fontId="9" fillId="0" borderId="0" applyFill="0" applyBorder="0" applyAlignment="0" applyProtection="0"/>
    <xf numFmtId="6" fontId="9" fillId="0" borderId="0" applyFont="0" applyFill="0" applyBorder="0" applyAlignment="0" applyProtection="0"/>
    <xf numFmtId="202" fontId="9" fillId="0" borderId="0" applyFill="0" applyBorder="0" applyAlignment="0" applyProtection="0"/>
    <xf numFmtId="168" fontId="48" fillId="0" borderId="0" applyFont="0" applyFill="0" applyBorder="0" applyAlignment="0" applyProtection="0"/>
    <xf numFmtId="197" fontId="9" fillId="0" borderId="0" applyFill="0" applyBorder="0" applyAlignment="0" applyProtection="0"/>
    <xf numFmtId="168" fontId="9" fillId="0" borderId="0" applyFont="0" applyFill="0" applyBorder="0" applyAlignment="0" applyProtection="0"/>
    <xf numFmtId="168" fontId="48" fillId="0" borderId="0" applyFont="0" applyFill="0" applyBorder="0" applyAlignment="0" applyProtection="0"/>
    <xf numFmtId="202" fontId="9" fillId="0" borderId="0" applyFill="0" applyBorder="0" applyAlignment="0" applyProtection="0"/>
    <xf numFmtId="164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96" fontId="9" fillId="0" borderId="0" applyFill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8" borderId="0" applyNumberFormat="0" applyBorder="0" applyAlignment="0" applyProtection="0"/>
    <xf numFmtId="0" fontId="61" fillId="48" borderId="0" applyNumberFormat="0" applyBorder="0" applyAlignment="0" applyProtection="0"/>
    <xf numFmtId="0" fontId="61" fillId="47" borderId="0" applyNumberFormat="0" applyBorder="0" applyAlignment="0" applyProtection="0"/>
    <xf numFmtId="0" fontId="61" fillId="48" borderId="0" applyNumberFormat="0" applyBorder="0" applyAlignment="0" applyProtection="0"/>
    <xf numFmtId="0" fontId="61" fillId="47" borderId="0" applyNumberFormat="0" applyBorder="0" applyAlignment="0" applyProtection="0"/>
    <xf numFmtId="0" fontId="61" fillId="48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62" fillId="0" borderId="0"/>
    <xf numFmtId="0" fontId="9" fillId="0" borderId="0"/>
    <xf numFmtId="0" fontId="9" fillId="0" borderId="0"/>
    <xf numFmtId="0" fontId="62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3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0" borderId="0"/>
    <xf numFmtId="0" fontId="9" fillId="0" borderId="0"/>
    <xf numFmtId="0" fontId="9" fillId="0" borderId="0"/>
    <xf numFmtId="0" fontId="35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35" fillId="0" borderId="0"/>
    <xf numFmtId="0" fontId="9" fillId="0" borderId="0"/>
    <xf numFmtId="0" fontId="9" fillId="0" borderId="0"/>
    <xf numFmtId="0" fontId="9" fillId="49" borderId="12" applyNumberFormat="0" applyFont="0" applyAlignment="0" applyProtection="0"/>
    <xf numFmtId="0" fontId="9" fillId="49" borderId="12" applyNumberFormat="0" applyFont="0" applyAlignment="0" applyProtection="0"/>
    <xf numFmtId="0" fontId="9" fillId="0" borderId="0"/>
    <xf numFmtId="0" fontId="9" fillId="0" borderId="0"/>
    <xf numFmtId="0" fontId="9" fillId="49" borderId="12" applyNumberFormat="0" applyFont="0" applyAlignment="0" applyProtection="0"/>
    <xf numFmtId="0" fontId="9" fillId="0" borderId="0"/>
    <xf numFmtId="0" fontId="9" fillId="49" borderId="12" applyNumberFormat="0" applyFont="0" applyAlignment="0" applyProtection="0"/>
    <xf numFmtId="0" fontId="9" fillId="0" borderId="0"/>
    <xf numFmtId="0" fontId="63" fillId="43" borderId="13" applyNumberFormat="0" applyAlignment="0" applyProtection="0"/>
    <xf numFmtId="0" fontId="9" fillId="0" borderId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63" fillId="43" borderId="13" applyNumberFormat="0" applyAlignment="0" applyProtection="0"/>
    <xf numFmtId="0" fontId="63" fillId="43" borderId="13" applyNumberFormat="0" applyAlignment="0" applyProtection="0"/>
    <xf numFmtId="0" fontId="9" fillId="0" borderId="0"/>
    <xf numFmtId="0" fontId="9" fillId="0" borderId="0"/>
    <xf numFmtId="0" fontId="63" fillId="43" borderId="13" applyNumberFormat="0" applyAlignment="0" applyProtection="0"/>
    <xf numFmtId="0" fontId="9" fillId="0" borderId="0"/>
    <xf numFmtId="0" fontId="63" fillId="43" borderId="13" applyNumberFormat="0" applyAlignment="0" applyProtection="0"/>
    <xf numFmtId="0" fontId="9" fillId="0" borderId="0"/>
    <xf numFmtId="0" fontId="64" fillId="0" borderId="0"/>
    <xf numFmtId="0" fontId="9" fillId="0" borderId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9" fillId="0" borderId="0"/>
    <xf numFmtId="0" fontId="9" fillId="0" borderId="0"/>
    <xf numFmtId="0" fontId="65" fillId="0" borderId="0" applyNumberFormat="0" applyFill="0" applyBorder="0" applyAlignment="0" applyProtection="0"/>
    <xf numFmtId="0" fontId="9" fillId="0" borderId="0"/>
    <xf numFmtId="0" fontId="65" fillId="0" borderId="0" applyNumberFormat="0" applyFill="0" applyBorder="0" applyAlignment="0" applyProtection="0"/>
    <xf numFmtId="0" fontId="9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9" fillId="0" borderId="0"/>
    <xf numFmtId="0" fontId="9" fillId="0" borderId="0"/>
    <xf numFmtId="0" fontId="57" fillId="0" borderId="0" applyNumberFormat="0" applyFill="0" applyBorder="0" applyAlignment="0" applyProtection="0"/>
    <xf numFmtId="0" fontId="9" fillId="0" borderId="0"/>
    <xf numFmtId="0" fontId="57" fillId="0" borderId="0" applyNumberFormat="0" applyFill="0" applyBorder="0" applyAlignment="0" applyProtection="0"/>
    <xf numFmtId="0" fontId="9" fillId="0" borderId="0"/>
    <xf numFmtId="0" fontId="66" fillId="0" borderId="0" applyNumberFormat="0" applyFill="0" applyBorder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9" fillId="0" borderId="0"/>
    <xf numFmtId="0" fontId="9" fillId="0" borderId="0"/>
    <xf numFmtId="0" fontId="58" fillId="0" borderId="9" applyNumberFormat="0" applyFill="0" applyAlignment="0" applyProtection="0"/>
    <xf numFmtId="0" fontId="9" fillId="0" borderId="0"/>
    <xf numFmtId="0" fontId="58" fillId="0" borderId="9" applyNumberFormat="0" applyFill="0" applyAlignment="0" applyProtection="0"/>
    <xf numFmtId="0" fontId="9" fillId="0" borderId="0"/>
    <xf numFmtId="0" fontId="59" fillId="0" borderId="10" applyNumberFormat="0" applyFill="0" applyAlignment="0" applyProtection="0"/>
    <xf numFmtId="0" fontId="59" fillId="0" borderId="10" applyNumberFormat="0" applyFill="0" applyAlignment="0" applyProtection="0"/>
    <xf numFmtId="0" fontId="9" fillId="0" borderId="0"/>
    <xf numFmtId="0" fontId="9" fillId="0" borderId="0"/>
    <xf numFmtId="0" fontId="59" fillId="0" borderId="10" applyNumberFormat="0" applyFill="0" applyAlignment="0" applyProtection="0"/>
    <xf numFmtId="0" fontId="9" fillId="0" borderId="0"/>
    <xf numFmtId="0" fontId="59" fillId="0" borderId="10" applyNumberFormat="0" applyFill="0" applyAlignment="0" applyProtection="0"/>
    <xf numFmtId="0" fontId="9" fillId="0" borderId="0"/>
    <xf numFmtId="0" fontId="55" fillId="0" borderId="11" applyNumberFormat="0" applyFill="0" applyAlignment="0" applyProtection="0"/>
    <xf numFmtId="0" fontId="55" fillId="0" borderId="11" applyNumberFormat="0" applyFill="0" applyAlignment="0" applyProtection="0"/>
    <xf numFmtId="0" fontId="9" fillId="0" borderId="0"/>
    <xf numFmtId="0" fontId="9" fillId="0" borderId="0"/>
    <xf numFmtId="0" fontId="55" fillId="0" borderId="11" applyNumberFormat="0" applyFill="0" applyAlignment="0" applyProtection="0"/>
    <xf numFmtId="0" fontId="9" fillId="0" borderId="0"/>
    <xf numFmtId="0" fontId="55" fillId="0" borderId="11" applyNumberFormat="0" applyFill="0" applyAlignment="0" applyProtection="0"/>
    <xf numFmtId="0" fontId="9" fillId="0" borderId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9" fillId="0" borderId="0"/>
    <xf numFmtId="0" fontId="9" fillId="0" borderId="0"/>
    <xf numFmtId="0" fontId="66" fillId="0" borderId="0" applyNumberFormat="0" applyFill="0" applyBorder="0" applyAlignment="0" applyProtection="0"/>
    <xf numFmtId="0" fontId="9" fillId="0" borderId="0"/>
    <xf numFmtId="0" fontId="66" fillId="0" borderId="0" applyNumberFormat="0" applyFill="0" applyBorder="0" applyAlignment="0" applyProtection="0"/>
    <xf numFmtId="0" fontId="9" fillId="0" borderId="0"/>
    <xf numFmtId="0" fontId="67" fillId="0" borderId="14" applyNumberFormat="0" applyFill="0" applyAlignment="0" applyProtection="0"/>
    <xf numFmtId="0" fontId="67" fillId="0" borderId="14" applyNumberFormat="0" applyFill="0" applyAlignment="0" applyProtection="0"/>
    <xf numFmtId="0" fontId="9" fillId="0" borderId="0"/>
    <xf numFmtId="0" fontId="9" fillId="0" borderId="0"/>
    <xf numFmtId="0" fontId="67" fillId="0" borderId="14" applyNumberFormat="0" applyFill="0" applyAlignment="0" applyProtection="0"/>
    <xf numFmtId="0" fontId="9" fillId="0" borderId="0"/>
    <xf numFmtId="0" fontId="67" fillId="0" borderId="14" applyNumberFormat="0" applyFill="0" applyAlignment="0" applyProtection="0"/>
    <xf numFmtId="0" fontId="9" fillId="0" borderId="0"/>
    <xf numFmtId="167" fontId="70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7" fontId="9" fillId="0" borderId="0"/>
    <xf numFmtId="43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7" fontId="9" fillId="0" borderId="0"/>
    <xf numFmtId="177" fontId="9" fillId="0" borderId="0"/>
    <xf numFmtId="43" fontId="9" fillId="0" borderId="0" applyFon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NumberForma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7" fontId="9" fillId="0" borderId="0"/>
    <xf numFmtId="177" fontId="9" fillId="0" borderId="0"/>
    <xf numFmtId="177" fontId="9" fillId="0" borderId="0"/>
    <xf numFmtId="44" fontId="5" fillId="0" borderId="0" applyFont="0" applyFill="0" applyBorder="0" applyAlignment="0" applyProtection="0"/>
    <xf numFmtId="177" fontId="9" fillId="0" borderId="0"/>
    <xf numFmtId="177" fontId="9" fillId="0" borderId="0"/>
    <xf numFmtId="177" fontId="5" fillId="0" borderId="0"/>
    <xf numFmtId="168" fontId="5" fillId="0" borderId="0" applyFont="0" applyFill="0" applyBorder="0" applyAlignment="0" applyProtection="0"/>
    <xf numFmtId="175" fontId="4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5" fillId="0" borderId="0"/>
    <xf numFmtId="174" fontId="9" fillId="0" borderId="0" applyFont="0" applyFill="0" applyBorder="0" applyAlignment="0" applyProtection="0"/>
    <xf numFmtId="0" fontId="5" fillId="0" borderId="0"/>
    <xf numFmtId="0" fontId="5" fillId="0" borderId="0"/>
    <xf numFmtId="43" fontId="48" fillId="0" borderId="0" applyFont="0" applyFill="0" applyBorder="0" applyAlignment="0" applyProtection="0"/>
    <xf numFmtId="0" fontId="5" fillId="0" borderId="0"/>
    <xf numFmtId="0" fontId="5" fillId="0" borderId="0"/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2" fontId="9" fillId="0" borderId="0" applyFont="0" applyFill="0" applyBorder="0" applyAlignment="0" applyProtection="0"/>
    <xf numFmtId="0" fontId="5" fillId="0" borderId="0"/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79" fillId="0" borderId="0"/>
    <xf numFmtId="0" fontId="79" fillId="0" borderId="0"/>
  </cellStyleXfs>
  <cellXfs count="647">
    <xf numFmtId="177" fontId="0" fillId="0" borderId="0" xfId="0"/>
    <xf numFmtId="177" fontId="10" fillId="0" borderId="0" xfId="0" applyFont="1"/>
    <xf numFmtId="177" fontId="13" fillId="0" borderId="0" xfId="0" applyFont="1" applyAlignment="1">
      <alignment horizontal="center"/>
    </xf>
    <xf numFmtId="177" fontId="14" fillId="0" borderId="0" xfId="0" applyFont="1" applyAlignment="1">
      <alignment horizontal="center"/>
    </xf>
    <xf numFmtId="177" fontId="14" fillId="0" borderId="0" xfId="0" applyFont="1" applyAlignment="1">
      <alignment horizontal="center" vertical="center" wrapText="1"/>
    </xf>
    <xf numFmtId="177" fontId="16" fillId="2" borderId="0" xfId="0" applyFont="1" applyFill="1" applyAlignment="1">
      <alignment horizontal="center" vertical="center"/>
    </xf>
    <xf numFmtId="177" fontId="17" fillId="0" borderId="0" xfId="0" applyFont="1"/>
    <xf numFmtId="177" fontId="18" fillId="2" borderId="0" xfId="0" applyFont="1" applyFill="1" applyAlignment="1">
      <alignment horizontal="center" vertical="center"/>
    </xf>
    <xf numFmtId="177" fontId="16" fillId="2" borderId="0" xfId="0" applyFont="1" applyFill="1" applyAlignment="1">
      <alignment horizontal="center" vertical="center" wrapText="1"/>
    </xf>
    <xf numFmtId="177" fontId="19" fillId="2" borderId="0" xfId="0" applyFont="1" applyFill="1" applyAlignment="1">
      <alignment horizontal="center" vertical="center" wrapText="1"/>
    </xf>
    <xf numFmtId="9" fontId="17" fillId="0" borderId="0" xfId="3" applyFont="1" applyFill="1"/>
    <xf numFmtId="166" fontId="17" fillId="2" borderId="0" xfId="2" applyNumberFormat="1" applyFont="1" applyFill="1" applyBorder="1"/>
    <xf numFmtId="166" fontId="17" fillId="0" borderId="0" xfId="2" applyNumberFormat="1" applyFont="1" applyFill="1" applyBorder="1"/>
    <xf numFmtId="177" fontId="17" fillId="0" borderId="0" xfId="0" applyFont="1" applyAlignment="1">
      <alignment vertical="center"/>
    </xf>
    <xf numFmtId="169" fontId="17" fillId="0" borderId="0" xfId="1" applyFont="1" applyFill="1"/>
    <xf numFmtId="177" fontId="17" fillId="2" borderId="0" xfId="0" applyFont="1" applyFill="1"/>
    <xf numFmtId="166" fontId="19" fillId="2" borderId="0" xfId="2" applyNumberFormat="1" applyFont="1" applyFill="1" applyBorder="1" applyAlignment="1">
      <alignment vertical="top"/>
    </xf>
    <xf numFmtId="166" fontId="19" fillId="2" borderId="0" xfId="2" applyNumberFormat="1" applyFont="1" applyFill="1" applyBorder="1" applyAlignment="1">
      <alignment vertical="center"/>
    </xf>
    <xf numFmtId="177" fontId="19" fillId="2" borderId="0" xfId="0" applyFont="1" applyFill="1"/>
    <xf numFmtId="177" fontId="19" fillId="0" borderId="0" xfId="0" applyFont="1"/>
    <xf numFmtId="166" fontId="17" fillId="2" borderId="0" xfId="2" applyNumberFormat="1" applyFont="1" applyFill="1" applyBorder="1" applyAlignment="1">
      <alignment vertical="center"/>
    </xf>
    <xf numFmtId="176" fontId="19" fillId="2" borderId="0" xfId="2" applyNumberFormat="1" applyFont="1" applyFill="1" applyBorder="1"/>
    <xf numFmtId="166" fontId="19" fillId="2" borderId="0" xfId="2" applyNumberFormat="1" applyFont="1" applyFill="1" applyBorder="1"/>
    <xf numFmtId="172" fontId="17" fillId="2" borderId="0" xfId="0" applyNumberFormat="1" applyFont="1" applyFill="1"/>
    <xf numFmtId="166" fontId="17" fillId="2" borderId="0" xfId="0" applyNumberFormat="1" applyFont="1" applyFill="1"/>
    <xf numFmtId="4" fontId="17" fillId="2" borderId="0" xfId="0" applyNumberFormat="1" applyFont="1" applyFill="1"/>
    <xf numFmtId="169" fontId="17" fillId="2" borderId="0" xfId="1" applyFont="1" applyFill="1"/>
    <xf numFmtId="9" fontId="17" fillId="2" borderId="0" xfId="3" applyFont="1" applyFill="1" applyBorder="1" applyAlignment="1">
      <alignment horizontal="center"/>
    </xf>
    <xf numFmtId="168" fontId="19" fillId="2" borderId="0" xfId="2" applyFont="1" applyFill="1" applyBorder="1"/>
    <xf numFmtId="9" fontId="17" fillId="0" borderId="0" xfId="3" applyFont="1" applyFill="1" applyAlignment="1">
      <alignment horizontal="center"/>
    </xf>
    <xf numFmtId="168" fontId="17" fillId="0" borderId="0" xfId="2" applyFont="1" applyFill="1"/>
    <xf numFmtId="9" fontId="17" fillId="2" borderId="0" xfId="3" applyFont="1" applyFill="1"/>
    <xf numFmtId="168" fontId="17" fillId="0" borderId="0" xfId="3" applyNumberFormat="1" applyFont="1" applyFill="1"/>
    <xf numFmtId="169" fontId="17" fillId="2" borderId="0" xfId="0" applyNumberFormat="1" applyFont="1" applyFill="1"/>
    <xf numFmtId="177" fontId="15" fillId="0" borderId="2" xfId="0" applyFont="1" applyBorder="1" applyAlignment="1">
      <alignment horizontal="center" vertical="center" wrapText="1"/>
    </xf>
    <xf numFmtId="172" fontId="12" fillId="0" borderId="2" xfId="1" applyNumberFormat="1" applyFont="1" applyBorder="1"/>
    <xf numFmtId="177" fontId="21" fillId="0" borderId="0" xfId="0" applyFont="1"/>
    <xf numFmtId="2" fontId="17" fillId="0" borderId="0" xfId="3" applyNumberFormat="1" applyFont="1" applyFill="1"/>
    <xf numFmtId="169" fontId="20" fillId="2" borderId="0" xfId="1" applyFont="1" applyFill="1" applyBorder="1"/>
    <xf numFmtId="177" fontId="10" fillId="0" borderId="0" xfId="0" applyFont="1" applyAlignment="1">
      <alignment horizontal="justify" vertical="justify" wrapText="1"/>
    </xf>
    <xf numFmtId="177" fontId="18" fillId="2" borderId="0" xfId="0" applyFont="1" applyFill="1" applyAlignment="1">
      <alignment horizontal="justify" vertical="justify" wrapText="1"/>
    </xf>
    <xf numFmtId="177" fontId="20" fillId="0" borderId="1" xfId="0" applyFont="1" applyBorder="1" applyAlignment="1">
      <alignment horizontal="justify" vertical="justify" wrapText="1"/>
    </xf>
    <xf numFmtId="177" fontId="17" fillId="0" borderId="0" xfId="0" applyFont="1" applyAlignment="1">
      <alignment horizontal="justify" vertical="justify" wrapText="1"/>
    </xf>
    <xf numFmtId="169" fontId="21" fillId="0" borderId="0" xfId="1" applyFont="1"/>
    <xf numFmtId="14" fontId="20" fillId="0" borderId="1" xfId="1" applyNumberFormat="1" applyFont="1" applyFill="1" applyBorder="1"/>
    <xf numFmtId="1" fontId="18" fillId="0" borderId="1" xfId="1" applyNumberFormat="1" applyFont="1" applyFill="1" applyBorder="1" applyAlignment="1">
      <alignment horizontal="left"/>
    </xf>
    <xf numFmtId="2" fontId="17" fillId="2" borderId="0" xfId="0" applyNumberFormat="1" applyFont="1" applyFill="1"/>
    <xf numFmtId="177" fontId="9" fillId="0" borderId="2" xfId="0" applyFont="1" applyBorder="1" applyAlignment="1">
      <alignment horizontal="justify" vertical="justify" wrapText="1"/>
    </xf>
    <xf numFmtId="177" fontId="9" fillId="4" borderId="2" xfId="0" applyFont="1" applyFill="1" applyBorder="1" applyAlignment="1">
      <alignment horizontal="justify" vertical="justify" wrapText="1"/>
    </xf>
    <xf numFmtId="177" fontId="25" fillId="3" borderId="2" xfId="0" applyFont="1" applyFill="1" applyBorder="1" applyAlignment="1">
      <alignment horizontal="center" vertical="center" wrapText="1"/>
    </xf>
    <xf numFmtId="177" fontId="24" fillId="3" borderId="2" xfId="0" applyFont="1" applyFill="1" applyBorder="1" applyAlignment="1">
      <alignment horizontal="center" vertical="center" wrapText="1"/>
    </xf>
    <xf numFmtId="177" fontId="22" fillId="3" borderId="2" xfId="0" applyFont="1" applyFill="1" applyBorder="1" applyAlignment="1">
      <alignment horizontal="center" vertical="center" wrapText="1"/>
    </xf>
    <xf numFmtId="177" fontId="10" fillId="0" borderId="2" xfId="0" applyFont="1" applyBorder="1" applyAlignment="1">
      <alignment horizontal="center" vertical="center" wrapText="1"/>
    </xf>
    <xf numFmtId="179" fontId="10" fillId="0" borderId="2" xfId="0" applyNumberFormat="1" applyFont="1" applyBorder="1" applyAlignment="1">
      <alignment horizontal="left"/>
    </xf>
    <xf numFmtId="177" fontId="10" fillId="0" borderId="2" xfId="0" applyFont="1" applyBorder="1" applyAlignment="1">
      <alignment vertical="center" wrapText="1"/>
    </xf>
    <xf numFmtId="177" fontId="10" fillId="0" borderId="0" xfId="0" applyFont="1" applyAlignment="1">
      <alignment horizontal="center" vertical="center" wrapText="1"/>
    </xf>
    <xf numFmtId="179" fontId="10" fillId="0" borderId="0" xfId="0" applyNumberFormat="1" applyFont="1" applyAlignment="1">
      <alignment horizontal="left"/>
    </xf>
    <xf numFmtId="177" fontId="0" fillId="0" borderId="2" xfId="0" applyBorder="1"/>
    <xf numFmtId="1" fontId="10" fillId="0" borderId="2" xfId="0" applyNumberFormat="1" applyFont="1" applyBorder="1" applyAlignment="1">
      <alignment horizontal="center" vertical="center" wrapText="1"/>
    </xf>
    <xf numFmtId="177" fontId="25" fillId="3" borderId="2" xfId="0" applyFont="1" applyFill="1" applyBorder="1" applyAlignment="1">
      <alignment horizontal="center" vertical="center"/>
    </xf>
    <xf numFmtId="3" fontId="25" fillId="3" borderId="2" xfId="0" applyNumberFormat="1" applyFont="1" applyFill="1" applyBorder="1" applyAlignment="1">
      <alignment horizontal="center" vertical="center"/>
    </xf>
    <xf numFmtId="177" fontId="26" fillId="0" borderId="2" xfId="0" applyFont="1" applyBorder="1" applyAlignment="1">
      <alignment horizontal="center" vertical="center" wrapText="1"/>
    </xf>
    <xf numFmtId="177" fontId="26" fillId="0" borderId="2" xfId="0" applyFont="1" applyBorder="1" applyAlignment="1">
      <alignment horizontal="justify" vertical="center"/>
    </xf>
    <xf numFmtId="14" fontId="26" fillId="0" borderId="2" xfId="0" applyNumberFormat="1" applyFont="1" applyBorder="1" applyAlignment="1">
      <alignment horizontal="center" vertical="center"/>
    </xf>
    <xf numFmtId="3" fontId="26" fillId="0" borderId="2" xfId="0" applyNumberFormat="1" applyFont="1" applyBorder="1" applyAlignment="1">
      <alignment horizontal="right" vertical="center"/>
    </xf>
    <xf numFmtId="172" fontId="9" fillId="0" borderId="2" xfId="1" applyNumberFormat="1" applyFont="1" applyBorder="1"/>
    <xf numFmtId="3" fontId="26" fillId="0" borderId="2" xfId="0" applyNumberFormat="1" applyFont="1" applyBorder="1" applyAlignment="1">
      <alignment horizontal="center" vertical="center"/>
    </xf>
    <xf numFmtId="177" fontId="24" fillId="3" borderId="2" xfId="0" applyFont="1" applyFill="1" applyBorder="1" applyAlignment="1">
      <alignment horizontal="justify" vertical="justify" wrapText="1"/>
    </xf>
    <xf numFmtId="169" fontId="24" fillId="0" borderId="2" xfId="1" applyFont="1" applyFill="1" applyBorder="1" applyAlignment="1">
      <alignment horizontal="center" vertical="center" wrapText="1"/>
    </xf>
    <xf numFmtId="9" fontId="24" fillId="0" borderId="2" xfId="3" applyFont="1" applyFill="1" applyBorder="1" applyAlignment="1">
      <alignment horizontal="center" vertical="center" wrapText="1"/>
    </xf>
    <xf numFmtId="177" fontId="24" fillId="0" borderId="2" xfId="0" applyFont="1" applyBorder="1" applyAlignment="1">
      <alignment horizontal="center" vertical="center" wrapText="1"/>
    </xf>
    <xf numFmtId="169" fontId="9" fillId="0" borderId="2" xfId="1" applyFont="1" applyFill="1" applyBorder="1"/>
    <xf numFmtId="169" fontId="9" fillId="0" borderId="2" xfId="1" applyFont="1" applyFill="1" applyBorder="1" applyAlignment="1">
      <alignment horizontal="center"/>
    </xf>
    <xf numFmtId="169" fontId="9" fillId="4" borderId="2" xfId="1" applyFont="1" applyFill="1" applyBorder="1" applyAlignment="1">
      <alignment horizontal="center"/>
    </xf>
    <xf numFmtId="169" fontId="9" fillId="0" borderId="2" xfId="1" applyFont="1" applyFill="1" applyBorder="1" applyAlignment="1">
      <alignment horizontal="center" vertical="center"/>
    </xf>
    <xf numFmtId="177" fontId="24" fillId="0" borderId="2" xfId="0" applyFont="1" applyBorder="1" applyAlignment="1">
      <alignment horizontal="justify" vertical="justify" wrapText="1"/>
    </xf>
    <xf numFmtId="169" fontId="9" fillId="4" borderId="2" xfId="1" applyFont="1" applyFill="1" applyBorder="1" applyAlignment="1">
      <alignment horizontal="center" vertical="top"/>
    </xf>
    <xf numFmtId="169" fontId="24" fillId="0" borderId="2" xfId="1" applyFont="1" applyFill="1" applyBorder="1" applyAlignment="1">
      <alignment horizontal="center" vertical="center"/>
    </xf>
    <xf numFmtId="169" fontId="9" fillId="4" borderId="2" xfId="1" applyFont="1" applyFill="1" applyBorder="1" applyAlignment="1">
      <alignment horizontal="center" vertical="center"/>
    </xf>
    <xf numFmtId="177" fontId="24" fillId="4" borderId="2" xfId="0" applyFont="1" applyFill="1" applyBorder="1" applyAlignment="1">
      <alignment horizontal="justify" vertical="justify" wrapText="1"/>
    </xf>
    <xf numFmtId="9" fontId="9" fillId="4" borderId="2" xfId="3" applyFont="1" applyFill="1" applyBorder="1" applyAlignment="1">
      <alignment horizontal="center"/>
    </xf>
    <xf numFmtId="9" fontId="9" fillId="0" borderId="2" xfId="3" applyFont="1" applyFill="1" applyBorder="1" applyAlignment="1">
      <alignment horizontal="center"/>
    </xf>
    <xf numFmtId="176" fontId="24" fillId="3" borderId="2" xfId="2" applyNumberFormat="1" applyFont="1" applyFill="1" applyBorder="1"/>
    <xf numFmtId="177" fontId="9" fillId="0" borderId="2" xfId="0" applyFont="1" applyBorder="1" applyAlignment="1">
      <alignment horizontal="center"/>
    </xf>
    <xf numFmtId="2" fontId="9" fillId="0" borderId="2" xfId="0" applyNumberFormat="1" applyFont="1" applyBorder="1" applyAlignment="1">
      <alignment horizontal="center"/>
    </xf>
    <xf numFmtId="169" fontId="9" fillId="0" borderId="2" xfId="1" applyFont="1" applyFill="1" applyBorder="1" applyAlignment="1">
      <alignment horizontal="right"/>
    </xf>
    <xf numFmtId="10" fontId="9" fillId="0" borderId="2" xfId="3" applyNumberFormat="1" applyFont="1" applyFill="1" applyBorder="1" applyAlignment="1">
      <alignment horizontal="center"/>
    </xf>
    <xf numFmtId="172" fontId="9" fillId="0" borderId="2" xfId="1" applyNumberFormat="1" applyFont="1" applyFill="1" applyBorder="1"/>
    <xf numFmtId="172" fontId="9" fillId="4" borderId="2" xfId="1" applyNumberFormat="1" applyFont="1" applyFill="1" applyBorder="1"/>
    <xf numFmtId="172" fontId="24" fillId="4" borderId="2" xfId="1" applyNumberFormat="1" applyFont="1" applyFill="1" applyBorder="1" applyAlignment="1">
      <alignment vertical="top"/>
    </xf>
    <xf numFmtId="172" fontId="24" fillId="0" borderId="2" xfId="1" applyNumberFormat="1" applyFont="1" applyFill="1" applyBorder="1" applyAlignment="1">
      <alignment vertical="center"/>
    </xf>
    <xf numFmtId="172" fontId="9" fillId="0" borderId="2" xfId="1" applyNumberFormat="1" applyFont="1" applyFill="1" applyBorder="1" applyAlignment="1">
      <alignment vertical="center"/>
    </xf>
    <xf numFmtId="172" fontId="9" fillId="4" borderId="2" xfId="1" applyNumberFormat="1" applyFont="1" applyFill="1" applyBorder="1" applyAlignment="1">
      <alignment vertical="center"/>
    </xf>
    <xf numFmtId="172" fontId="24" fillId="0" borderId="2" xfId="1" applyNumberFormat="1" applyFont="1" applyFill="1" applyBorder="1" applyAlignment="1">
      <alignment vertical="top"/>
    </xf>
    <xf numFmtId="172" fontId="24" fillId="3" borderId="2" xfId="1" applyNumberFormat="1" applyFont="1" applyFill="1" applyBorder="1"/>
    <xf numFmtId="172" fontId="24" fillId="4" borderId="2" xfId="1" applyNumberFormat="1" applyFont="1" applyFill="1" applyBorder="1"/>
    <xf numFmtId="172" fontId="24" fillId="3" borderId="2" xfId="1" applyNumberFormat="1" applyFont="1" applyFill="1" applyBorder="1" applyAlignment="1">
      <alignment vertical="top"/>
    </xf>
    <xf numFmtId="172" fontId="9" fillId="2" borderId="2" xfId="1" applyNumberFormat="1" applyFont="1" applyFill="1" applyBorder="1"/>
    <xf numFmtId="172" fontId="29" fillId="0" borderId="2" xfId="1" applyNumberFormat="1" applyFont="1" applyFill="1" applyBorder="1"/>
    <xf numFmtId="172" fontId="24" fillId="0" borderId="2" xfId="1" applyNumberFormat="1" applyFont="1" applyFill="1" applyBorder="1"/>
    <xf numFmtId="172" fontId="9" fillId="0" borderId="2" xfId="1" applyNumberFormat="1" applyFont="1" applyFill="1" applyBorder="1" applyAlignment="1">
      <alignment horizontal="center"/>
    </xf>
    <xf numFmtId="172" fontId="9" fillId="0" borderId="2" xfId="1" applyNumberFormat="1" applyFont="1" applyFill="1" applyBorder="1" applyAlignment="1">
      <alignment horizontal="right"/>
    </xf>
    <xf numFmtId="2" fontId="9" fillId="0" borderId="2" xfId="0" applyNumberFormat="1" applyFont="1" applyBorder="1" applyAlignment="1">
      <alignment horizontal="right"/>
    </xf>
    <xf numFmtId="177" fontId="9" fillId="4" borderId="2" xfId="0" applyFont="1" applyFill="1" applyBorder="1" applyAlignment="1">
      <alignment horizontal="right"/>
    </xf>
    <xf numFmtId="173" fontId="9" fillId="0" borderId="2" xfId="0" applyNumberFormat="1" applyFont="1" applyBorder="1" applyAlignment="1">
      <alignment horizontal="right"/>
    </xf>
    <xf numFmtId="9" fontId="9" fillId="0" borderId="2" xfId="3" applyFont="1" applyFill="1" applyBorder="1" applyAlignment="1">
      <alignment horizontal="right"/>
    </xf>
    <xf numFmtId="177" fontId="9" fillId="0" borderId="2" xfId="0" applyFont="1" applyBorder="1" applyAlignment="1">
      <alignment horizontal="right"/>
    </xf>
    <xf numFmtId="169" fontId="9" fillId="4" borderId="2" xfId="1" applyFont="1" applyFill="1" applyBorder="1" applyAlignment="1">
      <alignment horizontal="right"/>
    </xf>
    <xf numFmtId="10" fontId="9" fillId="0" borderId="2" xfId="3" applyNumberFormat="1" applyFont="1" applyFill="1" applyBorder="1" applyAlignment="1">
      <alignment horizontal="right"/>
    </xf>
    <xf numFmtId="177" fontId="27" fillId="0" borderId="2" xfId="0" applyFont="1" applyBorder="1" applyAlignment="1">
      <alignment horizontal="justify" vertical="center"/>
    </xf>
    <xf numFmtId="177" fontId="30" fillId="0" borderId="0" xfId="0" applyFont="1" applyAlignment="1">
      <alignment vertical="center"/>
    </xf>
    <xf numFmtId="177" fontId="31" fillId="0" borderId="0" xfId="0" applyFont="1" applyAlignment="1">
      <alignment vertical="center"/>
    </xf>
    <xf numFmtId="177" fontId="32" fillId="0" borderId="0" xfId="0" applyFont="1" applyAlignment="1">
      <alignment vertical="center"/>
    </xf>
    <xf numFmtId="177" fontId="33" fillId="0" borderId="0" xfId="81" applyAlignment="1">
      <alignment vertical="center"/>
    </xf>
    <xf numFmtId="177" fontId="20" fillId="0" borderId="0" xfId="0" applyFont="1" applyAlignment="1">
      <alignment horizontal="justify" vertical="justify" wrapText="1"/>
    </xf>
    <xf numFmtId="14" fontId="20" fillId="0" borderId="0" xfId="1" applyNumberFormat="1" applyFont="1" applyFill="1" applyBorder="1"/>
    <xf numFmtId="177" fontId="10" fillId="2" borderId="2" xfId="0" applyFont="1" applyFill="1" applyBorder="1" applyAlignment="1">
      <alignment horizontal="left" vertical="center" wrapText="1"/>
    </xf>
    <xf numFmtId="177" fontId="34" fillId="0" borderId="2" xfId="0" applyFont="1" applyBorder="1" applyAlignment="1">
      <alignment horizontal="center" vertical="center" wrapText="1"/>
    </xf>
    <xf numFmtId="177" fontId="10" fillId="2" borderId="2" xfId="86" applyFont="1" applyFill="1" applyBorder="1" applyAlignment="1">
      <alignment horizontal="left" vertical="center" wrapText="1"/>
    </xf>
    <xf numFmtId="49" fontId="34" fillId="0" borderId="2" xfId="0" applyNumberFormat="1" applyFont="1" applyBorder="1" applyAlignment="1">
      <alignment horizontal="right" vertical="center"/>
    </xf>
    <xf numFmtId="172" fontId="36" fillId="0" borderId="2" xfId="1" applyNumberFormat="1" applyFont="1" applyBorder="1"/>
    <xf numFmtId="177" fontId="10" fillId="2" borderId="2" xfId="70" applyFont="1" applyFill="1" applyBorder="1" applyAlignment="1">
      <alignment horizontal="left" vertical="center" wrapText="1"/>
    </xf>
    <xf numFmtId="49" fontId="10" fillId="2" borderId="2" xfId="2" applyNumberFormat="1" applyFont="1" applyFill="1" applyBorder="1" applyAlignment="1">
      <alignment horizontal="right" vertical="center" wrapText="1"/>
    </xf>
    <xf numFmtId="172" fontId="28" fillId="0" borderId="2" xfId="1" applyNumberFormat="1" applyFont="1" applyBorder="1"/>
    <xf numFmtId="177" fontId="10" fillId="2" borderId="0" xfId="0" applyFont="1" applyFill="1" applyAlignment="1">
      <alignment horizontal="left" vertical="center" wrapText="1"/>
    </xf>
    <xf numFmtId="177" fontId="34" fillId="0" borderId="0" xfId="0" applyFont="1" applyAlignment="1">
      <alignment horizontal="center" vertical="center" wrapText="1"/>
    </xf>
    <xf numFmtId="177" fontId="10" fillId="2" borderId="0" xfId="86" applyFont="1" applyFill="1" applyAlignment="1">
      <alignment horizontal="left" vertical="center" wrapText="1"/>
    </xf>
    <xf numFmtId="177" fontId="10" fillId="0" borderId="0" xfId="0" applyFont="1" applyAlignment="1">
      <alignment horizontal="right" vertical="center" wrapText="1"/>
    </xf>
    <xf numFmtId="176" fontId="34" fillId="0" borderId="0" xfId="2" applyNumberFormat="1" applyFont="1" applyBorder="1"/>
    <xf numFmtId="49" fontId="22" fillId="3" borderId="2" xfId="2" applyNumberFormat="1" applyFont="1" applyFill="1" applyBorder="1" applyAlignment="1">
      <alignment horizontal="center" vertical="center" wrapText="1"/>
    </xf>
    <xf numFmtId="169" fontId="22" fillId="3" borderId="2" xfId="1" applyFont="1" applyFill="1" applyBorder="1" applyAlignment="1">
      <alignment horizontal="center" vertical="center" wrapText="1"/>
    </xf>
    <xf numFmtId="177" fontId="37" fillId="3" borderId="2" xfId="0" applyFont="1" applyFill="1" applyBorder="1" applyAlignment="1">
      <alignment horizontal="center" vertical="center" wrapText="1"/>
    </xf>
    <xf numFmtId="168" fontId="37" fillId="3" borderId="2" xfId="2" applyFont="1" applyFill="1" applyBorder="1" applyAlignment="1">
      <alignment horizontal="center" vertical="center" wrapText="1"/>
    </xf>
    <xf numFmtId="177" fontId="27" fillId="2" borderId="2" xfId="0" applyFont="1" applyFill="1" applyBorder="1" applyAlignment="1">
      <alignment horizontal="left" vertical="center" wrapText="1"/>
    </xf>
    <xf numFmtId="177" fontId="27" fillId="2" borderId="2" xfId="0" applyFont="1" applyFill="1" applyBorder="1" applyAlignment="1">
      <alignment horizontal="center" vertical="center" wrapText="1"/>
    </xf>
    <xf numFmtId="177" fontId="27" fillId="2" borderId="2" xfId="86" applyFont="1" applyFill="1" applyBorder="1" applyAlignment="1">
      <alignment horizontal="left" vertical="center" wrapText="1"/>
    </xf>
    <xf numFmtId="177" fontId="27" fillId="2" borderId="2" xfId="70" applyFont="1" applyFill="1" applyBorder="1" applyAlignment="1">
      <alignment horizontal="right" vertical="center" wrapText="1"/>
    </xf>
    <xf numFmtId="172" fontId="27" fillId="2" borderId="2" xfId="1" applyNumberFormat="1" applyFont="1" applyFill="1" applyBorder="1" applyAlignment="1">
      <alignment horizontal="right" vertical="center" wrapText="1"/>
    </xf>
    <xf numFmtId="177" fontId="27" fillId="2" borderId="2" xfId="70" applyFont="1" applyFill="1" applyBorder="1" applyAlignment="1">
      <alignment horizontal="left" vertical="center" wrapText="1"/>
    </xf>
    <xf numFmtId="177" fontId="27" fillId="2" borderId="2" xfId="74" applyFont="1" applyFill="1" applyBorder="1" applyAlignment="1">
      <alignment horizontal="left" vertical="center" wrapText="1"/>
    </xf>
    <xf numFmtId="177" fontId="27" fillId="0" borderId="2" xfId="0" applyFont="1" applyBorder="1" applyAlignment="1">
      <alignment horizontal="right" vertical="center" wrapText="1"/>
    </xf>
    <xf numFmtId="172" fontId="38" fillId="0" borderId="2" xfId="1" applyNumberFormat="1" applyFont="1" applyBorder="1"/>
    <xf numFmtId="177" fontId="27" fillId="0" borderId="2" xfId="0" applyFont="1" applyBorder="1" applyAlignment="1">
      <alignment horizontal="center" vertical="center" wrapText="1"/>
    </xf>
    <xf numFmtId="177" fontId="27" fillId="0" borderId="2" xfId="0" applyFont="1" applyBorder="1" applyAlignment="1">
      <alignment vertical="center" wrapText="1"/>
    </xf>
    <xf numFmtId="1" fontId="27" fillId="0" borderId="2" xfId="0" applyNumberFormat="1" applyFont="1" applyBorder="1" applyAlignment="1">
      <alignment horizontal="right" vertical="center" wrapText="1"/>
    </xf>
    <xf numFmtId="3" fontId="27" fillId="0" borderId="2" xfId="0" applyNumberFormat="1" applyFont="1" applyBorder="1" applyAlignment="1">
      <alignment horizontal="right" vertical="center" wrapText="1"/>
    </xf>
    <xf numFmtId="3" fontId="37" fillId="0" borderId="2" xfId="0" applyNumberFormat="1" applyFont="1" applyBorder="1" applyAlignment="1">
      <alignment vertical="center"/>
    </xf>
    <xf numFmtId="172" fontId="42" fillId="0" borderId="0" xfId="1" applyNumberFormat="1" applyFont="1"/>
    <xf numFmtId="177" fontId="24" fillId="3" borderId="2" xfId="0" applyFont="1" applyFill="1" applyBorder="1" applyAlignment="1">
      <alignment horizontal="left"/>
    </xf>
    <xf numFmtId="177" fontId="40" fillId="0" borderId="2" xfId="0" applyFont="1" applyBorder="1" applyAlignment="1">
      <alignment horizontal="left"/>
    </xf>
    <xf numFmtId="4" fontId="40" fillId="0" borderId="2" xfId="0" applyNumberFormat="1" applyFont="1" applyBorder="1" applyAlignment="1">
      <alignment horizontal="right"/>
    </xf>
    <xf numFmtId="177" fontId="40" fillId="0" borderId="2" xfId="0" applyFont="1" applyBorder="1" applyAlignment="1">
      <alignment horizontal="left" wrapText="1"/>
    </xf>
    <xf numFmtId="172" fontId="40" fillId="0" borderId="2" xfId="1" applyNumberFormat="1" applyFont="1" applyFill="1" applyBorder="1" applyAlignment="1">
      <alignment horizontal="right"/>
    </xf>
    <xf numFmtId="177" fontId="41" fillId="0" borderId="2" xfId="0" applyFont="1" applyBorder="1" applyAlignment="1">
      <alignment horizontal="left" wrapText="1"/>
    </xf>
    <xf numFmtId="180" fontId="41" fillId="0" borderId="2" xfId="0" applyNumberFormat="1" applyFont="1" applyBorder="1" applyAlignment="1">
      <alignment horizontal="right" wrapText="1"/>
    </xf>
    <xf numFmtId="177" fontId="43" fillId="0" borderId="2" xfId="0" applyFont="1" applyBorder="1"/>
    <xf numFmtId="1" fontId="41" fillId="0" borderId="2" xfId="0" applyNumberFormat="1" applyFont="1" applyBorder="1" applyAlignment="1">
      <alignment horizontal="right" wrapText="1"/>
    </xf>
    <xf numFmtId="180" fontId="42" fillId="0" borderId="2" xfId="0" applyNumberFormat="1" applyFont="1" applyBorder="1"/>
    <xf numFmtId="172" fontId="24" fillId="5" borderId="2" xfId="1" applyNumberFormat="1" applyFont="1" applyFill="1" applyBorder="1"/>
    <xf numFmtId="9" fontId="24" fillId="5" borderId="2" xfId="3" applyFont="1" applyFill="1" applyBorder="1" applyAlignment="1">
      <alignment horizontal="center" vertical="center" wrapText="1"/>
    </xf>
    <xf numFmtId="177" fontId="24" fillId="5" borderId="2" xfId="0" applyFont="1" applyFill="1" applyBorder="1" applyAlignment="1">
      <alignment horizontal="center" vertical="center" wrapText="1"/>
    </xf>
    <xf numFmtId="3" fontId="24" fillId="5" borderId="2" xfId="0" applyNumberFormat="1" applyFont="1" applyFill="1" applyBorder="1" applyAlignment="1">
      <alignment horizontal="right" vertical="center" wrapText="1"/>
    </xf>
    <xf numFmtId="177" fontId="24" fillId="6" borderId="2" xfId="0" applyFont="1" applyFill="1" applyBorder="1" applyAlignment="1">
      <alignment horizontal="justify" vertical="justify" wrapText="1"/>
    </xf>
    <xf numFmtId="169" fontId="9" fillId="6" borderId="2" xfId="1" applyFont="1" applyFill="1" applyBorder="1"/>
    <xf numFmtId="10" fontId="9" fillId="6" borderId="2" xfId="3" applyNumberFormat="1" applyFont="1" applyFill="1" applyBorder="1" applyAlignment="1">
      <alignment horizontal="center"/>
    </xf>
    <xf numFmtId="172" fontId="24" fillId="6" borderId="2" xfId="1" applyNumberFormat="1" applyFont="1" applyFill="1" applyBorder="1"/>
    <xf numFmtId="3" fontId="17" fillId="2" borderId="0" xfId="0" applyNumberFormat="1" applyFont="1" applyFill="1"/>
    <xf numFmtId="9" fontId="9" fillId="3" borderId="2" xfId="3" applyFont="1" applyFill="1" applyBorder="1" applyAlignment="1">
      <alignment horizontal="right"/>
    </xf>
    <xf numFmtId="172" fontId="43" fillId="0" borderId="2" xfId="1" applyNumberFormat="1" applyFont="1" applyBorder="1"/>
    <xf numFmtId="172" fontId="34" fillId="0" borderId="2" xfId="1" applyNumberFormat="1" applyFont="1" applyBorder="1"/>
    <xf numFmtId="172" fontId="34" fillId="0" borderId="2" xfId="0" applyNumberFormat="1" applyFont="1" applyBorder="1"/>
    <xf numFmtId="177" fontId="43" fillId="0" borderId="2" xfId="0" applyFont="1" applyBorder="1" applyAlignment="1">
      <alignment horizontal="left" wrapText="1"/>
    </xf>
    <xf numFmtId="177" fontId="10" fillId="0" borderId="2" xfId="0" applyFont="1" applyBorder="1" applyAlignment="1">
      <alignment horizontal="center" vertical="center"/>
    </xf>
    <xf numFmtId="172" fontId="43" fillId="0" borderId="2" xfId="1" applyNumberFormat="1" applyFont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172" fontId="43" fillId="0" borderId="2" xfId="1" applyNumberFormat="1" applyFont="1" applyFill="1" applyBorder="1" applyAlignment="1">
      <alignment horizontal="right" wrapText="1"/>
    </xf>
    <xf numFmtId="177" fontId="43" fillId="0" borderId="0" xfId="0" applyFont="1" applyAlignment="1">
      <alignment horizontal="left" wrapText="1"/>
    </xf>
    <xf numFmtId="177" fontId="10" fillId="0" borderId="0" xfId="0" applyFont="1" applyAlignment="1">
      <alignment vertical="center" wrapText="1"/>
    </xf>
    <xf numFmtId="3" fontId="10" fillId="0" borderId="0" xfId="0" applyNumberFormat="1" applyFont="1" applyAlignment="1">
      <alignment vertical="center"/>
    </xf>
    <xf numFmtId="172" fontId="34" fillId="0" borderId="0" xfId="1" applyNumberFormat="1" applyFont="1" applyBorder="1"/>
    <xf numFmtId="172" fontId="28" fillId="0" borderId="0" xfId="0" applyNumberFormat="1" applyFont="1"/>
    <xf numFmtId="177" fontId="44" fillId="3" borderId="2" xfId="0" applyFont="1" applyFill="1" applyBorder="1" applyAlignment="1">
      <alignment horizontal="center" vertical="center" wrapText="1"/>
    </xf>
    <xf numFmtId="177" fontId="44" fillId="3" borderId="2" xfId="0" applyFont="1" applyFill="1" applyBorder="1" applyAlignment="1">
      <alignment horizontal="center" wrapText="1"/>
    </xf>
    <xf numFmtId="169" fontId="24" fillId="8" borderId="2" xfId="1" applyFont="1" applyFill="1" applyBorder="1" applyAlignment="1">
      <alignment horizontal="center" vertical="center" wrapText="1"/>
    </xf>
    <xf numFmtId="9" fontId="24" fillId="8" borderId="2" xfId="3" applyFont="1" applyFill="1" applyBorder="1" applyAlignment="1">
      <alignment horizontal="center" vertical="center" wrapText="1"/>
    </xf>
    <xf numFmtId="177" fontId="24" fillId="8" borderId="2" xfId="0" applyFont="1" applyFill="1" applyBorder="1" applyAlignment="1">
      <alignment horizontal="center" vertical="center" wrapText="1"/>
    </xf>
    <xf numFmtId="3" fontId="24" fillId="8" borderId="2" xfId="0" applyNumberFormat="1" applyFont="1" applyFill="1" applyBorder="1" applyAlignment="1">
      <alignment horizontal="right" vertical="center" wrapText="1"/>
    </xf>
    <xf numFmtId="177" fontId="24" fillId="8" borderId="2" xfId="0" applyFont="1" applyFill="1" applyBorder="1" applyAlignment="1">
      <alignment horizontal="justify" vertical="justify" wrapText="1"/>
    </xf>
    <xf numFmtId="10" fontId="9" fillId="8" borderId="2" xfId="3" applyNumberFormat="1" applyFont="1" applyFill="1" applyBorder="1" applyAlignment="1">
      <alignment horizontal="center"/>
    </xf>
    <xf numFmtId="172" fontId="24" fillId="8" borderId="2" xfId="1" applyNumberFormat="1" applyFont="1" applyFill="1" applyBorder="1"/>
    <xf numFmtId="172" fontId="24" fillId="8" borderId="2" xfId="1" applyNumberFormat="1" applyFont="1" applyFill="1" applyBorder="1" applyAlignment="1">
      <alignment horizontal="center" vertical="center" wrapText="1"/>
    </xf>
    <xf numFmtId="177" fontId="10" fillId="2" borderId="2" xfId="84" applyFont="1" applyFill="1" applyBorder="1" applyAlignment="1">
      <alignment horizontal="left" vertical="center" wrapText="1"/>
    </xf>
    <xf numFmtId="177" fontId="10" fillId="2" borderId="2" xfId="85" applyFont="1" applyFill="1" applyBorder="1" applyAlignment="1">
      <alignment horizontal="left" vertical="center" wrapText="1"/>
    </xf>
    <xf numFmtId="172" fontId="28" fillId="0" borderId="0" xfId="1" applyNumberFormat="1" applyFont="1" applyBorder="1"/>
    <xf numFmtId="181" fontId="0" fillId="0" borderId="0" xfId="0" applyNumberFormat="1"/>
    <xf numFmtId="0" fontId="9" fillId="0" borderId="0" xfId="1" applyNumberFormat="1" applyFont="1"/>
    <xf numFmtId="182" fontId="0" fillId="0" borderId="0" xfId="1" applyNumberFormat="1" applyFont="1"/>
    <xf numFmtId="177" fontId="46" fillId="0" borderId="0" xfId="0" applyFont="1" applyAlignment="1">
      <alignment vertical="center" wrapText="1"/>
    </xf>
    <xf numFmtId="177" fontId="46" fillId="2" borderId="0" xfId="0" applyFont="1" applyFill="1" applyAlignment="1">
      <alignment vertical="center" wrapText="1"/>
    </xf>
    <xf numFmtId="177" fontId="46" fillId="0" borderId="0" xfId="0" applyFont="1" applyAlignment="1">
      <alignment horizontal="center" vertical="center" wrapText="1"/>
    </xf>
    <xf numFmtId="0" fontId="7" fillId="0" borderId="0" xfId="87"/>
    <xf numFmtId="172" fontId="0" fillId="0" borderId="0" xfId="88" applyNumberFormat="1" applyFont="1"/>
    <xf numFmtId="0" fontId="7" fillId="10" borderId="2" xfId="87" applyFill="1" applyBorder="1" applyAlignment="1">
      <alignment horizontal="center" vertical="center"/>
    </xf>
    <xf numFmtId="0" fontId="7" fillId="10" borderId="2" xfId="87" applyFill="1" applyBorder="1" applyAlignment="1">
      <alignment horizontal="center" vertical="center" wrapText="1"/>
    </xf>
    <xf numFmtId="0" fontId="7" fillId="0" borderId="0" xfId="87" applyAlignment="1">
      <alignment horizontal="center" vertical="center"/>
    </xf>
    <xf numFmtId="0" fontId="24" fillId="9" borderId="2" xfId="89" applyFont="1" applyFill="1" applyBorder="1"/>
    <xf numFmtId="172" fontId="0" fillId="0" borderId="2" xfId="88" applyNumberFormat="1" applyFont="1" applyBorder="1"/>
    <xf numFmtId="0" fontId="7" fillId="0" borderId="2" xfId="87" applyBorder="1" applyAlignment="1">
      <alignment horizontal="center" vertical="center"/>
    </xf>
    <xf numFmtId="0" fontId="7" fillId="0" borderId="2" xfId="87" applyBorder="1"/>
    <xf numFmtId="0" fontId="9" fillId="0" borderId="2" xfId="89" applyBorder="1"/>
    <xf numFmtId="172" fontId="12" fillId="9" borderId="2" xfId="88" applyNumberFormat="1" applyFont="1" applyFill="1" applyBorder="1"/>
    <xf numFmtId="168" fontId="0" fillId="0" borderId="0" xfId="90" applyFont="1"/>
    <xf numFmtId="0" fontId="9" fillId="0" borderId="0" xfId="89"/>
    <xf numFmtId="168" fontId="7" fillId="0" borderId="0" xfId="87" applyNumberFormat="1"/>
    <xf numFmtId="3" fontId="7" fillId="0" borderId="2" xfId="87" applyNumberFormat="1" applyBorder="1" applyAlignment="1">
      <alignment horizontal="center" vertical="center"/>
    </xf>
    <xf numFmtId="3" fontId="7" fillId="0" borderId="2" xfId="87" applyNumberFormat="1" applyBorder="1"/>
    <xf numFmtId="3" fontId="0" fillId="0" borderId="2" xfId="88" applyNumberFormat="1" applyFont="1" applyBorder="1"/>
    <xf numFmtId="172" fontId="9" fillId="0" borderId="0" xfId="88" applyNumberFormat="1" applyFont="1"/>
    <xf numFmtId="172" fontId="9" fillId="0" borderId="0" xfId="88" applyNumberFormat="1" applyFont="1" applyAlignment="1">
      <alignment horizontal="right"/>
    </xf>
    <xf numFmtId="177" fontId="47" fillId="2" borderId="2" xfId="0" applyFont="1" applyFill="1" applyBorder="1" applyAlignment="1">
      <alignment horizontal="justify" vertical="center" wrapText="1"/>
    </xf>
    <xf numFmtId="172" fontId="47" fillId="2" borderId="2" xfId="1" applyNumberFormat="1" applyFont="1" applyFill="1" applyBorder="1" applyAlignment="1">
      <alignment vertical="center" wrapText="1"/>
    </xf>
    <xf numFmtId="3" fontId="9" fillId="0" borderId="2" xfId="88" applyNumberFormat="1" applyFont="1" applyBorder="1"/>
    <xf numFmtId="0" fontId="7" fillId="0" borderId="0" xfId="87" applyAlignment="1">
      <alignment horizontal="right"/>
    </xf>
    <xf numFmtId="177" fontId="47" fillId="0" borderId="2" xfId="0" applyFont="1" applyBorder="1" applyAlignment="1">
      <alignment horizontal="justify" vertical="center" wrapText="1"/>
    </xf>
    <xf numFmtId="172" fontId="47" fillId="0" borderId="2" xfId="1" applyNumberFormat="1" applyFont="1" applyFill="1" applyBorder="1" applyAlignment="1">
      <alignment vertical="center" wrapText="1"/>
    </xf>
    <xf numFmtId="3" fontId="0" fillId="0" borderId="2" xfId="88" applyNumberFormat="1" applyFont="1" applyFill="1" applyBorder="1"/>
    <xf numFmtId="172" fontId="7" fillId="0" borderId="2" xfId="87" applyNumberFormat="1" applyBorder="1"/>
    <xf numFmtId="176" fontId="12" fillId="9" borderId="0" xfId="90" applyNumberFormat="1" applyFont="1" applyFill="1"/>
    <xf numFmtId="2" fontId="7" fillId="0" borderId="0" xfId="87" applyNumberFormat="1" applyAlignment="1">
      <alignment horizontal="center" vertical="center"/>
    </xf>
    <xf numFmtId="10" fontId="7" fillId="0" borderId="0" xfId="87" applyNumberFormat="1" applyAlignment="1">
      <alignment horizontal="center"/>
    </xf>
    <xf numFmtId="10" fontId="0" fillId="0" borderId="0" xfId="88" applyNumberFormat="1" applyFont="1" applyAlignment="1">
      <alignment horizontal="center"/>
    </xf>
    <xf numFmtId="168" fontId="0" fillId="6" borderId="0" xfId="2" applyFont="1" applyFill="1"/>
    <xf numFmtId="0" fontId="0" fillId="6" borderId="0" xfId="0" applyNumberFormat="1" applyFill="1"/>
    <xf numFmtId="168" fontId="0" fillId="6" borderId="0" xfId="0" applyNumberFormat="1" applyFill="1"/>
    <xf numFmtId="177" fontId="0" fillId="6" borderId="0" xfId="0" applyFill="1"/>
    <xf numFmtId="177" fontId="9" fillId="2" borderId="0" xfId="0" applyFont="1" applyFill="1" applyAlignment="1">
      <alignment vertical="center" wrapText="1"/>
    </xf>
    <xf numFmtId="168" fontId="9" fillId="2" borderId="0" xfId="2" applyFont="1" applyFill="1" applyAlignment="1">
      <alignment vertical="center" wrapText="1"/>
    </xf>
    <xf numFmtId="176" fontId="9" fillId="2" borderId="0" xfId="2" applyNumberFormat="1" applyFont="1" applyFill="1" applyAlignment="1">
      <alignment horizontal="right" vertical="center" wrapText="1"/>
    </xf>
    <xf numFmtId="176" fontId="9" fillId="2" borderId="0" xfId="2" applyNumberFormat="1" applyFont="1" applyFill="1" applyAlignment="1">
      <alignment horizontal="center" vertical="center" wrapText="1"/>
    </xf>
    <xf numFmtId="177" fontId="9" fillId="0" borderId="0" xfId="0" applyFont="1" applyAlignment="1">
      <alignment vertical="center" wrapText="1"/>
    </xf>
    <xf numFmtId="177" fontId="9" fillId="2" borderId="0" xfId="0" applyFont="1" applyFill="1" applyAlignment="1">
      <alignment horizontal="right" vertical="center" wrapText="1"/>
    </xf>
    <xf numFmtId="176" fontId="9" fillId="2" borderId="0" xfId="2" applyNumberFormat="1" applyFont="1" applyFill="1" applyBorder="1" applyAlignment="1">
      <alignment horizontal="right" vertical="center" wrapText="1"/>
    </xf>
    <xf numFmtId="176" fontId="68" fillId="2" borderId="0" xfId="2" applyNumberFormat="1" applyFont="1" applyFill="1" applyBorder="1" applyAlignment="1">
      <alignment horizontal="center" vertical="center" wrapText="1"/>
    </xf>
    <xf numFmtId="176" fontId="9" fillId="2" borderId="0" xfId="2" applyNumberFormat="1" applyFont="1" applyFill="1" applyBorder="1" applyAlignment="1">
      <alignment horizontal="center" vertical="center" wrapText="1"/>
    </xf>
    <xf numFmtId="172" fontId="9" fillId="0" borderId="2" xfId="1" applyNumberFormat="1" applyFont="1" applyFill="1" applyBorder="1" applyAlignment="1">
      <alignment vertical="center" wrapText="1"/>
    </xf>
    <xf numFmtId="177" fontId="9" fillId="0" borderId="2" xfId="0" applyFont="1" applyBorder="1" applyAlignment="1">
      <alignment horizontal="justify" vertical="center" wrapText="1"/>
    </xf>
    <xf numFmtId="172" fontId="9" fillId="0" borderId="2" xfId="1" applyNumberFormat="1" applyFont="1" applyFill="1" applyBorder="1" applyAlignment="1">
      <alignment horizontal="center" vertical="center" wrapText="1"/>
    </xf>
    <xf numFmtId="177" fontId="24" fillId="0" borderId="2" xfId="0" applyFont="1" applyBorder="1" applyAlignment="1">
      <alignment horizontal="justify" vertical="center" wrapText="1"/>
    </xf>
    <xf numFmtId="177" fontId="24" fillId="0" borderId="0" xfId="0" applyFont="1" applyAlignment="1">
      <alignment horizontal="center" vertical="center" wrapText="1"/>
    </xf>
    <xf numFmtId="169" fontId="24" fillId="0" borderId="0" xfId="1" applyFont="1" applyFill="1" applyBorder="1" applyAlignment="1">
      <alignment vertical="center" wrapText="1"/>
    </xf>
    <xf numFmtId="177" fontId="24" fillId="0" borderId="0" xfId="0" applyFont="1" applyAlignment="1">
      <alignment vertical="center" wrapText="1"/>
    </xf>
    <xf numFmtId="179" fontId="24" fillId="0" borderId="0" xfId="0" applyNumberFormat="1" applyFont="1" applyAlignment="1">
      <alignment vertical="center" wrapText="1"/>
    </xf>
    <xf numFmtId="177" fontId="9" fillId="2" borderId="2" xfId="75" applyFont="1" applyFill="1" applyBorder="1" applyAlignment="1">
      <alignment vertical="center" wrapText="1"/>
    </xf>
    <xf numFmtId="14" fontId="9" fillId="2" borderId="2" xfId="75" applyNumberFormat="1" applyFont="1" applyFill="1" applyBorder="1" applyAlignment="1">
      <alignment vertical="center" wrapText="1"/>
    </xf>
    <xf numFmtId="172" fontId="24" fillId="2" borderId="2" xfId="50" applyNumberFormat="1" applyFont="1" applyFill="1" applyBorder="1" applyAlignment="1">
      <alignment vertical="center" wrapText="1"/>
    </xf>
    <xf numFmtId="172" fontId="24" fillId="0" borderId="2" xfId="1" applyNumberFormat="1" applyFont="1" applyFill="1" applyBorder="1" applyAlignment="1">
      <alignment vertical="center" wrapText="1"/>
    </xf>
    <xf numFmtId="177" fontId="9" fillId="2" borderId="0" xfId="75" applyFont="1" applyFill="1" applyAlignment="1">
      <alignment vertical="center" wrapText="1"/>
    </xf>
    <xf numFmtId="172" fontId="24" fillId="2" borderId="0" xfId="50" applyNumberFormat="1" applyFont="1" applyFill="1" applyBorder="1" applyAlignment="1">
      <alignment vertical="center" wrapText="1"/>
    </xf>
    <xf numFmtId="0" fontId="0" fillId="0" borderId="0" xfId="0" applyNumberFormat="1"/>
    <xf numFmtId="172" fontId="9" fillId="0" borderId="2" xfId="1" applyNumberFormat="1" applyFont="1" applyFill="1" applyBorder="1" applyAlignment="1">
      <alignment horizontal="right" vertical="center" wrapText="1"/>
    </xf>
    <xf numFmtId="3" fontId="71" fillId="0" borderId="0" xfId="0" applyNumberFormat="1" applyFont="1"/>
    <xf numFmtId="177" fontId="28" fillId="3" borderId="2" xfId="0" applyFont="1" applyFill="1" applyBorder="1" applyAlignment="1">
      <alignment horizontal="center" vertical="center"/>
    </xf>
    <xf numFmtId="177" fontId="24" fillId="51" borderId="2" xfId="0" applyFont="1" applyFill="1" applyBorder="1" applyAlignment="1">
      <alignment horizontal="center" vertical="center" wrapText="1"/>
    </xf>
    <xf numFmtId="3" fontId="46" fillId="0" borderId="0" xfId="0" applyNumberFormat="1" applyFont="1" applyAlignment="1">
      <alignment vertical="center" wrapText="1"/>
    </xf>
    <xf numFmtId="169" fontId="9" fillId="0" borderId="2" xfId="1" applyFont="1" applyFill="1" applyBorder="1" applyAlignment="1">
      <alignment horizontal="center" vertical="center" wrapText="1"/>
    </xf>
    <xf numFmtId="3" fontId="73" fillId="0" borderId="0" xfId="0" applyNumberFormat="1" applyFont="1"/>
    <xf numFmtId="172" fontId="24" fillId="0" borderId="0" xfId="1" applyNumberFormat="1" applyFont="1" applyFill="1" applyAlignment="1">
      <alignment vertical="center" wrapText="1"/>
    </xf>
    <xf numFmtId="177" fontId="9" fillId="0" borderId="2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177" fontId="9" fillId="0" borderId="15" xfId="0" applyFont="1" applyBorder="1" applyAlignment="1">
      <alignment horizontal="center" vertical="center" wrapText="1"/>
    </xf>
    <xf numFmtId="177" fontId="9" fillId="0" borderId="15" xfId="0" applyFont="1" applyBorder="1" applyAlignment="1">
      <alignment horizontal="justify" vertical="center" wrapText="1"/>
    </xf>
    <xf numFmtId="3" fontId="9" fillId="0" borderId="15" xfId="0" applyNumberFormat="1" applyFont="1" applyBorder="1" applyAlignment="1">
      <alignment horizontal="center" vertical="center" wrapText="1"/>
    </xf>
    <xf numFmtId="172" fontId="72" fillId="0" borderId="15" xfId="598" applyNumberFormat="1" applyFont="1" applyBorder="1" applyAlignment="1">
      <alignment vertical="center" wrapText="1"/>
    </xf>
    <xf numFmtId="177" fontId="9" fillId="0" borderId="0" xfId="0" applyFont="1"/>
    <xf numFmtId="177" fontId="74" fillId="3" borderId="2" xfId="0" applyFont="1" applyFill="1" applyBorder="1" applyAlignment="1">
      <alignment horizontal="center" vertical="center" wrapText="1"/>
    </xf>
    <xf numFmtId="172" fontId="23" fillId="3" borderId="2" xfId="597" applyNumberFormat="1" applyFont="1" applyFill="1" applyBorder="1" applyAlignment="1">
      <alignment vertical="center" wrapText="1"/>
    </xf>
    <xf numFmtId="167" fontId="75" fillId="0" borderId="0" xfId="2769" applyFont="1" applyFill="1" applyAlignment="1">
      <alignment vertical="center" wrapText="1"/>
    </xf>
    <xf numFmtId="177" fontId="75" fillId="0" borderId="0" xfId="0" applyFont="1" applyAlignment="1">
      <alignment vertical="center" wrapText="1"/>
    </xf>
    <xf numFmtId="0" fontId="38" fillId="0" borderId="0" xfId="2775" applyFont="1"/>
    <xf numFmtId="172" fontId="28" fillId="0" borderId="0" xfId="2775" applyNumberFormat="1" applyFont="1"/>
    <xf numFmtId="169" fontId="0" fillId="0" borderId="0" xfId="1" applyFont="1"/>
    <xf numFmtId="0" fontId="37" fillId="52" borderId="2" xfId="2775" applyFont="1" applyFill="1" applyBorder="1" applyAlignment="1">
      <alignment horizontal="center" vertical="center" wrapText="1"/>
    </xf>
    <xf numFmtId="177" fontId="37" fillId="52" borderId="2" xfId="2775" applyNumberFormat="1" applyFont="1" applyFill="1" applyBorder="1" applyAlignment="1">
      <alignment horizontal="center" vertical="center" wrapText="1"/>
    </xf>
    <xf numFmtId="168" fontId="37" fillId="52" borderId="2" xfId="2774" applyFont="1" applyFill="1" applyBorder="1" applyAlignment="1">
      <alignment horizontal="center" vertical="center" wrapText="1"/>
    </xf>
    <xf numFmtId="0" fontId="27" fillId="0" borderId="2" xfId="2426" applyFont="1" applyBorder="1" applyAlignment="1">
      <alignment horizontal="center" vertical="center" wrapText="1"/>
    </xf>
    <xf numFmtId="0" fontId="38" fillId="0" borderId="2" xfId="2775" applyFont="1" applyBorder="1" applyAlignment="1">
      <alignment wrapText="1"/>
    </xf>
    <xf numFmtId="177" fontId="37" fillId="0" borderId="2" xfId="2775" applyNumberFormat="1" applyFont="1" applyBorder="1" applyAlignment="1">
      <alignment horizontal="center" vertical="center" wrapText="1"/>
    </xf>
    <xf numFmtId="172" fontId="38" fillId="0" borderId="2" xfId="2776" applyNumberFormat="1" applyFont="1" applyFill="1" applyBorder="1" applyAlignment="1">
      <alignment horizontal="center" vertical="center"/>
    </xf>
    <xf numFmtId="203" fontId="0" fillId="0" borderId="2" xfId="1" applyNumberFormat="1" applyFont="1" applyBorder="1" applyAlignment="1">
      <alignment horizontal="center" vertical="center"/>
    </xf>
    <xf numFmtId="177" fontId="27" fillId="0" borderId="2" xfId="2773" applyNumberFormat="1" applyFont="1" applyFill="1" applyBorder="1" applyAlignment="1">
      <alignment horizontal="right" wrapText="1"/>
    </xf>
    <xf numFmtId="172" fontId="27" fillId="0" borderId="2" xfId="2776" applyNumberFormat="1" applyFont="1" applyFill="1" applyBorder="1" applyAlignment="1">
      <alignment horizontal="center" vertical="center" wrapText="1"/>
    </xf>
    <xf numFmtId="172" fontId="28" fillId="0" borderId="2" xfId="2775" applyNumberFormat="1" applyFont="1" applyBorder="1" applyAlignment="1">
      <alignment horizontal="center" vertical="center"/>
    </xf>
    <xf numFmtId="203" fontId="12" fillId="0" borderId="2" xfId="0" applyNumberFormat="1" applyFont="1" applyBorder="1"/>
    <xf numFmtId="177" fontId="0" fillId="0" borderId="0" xfId="0" applyAlignment="1">
      <alignment horizontal="center" vertical="center"/>
    </xf>
    <xf numFmtId="168" fontId="0" fillId="0" borderId="0" xfId="2" applyFont="1"/>
    <xf numFmtId="181" fontId="9" fillId="0" borderId="2" xfId="0" applyNumberFormat="1" applyFont="1" applyBorder="1" applyAlignment="1">
      <alignment horizontal="center" vertical="center" wrapText="1"/>
    </xf>
    <xf numFmtId="181" fontId="9" fillId="0" borderId="15" xfId="0" applyNumberFormat="1" applyFont="1" applyBorder="1" applyAlignment="1">
      <alignment horizontal="center" vertical="center" wrapText="1"/>
    </xf>
    <xf numFmtId="168" fontId="46" fillId="0" borderId="0" xfId="2" applyFont="1" applyAlignment="1">
      <alignment vertical="center" wrapText="1"/>
    </xf>
    <xf numFmtId="172" fontId="72" fillId="0" borderId="0" xfId="598" applyNumberFormat="1" applyFont="1" applyFill="1" applyBorder="1" applyAlignment="1">
      <alignment vertical="center" wrapText="1"/>
    </xf>
    <xf numFmtId="177" fontId="23" fillId="9" borderId="2" xfId="0" applyFont="1" applyFill="1" applyBorder="1" applyAlignment="1">
      <alignment horizontal="center" vertical="center" wrapText="1"/>
    </xf>
    <xf numFmtId="168" fontId="23" fillId="9" borderId="2" xfId="2" applyFont="1" applyFill="1" applyBorder="1" applyAlignment="1">
      <alignment horizontal="center" vertical="center" wrapText="1"/>
    </xf>
    <xf numFmtId="176" fontId="23" fillId="9" borderId="2" xfId="2" applyNumberFormat="1" applyFont="1" applyFill="1" applyBorder="1" applyAlignment="1">
      <alignment horizontal="center" vertical="center" wrapText="1"/>
    </xf>
    <xf numFmtId="169" fontId="24" fillId="2" borderId="16" xfId="1" applyFont="1" applyFill="1" applyBorder="1" applyAlignment="1">
      <alignment vertical="center" wrapText="1"/>
    </xf>
    <xf numFmtId="169" fontId="24" fillId="2" borderId="3" xfId="1" applyFont="1" applyFill="1" applyBorder="1" applyAlignment="1">
      <alignment vertical="center" wrapText="1"/>
    </xf>
    <xf numFmtId="169" fontId="24" fillId="2" borderId="17" xfId="1" applyFont="1" applyFill="1" applyBorder="1" applyAlignment="1">
      <alignment vertical="center" wrapText="1"/>
    </xf>
    <xf numFmtId="177" fontId="24" fillId="9" borderId="2" xfId="0" applyFont="1" applyFill="1" applyBorder="1" applyAlignment="1">
      <alignment horizontal="justify" vertical="center" wrapText="1"/>
    </xf>
    <xf numFmtId="172" fontId="24" fillId="9" borderId="2" xfId="1" applyNumberFormat="1" applyFont="1" applyFill="1" applyBorder="1" applyAlignment="1">
      <alignment vertical="center" wrapText="1"/>
    </xf>
    <xf numFmtId="172" fontId="24" fillId="53" borderId="2" xfId="1" applyNumberFormat="1" applyFont="1" applyFill="1" applyBorder="1" applyAlignment="1">
      <alignment vertical="center" wrapText="1"/>
    </xf>
    <xf numFmtId="176" fontId="46" fillId="0" borderId="0" xfId="2" applyNumberFormat="1" applyFont="1" applyAlignment="1">
      <alignment vertical="center" wrapText="1"/>
    </xf>
    <xf numFmtId="169" fontId="46" fillId="0" borderId="0" xfId="1" applyFont="1" applyAlignment="1">
      <alignment vertical="center" wrapText="1"/>
    </xf>
    <xf numFmtId="177" fontId="9" fillId="2" borderId="0" xfId="0" applyFont="1" applyFill="1" applyAlignment="1">
      <alignment horizontal="left" vertical="center" wrapText="1"/>
    </xf>
    <xf numFmtId="169" fontId="9" fillId="0" borderId="4" xfId="1" applyFont="1" applyFill="1" applyBorder="1" applyAlignment="1">
      <alignment vertical="center" wrapText="1"/>
    </xf>
    <xf numFmtId="168" fontId="46" fillId="2" borderId="0" xfId="2" applyFont="1" applyFill="1" applyAlignment="1">
      <alignment vertical="center" wrapText="1"/>
    </xf>
    <xf numFmtId="177" fontId="46" fillId="0" borderId="0" xfId="0" applyFont="1" applyAlignment="1">
      <alignment horizontal="left" vertical="center" wrapText="1"/>
    </xf>
    <xf numFmtId="177" fontId="46" fillId="0" borderId="0" xfId="0" applyFont="1" applyAlignment="1">
      <alignment horizontal="right" vertical="center" wrapText="1"/>
    </xf>
    <xf numFmtId="169" fontId="10" fillId="0" borderId="4" xfId="1" applyFont="1" applyFill="1" applyBorder="1" applyAlignment="1">
      <alignment vertical="center" wrapText="1"/>
    </xf>
    <xf numFmtId="177" fontId="24" fillId="53" borderId="5" xfId="0" applyFont="1" applyFill="1" applyBorder="1" applyAlignment="1">
      <alignment vertical="center" wrapText="1"/>
    </xf>
    <xf numFmtId="177" fontId="9" fillId="9" borderId="5" xfId="0" applyFont="1" applyFill="1" applyBorder="1" applyAlignment="1">
      <alignment vertical="center" wrapText="1"/>
    </xf>
    <xf numFmtId="169" fontId="9" fillId="9" borderId="4" xfId="1" applyFont="1" applyFill="1" applyBorder="1" applyAlignment="1">
      <alignment vertical="center" wrapText="1"/>
    </xf>
    <xf numFmtId="169" fontId="24" fillId="53" borderId="4" xfId="1" applyFont="1" applyFill="1" applyBorder="1" applyAlignment="1">
      <alignment vertical="center" wrapText="1"/>
    </xf>
    <xf numFmtId="177" fontId="24" fillId="0" borderId="5" xfId="0" applyFont="1" applyBorder="1" applyAlignment="1">
      <alignment vertical="center" wrapText="1"/>
    </xf>
    <xf numFmtId="169" fontId="24" fillId="0" borderId="4" xfId="1" applyFont="1" applyFill="1" applyBorder="1" applyAlignment="1">
      <alignment vertical="center" wrapText="1"/>
    </xf>
    <xf numFmtId="177" fontId="9" fillId="0" borderId="5" xfId="0" applyFont="1" applyBorder="1" applyAlignment="1">
      <alignment vertical="center" wrapText="1"/>
    </xf>
    <xf numFmtId="0" fontId="72" fillId="0" borderId="0" xfId="2868" applyFont="1"/>
    <xf numFmtId="0" fontId="23" fillId="0" borderId="0" xfId="2868" applyFont="1"/>
    <xf numFmtId="0" fontId="23" fillId="0" borderId="0" xfId="2868" applyFont="1" applyAlignment="1">
      <alignment vertical="center"/>
    </xf>
    <xf numFmtId="0" fontId="78" fillId="0" borderId="0" xfId="2868" applyFont="1"/>
    <xf numFmtId="0" fontId="72" fillId="0" borderId="2" xfId="2868" applyFont="1" applyBorder="1" applyAlignment="1">
      <alignment vertical="center" wrapText="1"/>
    </xf>
    <xf numFmtId="0" fontId="72" fillId="0" borderId="2" xfId="2868" applyFont="1" applyBorder="1" applyAlignment="1">
      <alignment horizontal="left" vertical="center" wrapText="1"/>
    </xf>
    <xf numFmtId="172" fontId="72" fillId="0" borderId="2" xfId="598" applyNumberFormat="1" applyFont="1" applyBorder="1" applyAlignment="1">
      <alignment vertical="center" wrapText="1"/>
    </xf>
    <xf numFmtId="167" fontId="9" fillId="0" borderId="2" xfId="2769" applyFont="1" applyBorder="1" applyAlignment="1">
      <alignment horizontal="center" vertical="center" wrapText="1"/>
    </xf>
    <xf numFmtId="169" fontId="24" fillId="2" borderId="19" xfId="1" applyFont="1" applyFill="1" applyBorder="1" applyAlignment="1">
      <alignment vertical="center" wrapText="1"/>
    </xf>
    <xf numFmtId="169" fontId="24" fillId="2" borderId="20" xfId="1" applyFont="1" applyFill="1" applyBorder="1" applyAlignment="1">
      <alignment vertical="center" wrapText="1"/>
    </xf>
    <xf numFmtId="172" fontId="24" fillId="0" borderId="2" xfId="1" applyNumberFormat="1" applyFont="1" applyFill="1" applyBorder="1" applyAlignment="1">
      <alignment horizontal="right" vertical="center" wrapText="1"/>
    </xf>
    <xf numFmtId="169" fontId="24" fillId="2" borderId="22" xfId="1" applyFont="1" applyFill="1" applyBorder="1" applyAlignment="1">
      <alignment vertical="center" wrapText="1"/>
    </xf>
    <xf numFmtId="172" fontId="38" fillId="0" borderId="2" xfId="2776" applyNumberFormat="1" applyFont="1" applyFill="1" applyBorder="1"/>
    <xf numFmtId="172" fontId="27" fillId="0" borderId="2" xfId="2776" applyNumberFormat="1" applyFont="1" applyFill="1" applyBorder="1" applyAlignment="1">
      <alignment horizontal="right" vertical="center" wrapText="1"/>
    </xf>
    <xf numFmtId="0" fontId="4" fillId="0" borderId="0" xfId="87" applyFont="1"/>
    <xf numFmtId="172" fontId="4" fillId="0" borderId="2" xfId="87" applyNumberFormat="1" applyFont="1" applyBorder="1"/>
    <xf numFmtId="3" fontId="4" fillId="0" borderId="2" xfId="87" applyNumberFormat="1" applyFont="1" applyBorder="1"/>
    <xf numFmtId="172" fontId="4" fillId="0" borderId="0" xfId="87" applyNumberFormat="1" applyFont="1"/>
    <xf numFmtId="177" fontId="23" fillId="0" borderId="22" xfId="0" applyFont="1" applyBorder="1"/>
    <xf numFmtId="0" fontId="38" fillId="0" borderId="2" xfId="2910" applyFont="1" applyBorder="1" applyAlignment="1">
      <alignment vertical="center"/>
    </xf>
    <xf numFmtId="0" fontId="38" fillId="0" borderId="2" xfId="2910" applyFont="1" applyBorder="1" applyAlignment="1">
      <alignment horizontal="left" vertical="center" wrapText="1"/>
    </xf>
    <xf numFmtId="3" fontId="38" fillId="0" borderId="2" xfId="2910" applyNumberFormat="1" applyFont="1" applyBorder="1" applyAlignment="1">
      <alignment horizontal="right" vertical="center"/>
    </xf>
    <xf numFmtId="3" fontId="38" fillId="0" borderId="2" xfId="2910" applyNumberFormat="1" applyFont="1" applyBorder="1" applyAlignment="1">
      <alignment horizontal="right" vertical="center" wrapText="1"/>
    </xf>
    <xf numFmtId="0" fontId="38" fillId="0" borderId="2" xfId="2910" applyFont="1" applyBorder="1" applyAlignment="1">
      <alignment vertical="center" wrapText="1"/>
    </xf>
    <xf numFmtId="177" fontId="38" fillId="0" borderId="0" xfId="0" applyFont="1" applyAlignment="1">
      <alignment wrapText="1"/>
    </xf>
    <xf numFmtId="3" fontId="38" fillId="0" borderId="0" xfId="0" applyNumberFormat="1" applyFont="1"/>
    <xf numFmtId="177" fontId="38" fillId="0" borderId="0" xfId="0" applyFont="1"/>
    <xf numFmtId="3" fontId="28" fillId="0" borderId="0" xfId="0" applyNumberFormat="1" applyFont="1" applyAlignment="1">
      <alignment horizontal="center" wrapText="1"/>
    </xf>
    <xf numFmtId="177" fontId="28" fillId="0" borderId="0" xfId="0" applyFont="1" applyAlignment="1">
      <alignment horizontal="center" wrapText="1"/>
    </xf>
    <xf numFmtId="3" fontId="38" fillId="0" borderId="0" xfId="0" applyNumberFormat="1" applyFont="1" applyAlignment="1">
      <alignment wrapText="1"/>
    </xf>
    <xf numFmtId="3" fontId="28" fillId="0" borderId="0" xfId="0" applyNumberFormat="1" applyFont="1"/>
    <xf numFmtId="204" fontId="27" fillId="0" borderId="2" xfId="2770" applyNumberFormat="1" applyFont="1" applyFill="1" applyBorder="1" applyAlignment="1">
      <alignment horizontal="center" vertical="center" wrapText="1"/>
    </xf>
    <xf numFmtId="205" fontId="38" fillId="0" borderId="0" xfId="0" applyNumberFormat="1" applyFont="1"/>
    <xf numFmtId="177" fontId="28" fillId="55" borderId="23" xfId="0" applyFont="1" applyFill="1" applyBorder="1" applyAlignment="1">
      <alignment horizontal="left" vertical="top" wrapText="1"/>
    </xf>
    <xf numFmtId="177" fontId="38" fillId="0" borderId="43" xfId="0" applyFont="1" applyBorder="1" applyAlignment="1">
      <alignment wrapText="1"/>
    </xf>
    <xf numFmtId="177" fontId="81" fillId="0" borderId="43" xfId="0" applyFont="1" applyBorder="1" applyAlignment="1">
      <alignment wrapText="1"/>
    </xf>
    <xf numFmtId="177" fontId="38" fillId="0" borderId="34" xfId="0" applyFont="1" applyBorder="1" applyAlignment="1">
      <alignment wrapText="1"/>
    </xf>
    <xf numFmtId="177" fontId="38" fillId="0" borderId="53" xfId="0" applyFont="1" applyBorder="1" applyAlignment="1">
      <alignment wrapText="1"/>
    </xf>
    <xf numFmtId="177" fontId="28" fillId="55" borderId="23" xfId="0" applyFont="1" applyFill="1" applyBorder="1" applyAlignment="1">
      <alignment horizontal="left" wrapText="1"/>
    </xf>
    <xf numFmtId="3" fontId="28" fillId="55" borderId="37" xfId="0" applyNumberFormat="1" applyFont="1" applyFill="1" applyBorder="1"/>
    <xf numFmtId="3" fontId="28" fillId="4" borderId="37" xfId="0" applyNumberFormat="1" applyFont="1" applyFill="1" applyBorder="1"/>
    <xf numFmtId="3" fontId="38" fillId="0" borderId="40" xfId="0" applyNumberFormat="1" applyFont="1" applyBorder="1"/>
    <xf numFmtId="177" fontId="27" fillId="0" borderId="34" xfId="0" applyFont="1" applyBorder="1" applyAlignment="1">
      <alignment wrapText="1"/>
    </xf>
    <xf numFmtId="177" fontId="38" fillId="55" borderId="34" xfId="0" applyFont="1" applyFill="1" applyBorder="1" applyAlignment="1">
      <alignment wrapText="1"/>
    </xf>
    <xf numFmtId="3" fontId="28" fillId="0" borderId="40" xfId="0" applyNumberFormat="1" applyFont="1" applyBorder="1"/>
    <xf numFmtId="3" fontId="28" fillId="0" borderId="35" xfId="0" applyNumberFormat="1" applyFont="1" applyBorder="1"/>
    <xf numFmtId="3" fontId="37" fillId="55" borderId="37" xfId="0" applyNumberFormat="1" applyFont="1" applyFill="1" applyBorder="1" applyAlignment="1">
      <alignment vertical="center"/>
    </xf>
    <xf numFmtId="177" fontId="27" fillId="0" borderId="0" xfId="0" applyFont="1"/>
    <xf numFmtId="49" fontId="27" fillId="2" borderId="2" xfId="0" applyNumberFormat="1" applyFont="1" applyFill="1" applyBorder="1" applyAlignment="1">
      <alignment horizontal="left" vertical="center" wrapText="1"/>
    </xf>
    <xf numFmtId="177" fontId="38" fillId="0" borderId="2" xfId="0" applyFont="1" applyBorder="1" applyAlignment="1">
      <alignment vertical="center" wrapText="1"/>
    </xf>
    <xf numFmtId="49" fontId="27" fillId="2" borderId="2" xfId="0" applyNumberFormat="1" applyFont="1" applyFill="1" applyBorder="1" applyAlignment="1">
      <alignment vertical="center" wrapText="1"/>
    </xf>
    <xf numFmtId="3" fontId="27" fillId="2" borderId="2" xfId="0" applyNumberFormat="1" applyFont="1" applyFill="1" applyBorder="1" applyAlignment="1">
      <alignment horizontal="right" vertical="center" wrapText="1"/>
    </xf>
    <xf numFmtId="3" fontId="38" fillId="0" borderId="2" xfId="2769" applyNumberFormat="1" applyFont="1" applyFill="1" applyBorder="1" applyAlignment="1">
      <alignment horizontal="right" vertical="center"/>
    </xf>
    <xf numFmtId="177" fontId="38" fillId="2" borderId="2" xfId="0" applyFont="1" applyFill="1" applyBorder="1" applyAlignment="1">
      <alignment horizontal="left" vertical="center"/>
    </xf>
    <xf numFmtId="177" fontId="38" fillId="2" borderId="2" xfId="0" applyFont="1" applyFill="1" applyBorder="1" applyAlignment="1">
      <alignment vertical="center" wrapText="1"/>
    </xf>
    <xf numFmtId="3" fontId="38" fillId="2" borderId="2" xfId="0" applyNumberFormat="1" applyFont="1" applyFill="1" applyBorder="1" applyAlignment="1">
      <alignment horizontal="right" vertical="center"/>
    </xf>
    <xf numFmtId="1" fontId="38" fillId="2" borderId="2" xfId="0" applyNumberFormat="1" applyFont="1" applyFill="1" applyBorder="1" applyAlignment="1">
      <alignment horizontal="left" vertical="center"/>
    </xf>
    <xf numFmtId="1" fontId="27" fillId="2" borderId="2" xfId="0" applyNumberFormat="1" applyFont="1" applyFill="1" applyBorder="1" applyAlignment="1">
      <alignment horizontal="left" vertical="center" wrapText="1"/>
    </xf>
    <xf numFmtId="49" fontId="26" fillId="2" borderId="2" xfId="0" applyNumberFormat="1" applyFont="1" applyFill="1" applyBorder="1" applyAlignment="1">
      <alignment horizontal="left" vertical="center" wrapText="1"/>
    </xf>
    <xf numFmtId="167" fontId="37" fillId="3" borderId="2" xfId="0" applyNumberFormat="1" applyFont="1" applyFill="1" applyBorder="1"/>
    <xf numFmtId="177" fontId="38" fillId="2" borderId="2" xfId="0" applyFont="1" applyFill="1" applyBorder="1" applyAlignment="1">
      <alignment horizontal="left"/>
    </xf>
    <xf numFmtId="3" fontId="38" fillId="2" borderId="2" xfId="0" applyNumberFormat="1" applyFont="1" applyFill="1" applyBorder="1" applyAlignment="1">
      <alignment horizontal="right"/>
    </xf>
    <xf numFmtId="167" fontId="38" fillId="0" borderId="2" xfId="2769" applyFont="1" applyFill="1" applyBorder="1"/>
    <xf numFmtId="1" fontId="38" fillId="0" borderId="2" xfId="0" applyNumberFormat="1" applyFont="1" applyBorder="1" applyAlignment="1">
      <alignment horizontal="left"/>
    </xf>
    <xf numFmtId="177" fontId="28" fillId="0" borderId="2" xfId="0" applyFont="1" applyBorder="1" applyAlignment="1">
      <alignment horizontal="left"/>
    </xf>
    <xf numFmtId="177" fontId="38" fillId="0" borderId="2" xfId="0" applyFont="1" applyBorder="1" applyAlignment="1">
      <alignment horizontal="left"/>
    </xf>
    <xf numFmtId="177" fontId="38" fillId="0" borderId="2" xfId="0" applyFont="1" applyBorder="1" applyAlignment="1">
      <alignment horizontal="left" wrapText="1"/>
    </xf>
    <xf numFmtId="167" fontId="38" fillId="0" borderId="2" xfId="0" applyNumberFormat="1" applyFont="1" applyBorder="1"/>
    <xf numFmtId="3" fontId="38" fillId="0" borderId="2" xfId="0" applyNumberFormat="1" applyFont="1" applyBorder="1" applyAlignment="1">
      <alignment horizontal="right"/>
    </xf>
    <xf numFmtId="3" fontId="37" fillId="50" borderId="2" xfId="0" applyNumberFormat="1" applyFont="1" applyFill="1" applyBorder="1" applyAlignment="1">
      <alignment horizontal="right"/>
    </xf>
    <xf numFmtId="177" fontId="28" fillId="0" borderId="0" xfId="0" applyFont="1" applyAlignment="1">
      <alignment horizontal="left"/>
    </xf>
    <xf numFmtId="3" fontId="82" fillId="0" borderId="0" xfId="0" applyNumberFormat="1" applyFont="1" applyAlignment="1">
      <alignment horizontal="right"/>
    </xf>
    <xf numFmtId="167" fontId="28" fillId="54" borderId="2" xfId="0" applyNumberFormat="1" applyFont="1" applyFill="1" applyBorder="1"/>
    <xf numFmtId="3" fontId="28" fillId="0" borderId="2" xfId="0" applyNumberFormat="1" applyFont="1" applyBorder="1" applyAlignment="1">
      <alignment horizontal="right"/>
    </xf>
    <xf numFmtId="177" fontId="81" fillId="0" borderId="0" xfId="0" applyFont="1" applyAlignment="1">
      <alignment horizontal="center" vertical="center" wrapText="1"/>
    </xf>
    <xf numFmtId="1" fontId="83" fillId="0" borderId="0" xfId="0" applyNumberFormat="1" applyFont="1"/>
    <xf numFmtId="172" fontId="83" fillId="0" borderId="0" xfId="1" applyNumberFormat="1" applyFont="1"/>
    <xf numFmtId="177" fontId="83" fillId="0" borderId="0" xfId="0" applyFont="1"/>
    <xf numFmtId="177" fontId="81" fillId="0" borderId="0" xfId="0" applyFont="1" applyAlignment="1">
      <alignment vertical="center" wrapText="1"/>
    </xf>
    <xf numFmtId="172" fontId="27" fillId="0" borderId="2" xfId="597" applyNumberFormat="1" applyFont="1" applyFill="1" applyBorder="1" applyAlignment="1">
      <alignment horizontal="right" vertical="center"/>
    </xf>
    <xf numFmtId="172" fontId="27" fillId="0" borderId="0" xfId="1" applyNumberFormat="1" applyFont="1" applyFill="1"/>
    <xf numFmtId="169" fontId="84" fillId="0" borderId="0" xfId="1" applyFont="1"/>
    <xf numFmtId="177" fontId="82" fillId="0" borderId="0" xfId="0" applyFont="1"/>
    <xf numFmtId="177" fontId="28" fillId="56" borderId="2" xfId="0" applyFont="1" applyFill="1" applyBorder="1" applyAlignment="1">
      <alignment horizontal="center" vertical="center" wrapText="1"/>
    </xf>
    <xf numFmtId="3" fontId="37" fillId="56" borderId="2" xfId="0" applyNumberFormat="1" applyFont="1" applyFill="1" applyBorder="1" applyAlignment="1">
      <alignment horizontal="center" vertical="center" wrapText="1"/>
    </xf>
    <xf numFmtId="0" fontId="85" fillId="0" borderId="0" xfId="2902" applyFont="1" applyAlignment="1">
      <alignment horizontal="left" vertical="center"/>
    </xf>
    <xf numFmtId="0" fontId="27" fillId="0" borderId="2" xfId="2902" applyFont="1" applyBorder="1" applyAlignment="1">
      <alignment horizontal="center" vertical="center" wrapText="1"/>
    </xf>
    <xf numFmtId="0" fontId="26" fillId="0" borderId="2" xfId="2902" applyFont="1" applyBorder="1" applyAlignment="1">
      <alignment vertical="center" wrapText="1"/>
    </xf>
    <xf numFmtId="3" fontId="28" fillId="0" borderId="2" xfId="2902" applyNumberFormat="1" applyFont="1" applyBorder="1"/>
    <xf numFmtId="177" fontId="27" fillId="2" borderId="0" xfId="0" applyFont="1" applyFill="1"/>
    <xf numFmtId="172" fontId="82" fillId="0" borderId="0" xfId="1" applyNumberFormat="1" applyFont="1"/>
    <xf numFmtId="0" fontId="37" fillId="56" borderId="2" xfId="2902" applyFont="1" applyFill="1" applyBorder="1" applyAlignment="1">
      <alignment horizontal="center" vertical="center" wrapText="1"/>
    </xf>
    <xf numFmtId="0" fontId="37" fillId="56" borderId="2" xfId="2902" applyFont="1" applyFill="1" applyBorder="1" applyAlignment="1">
      <alignment horizontal="center" vertical="top" wrapText="1"/>
    </xf>
    <xf numFmtId="0" fontId="28" fillId="56" borderId="2" xfId="2910" applyFont="1" applyFill="1" applyBorder="1" applyAlignment="1">
      <alignment horizontal="center" vertical="center" wrapText="1"/>
    </xf>
    <xf numFmtId="0" fontId="28" fillId="56" borderId="2" xfId="2910" applyFont="1" applyFill="1" applyBorder="1" applyAlignment="1">
      <alignment horizontal="center" vertical="center"/>
    </xf>
    <xf numFmtId="172" fontId="27" fillId="0" borderId="0" xfId="1" applyNumberFormat="1" applyFont="1"/>
    <xf numFmtId="177" fontId="27" fillId="0" borderId="2" xfId="0" applyFont="1" applyBorder="1" applyAlignment="1">
      <alignment horizontal="justify" vertical="center" wrapText="1"/>
    </xf>
    <xf numFmtId="172" fontId="27" fillId="0" borderId="2" xfId="597" applyNumberFormat="1" applyFont="1" applyFill="1" applyBorder="1" applyAlignment="1">
      <alignment vertical="center" wrapText="1"/>
    </xf>
    <xf numFmtId="169" fontId="27" fillId="0" borderId="0" xfId="1" applyFont="1" applyFill="1"/>
    <xf numFmtId="177" fontId="37" fillId="0" borderId="2" xfId="0" applyFont="1" applyBorder="1" applyAlignment="1">
      <alignment horizontal="justify" vertical="center" wrapText="1"/>
    </xf>
    <xf numFmtId="172" fontId="37" fillId="0" borderId="2" xfId="597" applyNumberFormat="1" applyFont="1" applyFill="1" applyBorder="1"/>
    <xf numFmtId="1" fontId="28" fillId="56" borderId="4" xfId="0" applyNumberFormat="1" applyFont="1" applyFill="1" applyBorder="1"/>
    <xf numFmtId="167" fontId="28" fillId="56" borderId="2" xfId="0" applyNumberFormat="1" applyFont="1" applyFill="1" applyBorder="1"/>
    <xf numFmtId="172" fontId="38" fillId="0" borderId="0" xfId="1" applyNumberFormat="1" applyFont="1"/>
    <xf numFmtId="1" fontId="27" fillId="0" borderId="0" xfId="0" applyNumberFormat="1" applyFont="1" applyAlignment="1">
      <alignment horizontal="center"/>
    </xf>
    <xf numFmtId="172" fontId="86" fillId="0" borderId="0" xfId="1" applyNumberFormat="1" applyFont="1"/>
    <xf numFmtId="0" fontId="37" fillId="56" borderId="29" xfId="2908" applyFont="1" applyFill="1" applyBorder="1" applyAlignment="1">
      <alignment horizontal="center" vertical="center" wrapText="1"/>
    </xf>
    <xf numFmtId="0" fontId="37" fillId="56" borderId="37" xfId="2908" applyFont="1" applyFill="1" applyBorder="1" applyAlignment="1">
      <alignment horizontal="center" vertical="center" wrapText="1"/>
    </xf>
    <xf numFmtId="49" fontId="37" fillId="56" borderId="30" xfId="2912" applyNumberFormat="1" applyFont="1" applyFill="1" applyBorder="1" applyAlignment="1">
      <alignment horizontal="center" vertical="center" wrapText="1"/>
    </xf>
    <xf numFmtId="168" fontId="28" fillId="56" borderId="37" xfId="2912" applyFont="1" applyFill="1" applyBorder="1" applyAlignment="1">
      <alignment horizontal="center" vertical="center" wrapText="1"/>
    </xf>
    <xf numFmtId="0" fontId="28" fillId="56" borderId="30" xfId="2908" applyFont="1" applyFill="1" applyBorder="1" applyAlignment="1">
      <alignment horizontal="center" vertical="center"/>
    </xf>
    <xf numFmtId="0" fontId="28" fillId="56" borderId="37" xfId="2908" applyFont="1" applyFill="1" applyBorder="1" applyAlignment="1">
      <alignment horizontal="center" vertical="center"/>
    </xf>
    <xf numFmtId="1" fontId="27" fillId="2" borderId="0" xfId="0" applyNumberFormat="1" applyFont="1" applyFill="1" applyAlignment="1">
      <alignment horizontal="center"/>
    </xf>
    <xf numFmtId="0" fontId="27" fillId="0" borderId="33" xfId="2426" applyFont="1" applyBorder="1" applyAlignment="1">
      <alignment horizontal="center" vertical="center" wrapText="1"/>
    </xf>
    <xf numFmtId="0" fontId="38" fillId="0" borderId="47" xfId="2908" applyFont="1" applyBorder="1" applyAlignment="1">
      <alignment vertical="center" wrapText="1"/>
    </xf>
    <xf numFmtId="49" fontId="27" fillId="0" borderId="47" xfId="2295" applyNumberFormat="1" applyFont="1" applyBorder="1" applyAlignment="1">
      <alignment horizontal="center" vertical="center" wrapText="1"/>
    </xf>
    <xf numFmtId="172" fontId="27" fillId="0" borderId="47" xfId="2909" applyNumberFormat="1" applyFont="1" applyFill="1" applyBorder="1" applyAlignment="1">
      <alignment horizontal="right" vertical="center"/>
    </xf>
    <xf numFmtId="1" fontId="38" fillId="0" borderId="47" xfId="2908" applyNumberFormat="1" applyFont="1" applyBorder="1" applyAlignment="1">
      <alignment horizontal="left" vertical="center" wrapText="1"/>
    </xf>
    <xf numFmtId="0" fontId="38" fillId="0" borderId="54" xfId="2908" applyFont="1" applyBorder="1" applyAlignment="1">
      <alignment horizontal="left" vertical="center" wrapText="1"/>
    </xf>
    <xf numFmtId="172" fontId="86" fillId="2" borderId="0" xfId="1" applyNumberFormat="1" applyFont="1" applyFill="1"/>
    <xf numFmtId="0" fontId="27" fillId="0" borderId="34" xfId="2426" applyFont="1" applyBorder="1" applyAlignment="1">
      <alignment horizontal="center" vertical="center" wrapText="1"/>
    </xf>
    <xf numFmtId="0" fontId="38" fillId="0" borderId="2" xfId="2908" applyFont="1" applyBorder="1" applyAlignment="1">
      <alignment vertical="center" wrapText="1"/>
    </xf>
    <xf numFmtId="49" fontId="27" fillId="0" borderId="2" xfId="2295" applyNumberFormat="1" applyFont="1" applyBorder="1" applyAlignment="1">
      <alignment horizontal="center" vertical="center" wrapText="1"/>
    </xf>
    <xf numFmtId="172" fontId="27" fillId="0" borderId="2" xfId="2909" applyNumberFormat="1" applyFont="1" applyFill="1" applyBorder="1" applyAlignment="1">
      <alignment horizontal="right" vertical="center"/>
    </xf>
    <xf numFmtId="1" fontId="38" fillId="0" borderId="2" xfId="2908" applyNumberFormat="1" applyFont="1" applyBorder="1" applyAlignment="1">
      <alignment horizontal="left" vertical="center" wrapText="1"/>
    </xf>
    <xf numFmtId="0" fontId="38" fillId="0" borderId="40" xfId="2908" applyFont="1" applyBorder="1" applyAlignment="1">
      <alignment horizontal="left" vertical="center" wrapText="1"/>
    </xf>
    <xf numFmtId="49" fontId="38" fillId="0" borderId="2" xfId="2908" applyNumberFormat="1" applyFont="1" applyBorder="1" applyAlignment="1">
      <alignment horizontal="center" vertical="center"/>
    </xf>
    <xf numFmtId="3" fontId="27" fillId="0" borderId="2" xfId="2908" applyNumberFormat="1" applyFont="1" applyBorder="1" applyAlignment="1">
      <alignment vertical="center"/>
    </xf>
    <xf numFmtId="172" fontId="27" fillId="0" borderId="21" xfId="2909" applyNumberFormat="1" applyFont="1" applyFill="1" applyBorder="1" applyAlignment="1">
      <alignment horizontal="right" vertical="center"/>
    </xf>
    <xf numFmtId="0" fontId="27" fillId="0" borderId="51" xfId="2426" applyFont="1" applyBorder="1" applyAlignment="1">
      <alignment horizontal="center" vertical="center" wrapText="1"/>
    </xf>
    <xf numFmtId="0" fontId="38" fillId="0" borderId="56" xfId="2908" applyFont="1" applyBorder="1" applyAlignment="1">
      <alignment vertical="center" wrapText="1"/>
    </xf>
    <xf numFmtId="49" fontId="27" fillId="0" borderId="56" xfId="2295" applyNumberFormat="1" applyFont="1" applyBorder="1" applyAlignment="1">
      <alignment horizontal="center" vertical="center" wrapText="1"/>
    </xf>
    <xf numFmtId="172" fontId="27" fillId="0" borderId="56" xfId="2909" applyNumberFormat="1" applyFont="1" applyFill="1" applyBorder="1" applyAlignment="1">
      <alignment horizontal="right" vertical="center"/>
    </xf>
    <xf numFmtId="1" fontId="38" fillId="0" borderId="56" xfId="2908" applyNumberFormat="1" applyFont="1" applyBorder="1" applyAlignment="1">
      <alignment horizontal="left" vertical="center" wrapText="1"/>
    </xf>
    <xf numFmtId="0" fontId="38" fillId="0" borderId="52" xfId="2908" applyFont="1" applyBorder="1" applyAlignment="1">
      <alignment horizontal="left" vertical="center" wrapText="1"/>
    </xf>
    <xf numFmtId="172" fontId="84" fillId="2" borderId="0" xfId="1" applyNumberFormat="1" applyFont="1" applyFill="1"/>
    <xf numFmtId="172" fontId="28" fillId="3" borderId="42" xfId="2909" applyNumberFormat="1" applyFont="1" applyFill="1" applyBorder="1" applyAlignment="1">
      <alignment horizontal="right" vertical="center"/>
    </xf>
    <xf numFmtId="172" fontId="27" fillId="0" borderId="15" xfId="2909" applyNumberFormat="1" applyFont="1" applyFill="1" applyBorder="1" applyAlignment="1">
      <alignment horizontal="right" vertical="center"/>
    </xf>
    <xf numFmtId="177" fontId="27" fillId="2" borderId="0" xfId="0" applyFont="1" applyFill="1" applyAlignment="1">
      <alignment horizontal="center"/>
    </xf>
    <xf numFmtId="172" fontId="87" fillId="2" borderId="0" xfId="1" applyNumberFormat="1" applyFont="1" applyFill="1"/>
    <xf numFmtId="0" fontId="38" fillId="0" borderId="34" xfId="2426" applyFont="1" applyBorder="1" applyAlignment="1">
      <alignment horizontal="center" vertical="center" wrapText="1"/>
    </xf>
    <xf numFmtId="0" fontId="27" fillId="0" borderId="36" xfId="2426" applyFont="1" applyBorder="1" applyAlignment="1">
      <alignment horizontal="center" vertical="center" wrapText="1"/>
    </xf>
    <xf numFmtId="0" fontId="38" fillId="0" borderId="45" xfId="2908" applyFont="1" applyBorder="1" applyAlignment="1">
      <alignment vertical="center" wrapText="1"/>
    </xf>
    <xf numFmtId="49" fontId="27" fillId="0" borderId="45" xfId="2295" applyNumberFormat="1" applyFont="1" applyBorder="1" applyAlignment="1">
      <alignment horizontal="center" vertical="center" wrapText="1"/>
    </xf>
    <xf numFmtId="172" fontId="27" fillId="0" borderId="45" xfId="2909" applyNumberFormat="1" applyFont="1" applyFill="1" applyBorder="1" applyAlignment="1">
      <alignment horizontal="right" vertical="center"/>
    </xf>
    <xf numFmtId="1" fontId="38" fillId="0" borderId="45" xfId="2908" applyNumberFormat="1" applyFont="1" applyBorder="1" applyAlignment="1">
      <alignment horizontal="left" vertical="center" wrapText="1"/>
    </xf>
    <xf numFmtId="0" fontId="38" fillId="0" borderId="41" xfId="2908" applyFont="1" applyBorder="1" applyAlignment="1">
      <alignment horizontal="left" vertical="center" wrapText="1"/>
    </xf>
    <xf numFmtId="172" fontId="28" fillId="3" borderId="28" xfId="2909" applyNumberFormat="1" applyFont="1" applyFill="1" applyBorder="1" applyAlignment="1">
      <alignment horizontal="right" vertical="center"/>
    </xf>
    <xf numFmtId="1" fontId="38" fillId="2" borderId="0" xfId="2908" applyNumberFormat="1" applyFont="1" applyFill="1" applyAlignment="1">
      <alignment horizontal="left" vertical="center" wrapText="1"/>
    </xf>
    <xf numFmtId="0" fontId="38" fillId="2" borderId="0" xfId="2908" applyFont="1" applyFill="1" applyAlignment="1">
      <alignment horizontal="left" vertical="center" wrapText="1"/>
    </xf>
    <xf numFmtId="172" fontId="28" fillId="0" borderId="37" xfId="2908" applyNumberFormat="1" applyFont="1" applyBorder="1"/>
    <xf numFmtId="0" fontId="38" fillId="0" borderId="0" xfId="2908" applyFont="1"/>
    <xf numFmtId="1" fontId="88" fillId="0" borderId="0" xfId="1" applyNumberFormat="1" applyFont="1"/>
    <xf numFmtId="177" fontId="88" fillId="0" borderId="0" xfId="0" applyFont="1"/>
    <xf numFmtId="0" fontId="37" fillId="56" borderId="2" xfId="2908" applyFont="1" applyFill="1" applyBorder="1" applyAlignment="1">
      <alignment horizontal="center" vertical="center" wrapText="1"/>
    </xf>
    <xf numFmtId="177" fontId="38" fillId="0" borderId="43" xfId="0" applyFont="1" applyBorder="1"/>
    <xf numFmtId="177" fontId="27" fillId="0" borderId="15" xfId="0" applyFont="1" applyBorder="1" applyAlignment="1">
      <alignment horizontal="justify" vertical="center" wrapText="1"/>
    </xf>
    <xf numFmtId="3" fontId="27" fillId="0" borderId="15" xfId="0" applyNumberFormat="1" applyFont="1" applyBorder="1" applyAlignment="1">
      <alignment horizontal="right" vertical="center" wrapText="1"/>
    </xf>
    <xf numFmtId="3" fontId="38" fillId="0" borderId="31" xfId="0" applyNumberFormat="1" applyFont="1" applyBorder="1"/>
    <xf numFmtId="177" fontId="38" fillId="0" borderId="34" xfId="0" applyFont="1" applyBorder="1"/>
    <xf numFmtId="172" fontId="38" fillId="0" borderId="2" xfId="597" applyNumberFormat="1" applyFont="1" applyFill="1" applyBorder="1" applyAlignment="1">
      <alignment horizontal="left"/>
    </xf>
    <xf numFmtId="3" fontId="38" fillId="0" borderId="35" xfId="0" applyNumberFormat="1" applyFont="1" applyBorder="1"/>
    <xf numFmtId="177" fontId="38" fillId="0" borderId="2" xfId="0" applyFont="1" applyBorder="1"/>
    <xf numFmtId="172" fontId="38" fillId="0" borderId="2" xfId="597" applyNumberFormat="1" applyFont="1" applyFill="1" applyBorder="1"/>
    <xf numFmtId="177" fontId="38" fillId="0" borderId="36" xfId="0" applyFont="1" applyBorder="1"/>
    <xf numFmtId="177" fontId="38" fillId="0" borderId="45" xfId="0" applyFont="1" applyBorder="1" applyAlignment="1">
      <alignment horizontal="left"/>
    </xf>
    <xf numFmtId="172" fontId="38" fillId="0" borderId="45" xfId="597" applyNumberFormat="1" applyFont="1" applyFill="1" applyBorder="1" applyAlignment="1">
      <alignment horizontal="left"/>
    </xf>
    <xf numFmtId="3" fontId="38" fillId="0" borderId="27" xfId="0" applyNumberFormat="1" applyFont="1" applyBorder="1"/>
    <xf numFmtId="177" fontId="28" fillId="0" borderId="38" xfId="0" applyFont="1" applyBorder="1"/>
    <xf numFmtId="177" fontId="28" fillId="0" borderId="39" xfId="0" applyFont="1" applyBorder="1"/>
    <xf numFmtId="172" fontId="28" fillId="0" borderId="0" xfId="1" applyNumberFormat="1" applyFont="1"/>
    <xf numFmtId="177" fontId="38" fillId="0" borderId="35" xfId="0" applyFont="1" applyBorder="1"/>
    <xf numFmtId="177" fontId="38" fillId="0" borderId="33" xfId="0" applyFont="1" applyBorder="1"/>
    <xf numFmtId="177" fontId="27" fillId="0" borderId="47" xfId="0" applyFont="1" applyBorder="1" applyAlignment="1">
      <alignment horizontal="justify" vertical="center" wrapText="1"/>
    </xf>
    <xf numFmtId="172" fontId="27" fillId="0" borderId="47" xfId="1" applyNumberFormat="1" applyFont="1" applyBorder="1" applyAlignment="1">
      <alignment horizontal="right" vertical="center" wrapText="1"/>
    </xf>
    <xf numFmtId="177" fontId="87" fillId="0" borderId="0" xfId="0" applyFont="1"/>
    <xf numFmtId="172" fontId="38" fillId="0" borderId="2" xfId="1" applyNumberFormat="1" applyFont="1" applyFill="1" applyBorder="1" applyAlignment="1">
      <alignment horizontal="left"/>
    </xf>
    <xf numFmtId="172" fontId="38" fillId="0" borderId="2" xfId="1" applyNumberFormat="1" applyFont="1" applyFill="1" applyBorder="1"/>
    <xf numFmtId="177" fontId="27" fillId="0" borderId="35" xfId="0" applyFont="1" applyBorder="1"/>
    <xf numFmtId="0" fontId="27" fillId="0" borderId="2" xfId="2917" applyFont="1" applyBorder="1" applyAlignment="1">
      <alignment horizontal="justify" vertical="center" wrapText="1"/>
    </xf>
    <xf numFmtId="172" fontId="27" fillId="0" borderId="2" xfId="1" applyNumberFormat="1" applyFont="1" applyBorder="1" applyAlignment="1">
      <alignment horizontal="right" vertical="center" wrapText="1"/>
    </xf>
    <xf numFmtId="172" fontId="38" fillId="0" borderId="2" xfId="1" applyNumberFormat="1" applyFont="1" applyBorder="1" applyAlignment="1">
      <alignment horizontal="right"/>
    </xf>
    <xf numFmtId="172" fontId="38" fillId="0" borderId="45" xfId="1" applyNumberFormat="1" applyFont="1" applyBorder="1"/>
    <xf numFmtId="0" fontId="37" fillId="56" borderId="2" xfId="2905" applyFont="1" applyFill="1" applyBorder="1" applyAlignment="1">
      <alignment horizontal="center" vertical="center" wrapText="1"/>
    </xf>
    <xf numFmtId="0" fontId="27" fillId="0" borderId="2" xfId="2905" applyFont="1" applyBorder="1" applyAlignment="1">
      <alignment horizontal="left" vertical="center" wrapText="1"/>
    </xf>
    <xf numFmtId="0" fontId="26" fillId="0" borderId="2" xfId="2905" applyFont="1" applyBorder="1" applyAlignment="1">
      <alignment horizontal="left" vertical="center" wrapText="1"/>
    </xf>
    <xf numFmtId="177" fontId="37" fillId="0" borderId="0" xfId="0" applyFont="1" applyAlignment="1">
      <alignment horizontal="center" wrapText="1"/>
    </xf>
    <xf numFmtId="172" fontId="37" fillId="0" borderId="2" xfId="1" applyNumberFormat="1" applyFont="1" applyFill="1" applyBorder="1" applyAlignment="1">
      <alignment horizontal="center" wrapText="1"/>
    </xf>
    <xf numFmtId="177" fontId="37" fillId="0" borderId="2" xfId="0" applyFont="1" applyBorder="1" applyAlignment="1">
      <alignment horizontal="center" wrapText="1"/>
    </xf>
    <xf numFmtId="177" fontId="27" fillId="0" borderId="43" xfId="0" applyFont="1" applyBorder="1" applyAlignment="1">
      <alignment horizontal="center" vertical="center" wrapText="1"/>
    </xf>
    <xf numFmtId="204" fontId="27" fillId="0" borderId="15" xfId="0" applyNumberFormat="1" applyFont="1" applyBorder="1" applyAlignment="1">
      <alignment horizontal="center" vertical="center" wrapText="1"/>
    </xf>
    <xf numFmtId="3" fontId="27" fillId="0" borderId="44" xfId="0" applyNumberFormat="1" applyFont="1" applyBorder="1" applyAlignment="1">
      <alignment horizontal="right" vertical="center" wrapText="1"/>
    </xf>
    <xf numFmtId="177" fontId="27" fillId="0" borderId="34" xfId="0" applyFont="1" applyBorder="1" applyAlignment="1">
      <alignment horizontal="center" vertical="center" wrapText="1"/>
    </xf>
    <xf numFmtId="204" fontId="27" fillId="0" borderId="2" xfId="2917" applyNumberFormat="1" applyFont="1" applyBorder="1" applyAlignment="1">
      <alignment horizontal="center" vertical="center" wrapText="1"/>
    </xf>
    <xf numFmtId="41" fontId="27" fillId="0" borderId="40" xfId="2918" applyFont="1" applyBorder="1" applyAlignment="1">
      <alignment horizontal="right" vertical="center" wrapText="1"/>
    </xf>
    <xf numFmtId="204" fontId="27" fillId="0" borderId="2" xfId="0" applyNumberFormat="1" applyFont="1" applyBorder="1" applyAlignment="1">
      <alignment horizontal="center" vertical="center" wrapText="1"/>
    </xf>
    <xf numFmtId="3" fontId="27" fillId="0" borderId="40" xfId="0" applyNumberFormat="1" applyFont="1" applyBorder="1" applyAlignment="1">
      <alignment horizontal="right" vertical="center" wrapText="1"/>
    </xf>
    <xf numFmtId="177" fontId="27" fillId="0" borderId="36" xfId="0" applyFont="1" applyBorder="1" applyAlignment="1">
      <alignment horizontal="center" vertical="center" wrapText="1"/>
    </xf>
    <xf numFmtId="177" fontId="27" fillId="0" borderId="45" xfId="0" applyFont="1" applyBorder="1" applyAlignment="1">
      <alignment horizontal="justify" vertical="center" wrapText="1"/>
    </xf>
    <xf numFmtId="204" fontId="27" fillId="0" borderId="45" xfId="0" applyNumberFormat="1" applyFont="1" applyBorder="1" applyAlignment="1">
      <alignment horizontal="center" vertical="center" wrapText="1"/>
    </xf>
    <xf numFmtId="3" fontId="27" fillId="0" borderId="41" xfId="0" applyNumberFormat="1" applyFont="1" applyBorder="1" applyAlignment="1">
      <alignment horizontal="right" vertical="center" wrapText="1"/>
    </xf>
    <xf numFmtId="177" fontId="37" fillId="0" borderId="0" xfId="0" applyFont="1" applyAlignment="1">
      <alignment horizontal="center" vertical="center"/>
    </xf>
    <xf numFmtId="177" fontId="27" fillId="0" borderId="0" xfId="0" applyFont="1" applyAlignment="1">
      <alignment vertical="center"/>
    </xf>
    <xf numFmtId="172" fontId="83" fillId="0" borderId="0" xfId="1" applyNumberFormat="1" applyFont="1" applyAlignment="1">
      <alignment vertical="center"/>
    </xf>
    <xf numFmtId="179" fontId="37" fillId="54" borderId="37" xfId="0" applyNumberFormat="1" applyFont="1" applyFill="1" applyBorder="1" applyAlignment="1">
      <alignment vertical="center" wrapText="1"/>
    </xf>
    <xf numFmtId="172" fontId="27" fillId="0" borderId="0" xfId="1" applyNumberFormat="1" applyFont="1" applyFill="1" applyAlignment="1">
      <alignment vertical="center"/>
    </xf>
    <xf numFmtId="172" fontId="87" fillId="0" borderId="0" xfId="1" applyNumberFormat="1" applyFont="1" applyFill="1" applyAlignment="1">
      <alignment vertical="center"/>
    </xf>
    <xf numFmtId="172" fontId="27" fillId="0" borderId="0" xfId="1" applyNumberFormat="1" applyFont="1" applyAlignment="1">
      <alignment vertical="center"/>
    </xf>
    <xf numFmtId="177" fontId="38" fillId="0" borderId="2" xfId="0" applyFont="1" applyBorder="1" applyAlignment="1">
      <alignment horizontal="left" vertical="center"/>
    </xf>
    <xf numFmtId="38" fontId="38" fillId="0" borderId="44" xfId="0" applyNumberFormat="1" applyFont="1" applyBorder="1"/>
    <xf numFmtId="38" fontId="81" fillId="0" borderId="44" xfId="0" applyNumberFormat="1" applyFont="1" applyBorder="1"/>
    <xf numFmtId="38" fontId="27" fillId="0" borderId="44" xfId="0" applyNumberFormat="1" applyFont="1" applyBorder="1"/>
    <xf numFmtId="38" fontId="38" fillId="0" borderId="40" xfId="0" applyNumberFormat="1" applyFont="1" applyBorder="1"/>
    <xf numFmtId="3" fontId="28" fillId="0" borderId="37" xfId="0" applyNumberFormat="1" applyFont="1" applyBorder="1"/>
    <xf numFmtId="3" fontId="27" fillId="0" borderId="2" xfId="2902" applyNumberFormat="1" applyFont="1" applyBorder="1" applyAlignment="1">
      <alignment vertical="center"/>
    </xf>
    <xf numFmtId="49" fontId="27" fillId="0" borderId="2" xfId="2902" applyNumberFormat="1" applyFont="1" applyBorder="1" applyAlignment="1">
      <alignment horizontal="center" vertical="center"/>
    </xf>
    <xf numFmtId="3" fontId="37" fillId="55" borderId="37" xfId="0" applyNumberFormat="1" applyFont="1" applyFill="1" applyBorder="1"/>
    <xf numFmtId="4" fontId="38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wrapText="1"/>
    </xf>
    <xf numFmtId="4" fontId="38" fillId="0" borderId="0" xfId="0" applyNumberFormat="1" applyFont="1" applyAlignment="1">
      <alignment horizontal="right" wrapText="1"/>
    </xf>
    <xf numFmtId="3" fontId="28" fillId="0" borderId="0" xfId="0" applyNumberFormat="1" applyFont="1" applyAlignment="1">
      <alignment horizontal="right"/>
    </xf>
    <xf numFmtId="177" fontId="28" fillId="0" borderId="0" xfId="0" applyFont="1" applyAlignment="1">
      <alignment horizontal="center"/>
    </xf>
    <xf numFmtId="177" fontId="90" fillId="56" borderId="23" xfId="0" applyFont="1" applyFill="1" applyBorder="1" applyAlignment="1">
      <alignment vertical="center" wrapText="1"/>
    </xf>
    <xf numFmtId="177" fontId="37" fillId="56" borderId="23" xfId="0" applyFont="1" applyFill="1" applyBorder="1" applyAlignment="1">
      <alignment vertical="center" wrapText="1"/>
    </xf>
    <xf numFmtId="177" fontId="37" fillId="56" borderId="25" xfId="0" applyFont="1" applyFill="1" applyBorder="1" applyAlignment="1">
      <alignment vertical="center"/>
    </xf>
    <xf numFmtId="177" fontId="37" fillId="56" borderId="23" xfId="0" applyFont="1" applyFill="1" applyBorder="1" applyAlignment="1">
      <alignment horizontal="center" vertical="center" wrapText="1"/>
    </xf>
    <xf numFmtId="177" fontId="37" fillId="56" borderId="37" xfId="0" applyFont="1" applyFill="1" applyBorder="1" applyAlignment="1">
      <alignment horizontal="center" vertical="center" wrapText="1"/>
    </xf>
    <xf numFmtId="177" fontId="37" fillId="56" borderId="25" xfId="0" applyFont="1" applyFill="1" applyBorder="1" applyAlignment="1">
      <alignment horizontal="center" vertical="center" wrapText="1"/>
    </xf>
    <xf numFmtId="166" fontId="37" fillId="0" borderId="37" xfId="0" applyNumberFormat="1" applyFont="1" applyBorder="1" applyAlignment="1">
      <alignment vertical="center" wrapText="1"/>
    </xf>
    <xf numFmtId="3" fontId="28" fillId="56" borderId="2" xfId="0" applyNumberFormat="1" applyFont="1" applyFill="1" applyBorder="1" applyAlignment="1">
      <alignment horizontal="right"/>
    </xf>
    <xf numFmtId="172" fontId="28" fillId="56" borderId="2" xfId="1" applyNumberFormat="1" applyFont="1" applyFill="1" applyBorder="1" applyAlignment="1"/>
    <xf numFmtId="1" fontId="27" fillId="0" borderId="0" xfId="0" applyNumberFormat="1" applyFont="1"/>
    <xf numFmtId="172" fontId="28" fillId="56" borderId="25" xfId="1" applyNumberFormat="1" applyFont="1" applyFill="1" applyBorder="1" applyAlignment="1">
      <alignment horizontal="left" vertical="center"/>
    </xf>
    <xf numFmtId="3" fontId="28" fillId="56" borderId="25" xfId="0" applyNumberFormat="1" applyFont="1" applyFill="1" applyBorder="1" applyAlignment="1">
      <alignment vertical="center"/>
    </xf>
    <xf numFmtId="3" fontId="28" fillId="56" borderId="37" xfId="0" applyNumberFormat="1" applyFont="1" applyFill="1" applyBorder="1" applyAlignment="1">
      <alignment vertical="center"/>
    </xf>
    <xf numFmtId="172" fontId="86" fillId="0" borderId="0" xfId="1" applyNumberFormat="1" applyFont="1" applyFill="1" applyBorder="1"/>
    <xf numFmtId="172" fontId="89" fillId="0" borderId="0" xfId="1" applyNumberFormat="1" applyFont="1" applyFill="1" applyBorder="1"/>
    <xf numFmtId="177" fontId="91" fillId="0" borderId="0" xfId="0" applyFont="1" applyAlignment="1">
      <alignment vertical="center" wrapText="1"/>
    </xf>
    <xf numFmtId="0" fontId="89" fillId="0" borderId="0" xfId="2908" applyFont="1" applyAlignment="1">
      <alignment horizontal="center" vertical="center" wrapText="1"/>
    </xf>
    <xf numFmtId="177" fontId="24" fillId="53" borderId="2" xfId="0" applyFont="1" applyFill="1" applyBorder="1" applyAlignment="1">
      <alignment horizontal="center" vertical="center" wrapText="1"/>
    </xf>
    <xf numFmtId="0" fontId="72" fillId="0" borderId="0" xfId="2874" applyFont="1" applyAlignment="1">
      <alignment horizontal="center" vertical="center" wrapText="1"/>
    </xf>
    <xf numFmtId="177" fontId="76" fillId="2" borderId="0" xfId="0" applyFont="1" applyFill="1" applyAlignment="1">
      <alignment horizontal="center" vertical="center" wrapText="1"/>
    </xf>
    <xf numFmtId="177" fontId="69" fillId="2" borderId="0" xfId="0" applyFont="1" applyFill="1" applyAlignment="1">
      <alignment horizontal="center" vertical="center" wrapText="1"/>
    </xf>
    <xf numFmtId="177" fontId="19" fillId="2" borderId="0" xfId="0" applyFont="1" applyFill="1" applyAlignment="1">
      <alignment horizontal="center" vertical="center" wrapText="1"/>
    </xf>
    <xf numFmtId="177" fontId="23" fillId="9" borderId="4" xfId="0" applyFont="1" applyFill="1" applyBorder="1" applyAlignment="1">
      <alignment horizontal="center" vertical="center" wrapText="1"/>
    </xf>
    <xf numFmtId="177" fontId="23" fillId="9" borderId="5" xfId="0" applyFont="1" applyFill="1" applyBorder="1" applyAlignment="1">
      <alignment horizontal="center" vertical="center" wrapText="1"/>
    </xf>
    <xf numFmtId="172" fontId="9" fillId="0" borderId="21" xfId="1" applyNumberFormat="1" applyFont="1" applyFill="1" applyBorder="1" applyAlignment="1">
      <alignment horizontal="center" vertical="center" wrapText="1"/>
    </xf>
    <xf numFmtId="172" fontId="9" fillId="0" borderId="18" xfId="1" applyNumberFormat="1" applyFont="1" applyFill="1" applyBorder="1" applyAlignment="1">
      <alignment horizontal="center" vertical="center" wrapText="1"/>
    </xf>
    <xf numFmtId="172" fontId="9" fillId="0" borderId="15" xfId="1" applyNumberFormat="1" applyFont="1" applyFill="1" applyBorder="1" applyAlignment="1">
      <alignment horizontal="center" vertical="center" wrapText="1"/>
    </xf>
    <xf numFmtId="0" fontId="23" fillId="53" borderId="2" xfId="2868" applyFont="1" applyFill="1" applyBorder="1" applyAlignment="1">
      <alignment vertical="center" wrapText="1"/>
    </xf>
    <xf numFmtId="0" fontId="23" fillId="53" borderId="2" xfId="2868" applyFont="1" applyFill="1" applyBorder="1" applyAlignment="1">
      <alignment horizontal="left" vertical="center" wrapText="1"/>
    </xf>
    <xf numFmtId="0" fontId="77" fillId="0" borderId="0" xfId="2868" applyFont="1" applyAlignment="1">
      <alignment horizontal="center" vertical="center"/>
    </xf>
    <xf numFmtId="0" fontId="72" fillId="0" borderId="0" xfId="2868" applyFont="1" applyAlignment="1">
      <alignment horizontal="center" vertical="center"/>
    </xf>
    <xf numFmtId="0" fontId="23" fillId="0" borderId="0" xfId="2868" applyFont="1" applyAlignment="1">
      <alignment horizontal="center" vertical="center"/>
    </xf>
    <xf numFmtId="177" fontId="28" fillId="56" borderId="23" xfId="0" applyFont="1" applyFill="1" applyBorder="1" applyAlignment="1">
      <alignment horizontal="left" wrapText="1"/>
    </xf>
    <xf numFmtId="177" fontId="28" fillId="56" borderId="25" xfId="0" applyFont="1" applyFill="1" applyBorder="1" applyAlignment="1">
      <alignment horizontal="left" wrapText="1"/>
    </xf>
    <xf numFmtId="177" fontId="28" fillId="56" borderId="26" xfId="0" applyFont="1" applyFill="1" applyBorder="1" applyAlignment="1">
      <alignment horizontal="left"/>
    </xf>
    <xf numFmtId="177" fontId="28" fillId="56" borderId="27" xfId="0" applyFont="1" applyFill="1" applyBorder="1" applyAlignment="1">
      <alignment horizontal="left"/>
    </xf>
    <xf numFmtId="177" fontId="28" fillId="0" borderId="23" xfId="0" applyFont="1" applyBorder="1" applyAlignment="1">
      <alignment horizontal="left" wrapText="1"/>
    </xf>
    <xf numFmtId="177" fontId="28" fillId="0" borderId="25" xfId="0" applyFont="1" applyBorder="1" applyAlignment="1">
      <alignment horizontal="left" wrapText="1"/>
    </xf>
    <xf numFmtId="177" fontId="81" fillId="3" borderId="29" xfId="0" applyFont="1" applyFill="1" applyBorder="1" applyAlignment="1">
      <alignment horizontal="center" vertical="center" wrapText="1"/>
    </xf>
    <xf numFmtId="177" fontId="81" fillId="3" borderId="31" xfId="0" applyFont="1" applyFill="1" applyBorder="1" applyAlignment="1">
      <alignment horizontal="center" vertical="center" wrapText="1"/>
    </xf>
    <xf numFmtId="177" fontId="28" fillId="56" borderId="57" xfId="0" applyFont="1" applyFill="1" applyBorder="1" applyAlignment="1">
      <alignment horizontal="center" vertical="center"/>
    </xf>
    <xf numFmtId="177" fontId="28" fillId="56" borderId="51" xfId="0" applyFont="1" applyFill="1" applyBorder="1" applyAlignment="1">
      <alignment horizontal="center" vertical="center"/>
    </xf>
    <xf numFmtId="3" fontId="28" fillId="56" borderId="58" xfId="0" applyNumberFormat="1" applyFont="1" applyFill="1" applyBorder="1" applyAlignment="1">
      <alignment horizontal="center" vertical="center" wrapText="1"/>
    </xf>
    <xf numFmtId="3" fontId="28" fillId="56" borderId="52" xfId="0" applyNumberFormat="1" applyFont="1" applyFill="1" applyBorder="1" applyAlignment="1">
      <alignment horizontal="center" vertical="center" wrapText="1"/>
    </xf>
    <xf numFmtId="177" fontId="81" fillId="3" borderId="26" xfId="0" applyFont="1" applyFill="1" applyBorder="1" applyAlignment="1">
      <alignment horizontal="center" vertical="center" wrapText="1"/>
    </xf>
    <xf numFmtId="177" fontId="81" fillId="3" borderId="27" xfId="0" applyFont="1" applyFill="1" applyBorder="1" applyAlignment="1">
      <alignment horizontal="center" vertical="center" wrapText="1"/>
    </xf>
    <xf numFmtId="177" fontId="28" fillId="0" borderId="2" xfId="0" applyFont="1" applyBorder="1" applyAlignment="1">
      <alignment horizontal="left"/>
    </xf>
    <xf numFmtId="177" fontId="37" fillId="0" borderId="0" xfId="0" applyFont="1" applyAlignment="1">
      <alignment horizontal="center"/>
    </xf>
    <xf numFmtId="1" fontId="28" fillId="54" borderId="4" xfId="0" applyNumberFormat="1" applyFont="1" applyFill="1" applyBorder="1" applyAlignment="1">
      <alignment horizontal="left"/>
    </xf>
    <xf numFmtId="1" fontId="28" fillId="54" borderId="50" xfId="0" applyNumberFormat="1" applyFont="1" applyFill="1" applyBorder="1" applyAlignment="1">
      <alignment horizontal="left"/>
    </xf>
    <xf numFmtId="1" fontId="28" fillId="54" borderId="5" xfId="0" applyNumberFormat="1" applyFont="1" applyFill="1" applyBorder="1" applyAlignment="1">
      <alignment horizontal="left"/>
    </xf>
    <xf numFmtId="177" fontId="81" fillId="0" borderId="55" xfId="0" applyFont="1" applyBorder="1" applyAlignment="1">
      <alignment horizontal="center" vertical="center" wrapText="1"/>
    </xf>
    <xf numFmtId="177" fontId="81" fillId="0" borderId="0" xfId="0" applyFont="1" applyAlignment="1">
      <alignment horizontal="center" vertical="center" wrapText="1"/>
    </xf>
    <xf numFmtId="177" fontId="28" fillId="50" borderId="2" xfId="0" applyFont="1" applyFill="1" applyBorder="1" applyAlignment="1">
      <alignment horizontal="left"/>
    </xf>
    <xf numFmtId="177" fontId="28" fillId="3" borderId="2" xfId="0" applyFont="1" applyFill="1" applyBorder="1" applyAlignment="1">
      <alignment horizontal="left"/>
    </xf>
    <xf numFmtId="177" fontId="28" fillId="56" borderId="2" xfId="0" applyFont="1" applyFill="1" applyBorder="1" applyAlignment="1">
      <alignment horizontal="left"/>
    </xf>
    <xf numFmtId="0" fontId="28" fillId="0" borderId="2" xfId="2902" applyFont="1" applyBorder="1" applyAlignment="1">
      <alignment horizontal="center"/>
    </xf>
    <xf numFmtId="0" fontId="28" fillId="0" borderId="2" xfId="2902" applyFont="1" applyBorder="1" applyAlignment="1">
      <alignment horizontal="left"/>
    </xf>
    <xf numFmtId="0" fontId="28" fillId="56" borderId="2" xfId="2910" applyFont="1" applyFill="1" applyBorder="1" applyAlignment="1">
      <alignment horizontal="center" vertical="center"/>
    </xf>
    <xf numFmtId="0" fontId="38" fillId="0" borderId="2" xfId="2910" applyFont="1" applyBorder="1" applyAlignment="1">
      <alignment horizontal="left" vertical="center" wrapText="1"/>
    </xf>
    <xf numFmtId="0" fontId="38" fillId="0" borderId="21" xfId="2910" applyFont="1" applyBorder="1" applyAlignment="1">
      <alignment horizontal="left" vertical="center" wrapText="1"/>
    </xf>
    <xf numFmtId="0" fontId="38" fillId="0" borderId="15" xfId="2910" applyFont="1" applyBorder="1" applyAlignment="1">
      <alignment horizontal="left" vertical="center" wrapText="1"/>
    </xf>
    <xf numFmtId="177" fontId="28" fillId="56" borderId="4" xfId="0" applyFont="1" applyFill="1" applyBorder="1" applyAlignment="1">
      <alignment horizontal="center"/>
    </xf>
    <xf numFmtId="177" fontId="28" fillId="56" borderId="5" xfId="0" applyFont="1" applyFill="1" applyBorder="1" applyAlignment="1">
      <alignment horizontal="center"/>
    </xf>
    <xf numFmtId="0" fontId="28" fillId="0" borderId="48" xfId="2908" applyFont="1" applyBorder="1" applyAlignment="1">
      <alignment horizontal="center"/>
    </xf>
    <xf numFmtId="0" fontId="28" fillId="0" borderId="46" xfId="2908" applyFont="1" applyBorder="1" applyAlignment="1">
      <alignment horizontal="center"/>
    </xf>
    <xf numFmtId="0" fontId="28" fillId="0" borderId="49" xfId="2908" applyFont="1" applyBorder="1" applyAlignment="1">
      <alignment horizontal="center"/>
    </xf>
    <xf numFmtId="0" fontId="37" fillId="3" borderId="55" xfId="2426" applyFont="1" applyFill="1" applyBorder="1" applyAlignment="1">
      <alignment horizontal="left" vertical="center" wrapText="1"/>
    </xf>
    <xf numFmtId="0" fontId="37" fillId="3" borderId="0" xfId="2426" applyFont="1" applyFill="1" applyAlignment="1">
      <alignment horizontal="left" vertical="center" wrapText="1"/>
    </xf>
    <xf numFmtId="0" fontId="37" fillId="3" borderId="35" xfId="2426" applyFont="1" applyFill="1" applyBorder="1" applyAlignment="1">
      <alignment horizontal="left" vertical="center" wrapText="1"/>
    </xf>
    <xf numFmtId="0" fontId="37" fillId="3" borderId="23" xfId="2426" applyFont="1" applyFill="1" applyBorder="1" applyAlignment="1">
      <alignment horizontal="left" vertical="center" wrapText="1"/>
    </xf>
    <xf numFmtId="0" fontId="37" fillId="3" borderId="24" xfId="2426" applyFont="1" applyFill="1" applyBorder="1" applyAlignment="1">
      <alignment horizontal="left" vertical="center" wrapText="1"/>
    </xf>
    <xf numFmtId="0" fontId="37" fillId="3" borderId="25" xfId="2426" applyFont="1" applyFill="1" applyBorder="1" applyAlignment="1">
      <alignment horizontal="left" vertical="center" wrapText="1"/>
    </xf>
    <xf numFmtId="177" fontId="28" fillId="0" borderId="0" xfId="0" applyFont="1" applyAlignment="1">
      <alignment horizontal="center" vertical="center" wrapText="1"/>
    </xf>
    <xf numFmtId="177" fontId="28" fillId="0" borderId="0" xfId="0" applyFont="1" applyAlignment="1">
      <alignment horizontal="center"/>
    </xf>
    <xf numFmtId="177" fontId="28" fillId="56" borderId="23" xfId="0" applyFont="1" applyFill="1" applyBorder="1" applyAlignment="1">
      <alignment horizontal="left" vertical="center"/>
    </xf>
    <xf numFmtId="177" fontId="28" fillId="56" borderId="24" xfId="0" applyFont="1" applyFill="1" applyBorder="1" applyAlignment="1">
      <alignment horizontal="left" vertical="center"/>
    </xf>
    <xf numFmtId="177" fontId="28" fillId="56" borderId="25" xfId="0" applyFont="1" applyFill="1" applyBorder="1" applyAlignment="1">
      <alignment horizontal="left" vertical="center"/>
    </xf>
    <xf numFmtId="177" fontId="37" fillId="0" borderId="0" xfId="0" applyFont="1" applyAlignment="1">
      <alignment horizontal="center" wrapText="1"/>
    </xf>
    <xf numFmtId="177" fontId="37" fillId="0" borderId="0" xfId="0" applyFont="1" applyAlignment="1">
      <alignment horizontal="center" vertical="center" wrapText="1"/>
    </xf>
    <xf numFmtId="177" fontId="37" fillId="0" borderId="0" xfId="0" applyFont="1" applyAlignment="1">
      <alignment horizontal="center" vertical="center"/>
    </xf>
    <xf numFmtId="177" fontId="90" fillId="56" borderId="32" xfId="0" applyFont="1" applyFill="1" applyBorder="1" applyAlignment="1">
      <alignment horizontal="center" vertical="center" wrapText="1"/>
    </xf>
    <xf numFmtId="177" fontId="90" fillId="56" borderId="42" xfId="0" applyFont="1" applyFill="1" applyBorder="1" applyAlignment="1">
      <alignment horizontal="center" vertical="center" wrapText="1"/>
    </xf>
    <xf numFmtId="177" fontId="90" fillId="56" borderId="28" xfId="0" applyFont="1" applyFill="1" applyBorder="1" applyAlignment="1">
      <alignment horizontal="center" vertical="center" wrapText="1"/>
    </xf>
    <xf numFmtId="177" fontId="37" fillId="0" borderId="23" xfId="0" applyFont="1" applyBorder="1" applyAlignment="1">
      <alignment horizontal="left" vertical="center" wrapText="1"/>
    </xf>
    <xf numFmtId="177" fontId="37" fillId="0" borderId="25" xfId="0" applyFont="1" applyBorder="1" applyAlignment="1">
      <alignment horizontal="left" vertical="center" wrapText="1"/>
    </xf>
    <xf numFmtId="177" fontId="24" fillId="5" borderId="2" xfId="0" applyFont="1" applyFill="1" applyBorder="1" applyAlignment="1">
      <alignment horizontal="center"/>
    </xf>
    <xf numFmtId="168" fontId="10" fillId="0" borderId="0" xfId="2" applyFont="1" applyFill="1" applyAlignment="1">
      <alignment horizontal="center"/>
    </xf>
    <xf numFmtId="177" fontId="39" fillId="0" borderId="0" xfId="0" applyFont="1" applyAlignment="1">
      <alignment horizontal="center"/>
    </xf>
    <xf numFmtId="177" fontId="39" fillId="0" borderId="0" xfId="0" applyFont="1" applyAlignment="1">
      <alignment horizontal="center" wrapText="1"/>
    </xf>
    <xf numFmtId="177" fontId="39" fillId="0" borderId="0" xfId="0" applyFont="1" applyAlignment="1">
      <alignment horizontal="center" vertical="center" wrapText="1"/>
    </xf>
    <xf numFmtId="169" fontId="24" fillId="3" borderId="2" xfId="1" applyFont="1" applyFill="1" applyBorder="1" applyAlignment="1">
      <alignment horizontal="center" vertical="center" wrapText="1"/>
    </xf>
    <xf numFmtId="9" fontId="24" fillId="3" borderId="2" xfId="3" applyFont="1" applyFill="1" applyBorder="1" applyAlignment="1">
      <alignment horizontal="center" vertical="center" wrapText="1"/>
    </xf>
    <xf numFmtId="177" fontId="24" fillId="3" borderId="2" xfId="0" applyFont="1" applyFill="1" applyBorder="1" applyAlignment="1">
      <alignment horizontal="center" vertical="center"/>
    </xf>
    <xf numFmtId="1" fontId="45" fillId="7" borderId="2" xfId="0" applyNumberFormat="1" applyFont="1" applyFill="1" applyBorder="1" applyAlignment="1">
      <alignment horizontal="center" vertical="center"/>
    </xf>
    <xf numFmtId="169" fontId="24" fillId="5" borderId="4" xfId="1" applyFont="1" applyFill="1" applyBorder="1" applyAlignment="1">
      <alignment horizontal="center" vertical="center" wrapText="1"/>
    </xf>
    <xf numFmtId="169" fontId="24" fillId="5" borderId="5" xfId="1" applyFont="1" applyFill="1" applyBorder="1" applyAlignment="1">
      <alignment horizontal="center" vertical="center" wrapText="1"/>
    </xf>
    <xf numFmtId="177" fontId="44" fillId="0" borderId="22" xfId="0" applyFont="1" applyBorder="1" applyAlignment="1">
      <alignment horizontal="center"/>
    </xf>
    <xf numFmtId="177" fontId="37" fillId="0" borderId="2" xfId="0" applyFont="1" applyBorder="1" applyAlignment="1">
      <alignment horizontal="center" vertical="center" wrapText="1"/>
    </xf>
    <xf numFmtId="177" fontId="12" fillId="0" borderId="3" xfId="0" applyFont="1" applyBorder="1" applyAlignment="1">
      <alignment horizontal="center"/>
    </xf>
    <xf numFmtId="177" fontId="37" fillId="2" borderId="2" xfId="0" applyFont="1" applyFill="1" applyBorder="1" applyAlignment="1">
      <alignment horizontal="center" vertical="center" wrapText="1"/>
    </xf>
    <xf numFmtId="177" fontId="23" fillId="3" borderId="2" xfId="0" applyFont="1" applyFill="1" applyBorder="1" applyAlignment="1">
      <alignment horizontal="center" vertical="center" wrapText="1"/>
    </xf>
  </cellXfs>
  <cellStyles count="2921">
    <cellStyle name="_Anexo __  RCSP Condiciones Obligatorias" xfId="91" xr:uid="{00000000-0005-0000-0000-000000000000}"/>
    <cellStyle name="_Anexo __ Autos Condiciones Obligatorias" xfId="92" xr:uid="{00000000-0005-0000-0000-000001000000}"/>
    <cellStyle name="_Anexo __ Manejo Condiciones Obligatorias" xfId="93" xr:uid="{00000000-0005-0000-0000-000002000000}"/>
    <cellStyle name="_Anexo 1 Habilitantes" xfId="94" xr:uid="{00000000-0005-0000-0000-000003000000}"/>
    <cellStyle name="_Anexo 2 Condiciones Obligatorias" xfId="95" xr:uid="{00000000-0005-0000-0000-000004000000}"/>
    <cellStyle name="_EVALUACION TECNICA METROVIVIENDA 2010" xfId="96" xr:uid="{00000000-0005-0000-0000-000005000000}"/>
    <cellStyle name="_EVALUACION TECNICA METROVIVIENDA 2010_INFORME DE EVALUACION TECNICO PRELIMINAR AJUSTADO" xfId="97" xr:uid="{00000000-0005-0000-0000-000006000000}"/>
    <cellStyle name="_Formato slips estándar" xfId="98" xr:uid="{00000000-0005-0000-0000-000007000000}"/>
    <cellStyle name="_Formato slips estándar_Adenda Grupo 2 COMP MC" xfId="99" xr:uid="{00000000-0005-0000-0000-000008000000}"/>
    <cellStyle name="_Formato slips estándar_Adenda Grupo 2 COMP MCano" xfId="100" xr:uid="{00000000-0005-0000-0000-000009000000}"/>
    <cellStyle name="_Formato slips estándar_Condiciones Complementarias TRDM" xfId="101" xr:uid="{00000000-0005-0000-0000-00000A000000}"/>
    <cellStyle name="_Formato slips estándar_Condiciones Complementarias V7-1-10" xfId="102" xr:uid="{00000000-0005-0000-0000-00000B000000}"/>
    <cellStyle name="_Formato slips estándar_SlipTecnico Grupo EEB - D&amp;O 6ene10" xfId="103" xr:uid="{00000000-0005-0000-0000-00000C000000}"/>
    <cellStyle name="_Grupo 1 COMPL. V Adenda F" xfId="104" xr:uid="{00000000-0005-0000-0000-00000D000000}"/>
    <cellStyle name="_Slip habilitantes DM (Secretaría)" xfId="105" xr:uid="{00000000-0005-0000-0000-00000E000000}"/>
    <cellStyle name="_Slip habilitantes DM (Secretaría)_Adenda Grupo 2 COMP MC" xfId="106" xr:uid="{00000000-0005-0000-0000-00000F000000}"/>
    <cellStyle name="_Slip habilitantes DM (Secretaría)_Adenda Grupo 2 COMP MCano" xfId="107" xr:uid="{00000000-0005-0000-0000-000010000000}"/>
    <cellStyle name="_Slip habilitantes DM (Secretaría)_Condiciones Complementarias TRDM" xfId="108" xr:uid="{00000000-0005-0000-0000-000011000000}"/>
    <cellStyle name="_Slip habilitantes DM (Secretaría)_Condiciones Complementarias V7-1-10" xfId="109" xr:uid="{00000000-0005-0000-0000-000012000000}"/>
    <cellStyle name="_Slip habilitantes DM (Secretaría)_SlipTecnico Grupo EEB - D&amp;O 6ene10" xfId="110" xr:uid="{00000000-0005-0000-0000-000013000000}"/>
    <cellStyle name="_SLIP RCSP NUEVAS CONDICIONES" xfId="111" xr:uid="{00000000-0005-0000-0000-000014000000}"/>
    <cellStyle name="_SLIP RCSP NUEVAS CONDICIONES_Adenda Grupo 2 COMP MC" xfId="112" xr:uid="{00000000-0005-0000-0000-000015000000}"/>
    <cellStyle name="_SLIP RCSP NUEVAS CONDICIONES_Adenda Grupo 2 COMP MCano" xfId="113" xr:uid="{00000000-0005-0000-0000-000016000000}"/>
    <cellStyle name="_SLIP RCSP NUEVAS CONDICIONES_Condiciones Complementarias TRDM" xfId="114" xr:uid="{00000000-0005-0000-0000-000017000000}"/>
    <cellStyle name="_SLIP RCSP NUEVAS CONDICIONES_Condiciones Complementarias V7-1-10" xfId="115" xr:uid="{00000000-0005-0000-0000-000018000000}"/>
    <cellStyle name="_SLIP RCSP NUEVAS CONDICIONES_SlipTecnico Grupo EEB - D&amp;O 6ene10" xfId="116" xr:uid="{00000000-0005-0000-0000-000019000000}"/>
    <cellStyle name="_Slips RCSP (habilitantes) Secretaría" xfId="117" xr:uid="{00000000-0005-0000-0000-00001A000000}"/>
    <cellStyle name="_Slips RCSP (habilitantes) Secretaría_Adenda Grupo 2 COMP MC" xfId="118" xr:uid="{00000000-0005-0000-0000-00001B000000}"/>
    <cellStyle name="_Slips RCSP (habilitantes) Secretaría_Adenda Grupo 2 COMP MCano" xfId="119" xr:uid="{00000000-0005-0000-0000-00001C000000}"/>
    <cellStyle name="_Slips RCSP (habilitantes) Secretaría_Condiciones Complementarias TRDM" xfId="120" xr:uid="{00000000-0005-0000-0000-00001D000000}"/>
    <cellStyle name="_Slips RCSP (habilitantes) Secretaría_Condiciones Complementarias V7-1-10" xfId="121" xr:uid="{00000000-0005-0000-0000-00001E000000}"/>
    <cellStyle name="_Slips RCSP (habilitantes) Secretaría_SlipTecnico Grupo EEB - D&amp;O 6ene10" xfId="122" xr:uid="{00000000-0005-0000-0000-00001F000000}"/>
    <cellStyle name="_Terminos Solicitados." xfId="123" xr:uid="{00000000-0005-0000-0000-000020000000}"/>
    <cellStyle name="20% - Accent1" xfId="124" xr:uid="{00000000-0005-0000-0000-000021000000}"/>
    <cellStyle name="20% - Accent2" xfId="125" xr:uid="{00000000-0005-0000-0000-000022000000}"/>
    <cellStyle name="20% - Accent3" xfId="126" xr:uid="{00000000-0005-0000-0000-000023000000}"/>
    <cellStyle name="20% - Accent4" xfId="127" xr:uid="{00000000-0005-0000-0000-000024000000}"/>
    <cellStyle name="20% - Accent5" xfId="128" xr:uid="{00000000-0005-0000-0000-000025000000}"/>
    <cellStyle name="20% - Accent6" xfId="129" xr:uid="{00000000-0005-0000-0000-000026000000}"/>
    <cellStyle name="20% - Énfasis1 2" xfId="130" xr:uid="{00000000-0005-0000-0000-000027000000}"/>
    <cellStyle name="20% - Énfasis1 2 2" xfId="131" xr:uid="{00000000-0005-0000-0000-000028000000}"/>
    <cellStyle name="20% - Énfasis1 2 2 2" xfId="132" xr:uid="{00000000-0005-0000-0000-000029000000}"/>
    <cellStyle name="20% - Énfasis1 2 3" xfId="133" xr:uid="{00000000-0005-0000-0000-00002A000000}"/>
    <cellStyle name="20% - Énfasis1 3" xfId="134" xr:uid="{00000000-0005-0000-0000-00002B000000}"/>
    <cellStyle name="20% - Énfasis1 3 2" xfId="135" xr:uid="{00000000-0005-0000-0000-00002C000000}"/>
    <cellStyle name="20% - Énfasis1 4" xfId="136" xr:uid="{00000000-0005-0000-0000-00002D000000}"/>
    <cellStyle name="20% - Énfasis1 4 2" xfId="137" xr:uid="{00000000-0005-0000-0000-00002E000000}"/>
    <cellStyle name="20% - Énfasis2 2" xfId="138" xr:uid="{00000000-0005-0000-0000-00002F000000}"/>
    <cellStyle name="20% - Énfasis2 2 2" xfId="139" xr:uid="{00000000-0005-0000-0000-000030000000}"/>
    <cellStyle name="20% - Énfasis2 2 2 2" xfId="140" xr:uid="{00000000-0005-0000-0000-000031000000}"/>
    <cellStyle name="20% - Énfasis2 2 3" xfId="141" xr:uid="{00000000-0005-0000-0000-000032000000}"/>
    <cellStyle name="20% - Énfasis2 3" xfId="142" xr:uid="{00000000-0005-0000-0000-000033000000}"/>
    <cellStyle name="20% - Énfasis2 3 2" xfId="143" xr:uid="{00000000-0005-0000-0000-000034000000}"/>
    <cellStyle name="20% - Énfasis2 4" xfId="144" xr:uid="{00000000-0005-0000-0000-000035000000}"/>
    <cellStyle name="20% - Énfasis2 4 2" xfId="145" xr:uid="{00000000-0005-0000-0000-000036000000}"/>
    <cellStyle name="20% - Énfasis3 2" xfId="146" xr:uid="{00000000-0005-0000-0000-000037000000}"/>
    <cellStyle name="20% - Énfasis3 2 2" xfId="147" xr:uid="{00000000-0005-0000-0000-000038000000}"/>
    <cellStyle name="20% - Énfasis3 2 2 2" xfId="148" xr:uid="{00000000-0005-0000-0000-000039000000}"/>
    <cellStyle name="20% - Énfasis3 2 3" xfId="149" xr:uid="{00000000-0005-0000-0000-00003A000000}"/>
    <cellStyle name="20% - Énfasis3 3" xfId="150" xr:uid="{00000000-0005-0000-0000-00003B000000}"/>
    <cellStyle name="20% - Énfasis3 3 2" xfId="151" xr:uid="{00000000-0005-0000-0000-00003C000000}"/>
    <cellStyle name="20% - Énfasis3 4" xfId="152" xr:uid="{00000000-0005-0000-0000-00003D000000}"/>
    <cellStyle name="20% - Énfasis3 4 2" xfId="153" xr:uid="{00000000-0005-0000-0000-00003E000000}"/>
    <cellStyle name="20% - Énfasis4 2" xfId="154" xr:uid="{00000000-0005-0000-0000-00003F000000}"/>
    <cellStyle name="20% - Énfasis4 2 2" xfId="155" xr:uid="{00000000-0005-0000-0000-000040000000}"/>
    <cellStyle name="20% - Énfasis4 2 2 2" xfId="156" xr:uid="{00000000-0005-0000-0000-000041000000}"/>
    <cellStyle name="20% - Énfasis4 2 3" xfId="157" xr:uid="{00000000-0005-0000-0000-000042000000}"/>
    <cellStyle name="20% - Énfasis4 3" xfId="158" xr:uid="{00000000-0005-0000-0000-000043000000}"/>
    <cellStyle name="20% - Énfasis4 3 2" xfId="159" xr:uid="{00000000-0005-0000-0000-000044000000}"/>
    <cellStyle name="20% - Énfasis4 4" xfId="160" xr:uid="{00000000-0005-0000-0000-000045000000}"/>
    <cellStyle name="20% - Énfasis4 4 2" xfId="161" xr:uid="{00000000-0005-0000-0000-000046000000}"/>
    <cellStyle name="20% - Énfasis5 2" xfId="162" xr:uid="{00000000-0005-0000-0000-000047000000}"/>
    <cellStyle name="20% - Énfasis5 2 2" xfId="163" xr:uid="{00000000-0005-0000-0000-000048000000}"/>
    <cellStyle name="20% - Énfasis5 2 2 2" xfId="164" xr:uid="{00000000-0005-0000-0000-000049000000}"/>
    <cellStyle name="20% - Énfasis5 2 3" xfId="165" xr:uid="{00000000-0005-0000-0000-00004A000000}"/>
    <cellStyle name="20% - Énfasis5 3" xfId="166" xr:uid="{00000000-0005-0000-0000-00004B000000}"/>
    <cellStyle name="20% - Énfasis5 3 2" xfId="167" xr:uid="{00000000-0005-0000-0000-00004C000000}"/>
    <cellStyle name="20% - Énfasis5 4" xfId="168" xr:uid="{00000000-0005-0000-0000-00004D000000}"/>
    <cellStyle name="20% - Énfasis5 4 2" xfId="169" xr:uid="{00000000-0005-0000-0000-00004E000000}"/>
    <cellStyle name="20% - Énfasis6 2" xfId="170" xr:uid="{00000000-0005-0000-0000-00004F000000}"/>
    <cellStyle name="20% - Énfasis6 2 2" xfId="171" xr:uid="{00000000-0005-0000-0000-000050000000}"/>
    <cellStyle name="20% - Énfasis6 2 2 2" xfId="172" xr:uid="{00000000-0005-0000-0000-000051000000}"/>
    <cellStyle name="20% - Énfasis6 2 3" xfId="173" xr:uid="{00000000-0005-0000-0000-000052000000}"/>
    <cellStyle name="20% - Énfasis6 3" xfId="174" xr:uid="{00000000-0005-0000-0000-000053000000}"/>
    <cellStyle name="20% - Énfasis6 3 2" xfId="175" xr:uid="{00000000-0005-0000-0000-000054000000}"/>
    <cellStyle name="20% - Énfasis6 4" xfId="176" xr:uid="{00000000-0005-0000-0000-000055000000}"/>
    <cellStyle name="20% - Énfasis6 4 2" xfId="177" xr:uid="{00000000-0005-0000-0000-000056000000}"/>
    <cellStyle name="40% - Accent1" xfId="178" xr:uid="{00000000-0005-0000-0000-000057000000}"/>
    <cellStyle name="40% - Accent2" xfId="179" xr:uid="{00000000-0005-0000-0000-000058000000}"/>
    <cellStyle name="40% - Accent3" xfId="180" xr:uid="{00000000-0005-0000-0000-000059000000}"/>
    <cellStyle name="40% - Accent4" xfId="181" xr:uid="{00000000-0005-0000-0000-00005A000000}"/>
    <cellStyle name="40% - Accent5" xfId="182" xr:uid="{00000000-0005-0000-0000-00005B000000}"/>
    <cellStyle name="40% - Accent6" xfId="183" xr:uid="{00000000-0005-0000-0000-00005C000000}"/>
    <cellStyle name="40% - Énfasis1 2" xfId="184" xr:uid="{00000000-0005-0000-0000-00005D000000}"/>
    <cellStyle name="40% - Énfasis1 2 2" xfId="185" xr:uid="{00000000-0005-0000-0000-00005E000000}"/>
    <cellStyle name="40% - Énfasis1 2 2 2" xfId="186" xr:uid="{00000000-0005-0000-0000-00005F000000}"/>
    <cellStyle name="40% - Énfasis1 2 3" xfId="187" xr:uid="{00000000-0005-0000-0000-000060000000}"/>
    <cellStyle name="40% - Énfasis1 3" xfId="188" xr:uid="{00000000-0005-0000-0000-000061000000}"/>
    <cellStyle name="40% - Énfasis1 3 2" xfId="189" xr:uid="{00000000-0005-0000-0000-000062000000}"/>
    <cellStyle name="40% - Énfasis1 4" xfId="190" xr:uid="{00000000-0005-0000-0000-000063000000}"/>
    <cellStyle name="40% - Énfasis1 4 2" xfId="191" xr:uid="{00000000-0005-0000-0000-000064000000}"/>
    <cellStyle name="40% - Énfasis2 2" xfId="192" xr:uid="{00000000-0005-0000-0000-000065000000}"/>
    <cellStyle name="40% - Énfasis2 2 2" xfId="193" xr:uid="{00000000-0005-0000-0000-000066000000}"/>
    <cellStyle name="40% - Énfasis2 2 2 2" xfId="194" xr:uid="{00000000-0005-0000-0000-000067000000}"/>
    <cellStyle name="40% - Énfasis2 2 3" xfId="195" xr:uid="{00000000-0005-0000-0000-000068000000}"/>
    <cellStyle name="40% - Énfasis2 3" xfId="196" xr:uid="{00000000-0005-0000-0000-000069000000}"/>
    <cellStyle name="40% - Énfasis2 3 2" xfId="197" xr:uid="{00000000-0005-0000-0000-00006A000000}"/>
    <cellStyle name="40% - Énfasis2 4" xfId="198" xr:uid="{00000000-0005-0000-0000-00006B000000}"/>
    <cellStyle name="40% - Énfasis2 4 2" xfId="199" xr:uid="{00000000-0005-0000-0000-00006C000000}"/>
    <cellStyle name="40% - Énfasis3 2" xfId="200" xr:uid="{00000000-0005-0000-0000-00006D000000}"/>
    <cellStyle name="40% - Énfasis3 2 2" xfId="201" xr:uid="{00000000-0005-0000-0000-00006E000000}"/>
    <cellStyle name="40% - Énfasis3 2 2 2" xfId="202" xr:uid="{00000000-0005-0000-0000-00006F000000}"/>
    <cellStyle name="40% - Énfasis3 2 3" xfId="203" xr:uid="{00000000-0005-0000-0000-000070000000}"/>
    <cellStyle name="40% - Énfasis3 3" xfId="204" xr:uid="{00000000-0005-0000-0000-000071000000}"/>
    <cellStyle name="40% - Énfasis3 3 2" xfId="205" xr:uid="{00000000-0005-0000-0000-000072000000}"/>
    <cellStyle name="40% - Énfasis3 4" xfId="206" xr:uid="{00000000-0005-0000-0000-000073000000}"/>
    <cellStyle name="40% - Énfasis3 4 2" xfId="207" xr:uid="{00000000-0005-0000-0000-000074000000}"/>
    <cellStyle name="40% - Énfasis4 2" xfId="208" xr:uid="{00000000-0005-0000-0000-000075000000}"/>
    <cellStyle name="40% - Énfasis4 2 2" xfId="209" xr:uid="{00000000-0005-0000-0000-000076000000}"/>
    <cellStyle name="40% - Énfasis4 2 2 2" xfId="210" xr:uid="{00000000-0005-0000-0000-000077000000}"/>
    <cellStyle name="40% - Énfasis4 2 3" xfId="211" xr:uid="{00000000-0005-0000-0000-000078000000}"/>
    <cellStyle name="40% - Énfasis4 3" xfId="212" xr:uid="{00000000-0005-0000-0000-000079000000}"/>
    <cellStyle name="40% - Énfasis4 3 2" xfId="213" xr:uid="{00000000-0005-0000-0000-00007A000000}"/>
    <cellStyle name="40% - Énfasis4 4" xfId="214" xr:uid="{00000000-0005-0000-0000-00007B000000}"/>
    <cellStyle name="40% - Énfasis4 4 2" xfId="215" xr:uid="{00000000-0005-0000-0000-00007C000000}"/>
    <cellStyle name="40% - Énfasis5 2" xfId="216" xr:uid="{00000000-0005-0000-0000-00007D000000}"/>
    <cellStyle name="40% - Énfasis5 2 2" xfId="217" xr:uid="{00000000-0005-0000-0000-00007E000000}"/>
    <cellStyle name="40% - Énfasis5 2 2 2" xfId="218" xr:uid="{00000000-0005-0000-0000-00007F000000}"/>
    <cellStyle name="40% - Énfasis5 2 3" xfId="219" xr:uid="{00000000-0005-0000-0000-000080000000}"/>
    <cellStyle name="40% - Énfasis5 3" xfId="220" xr:uid="{00000000-0005-0000-0000-000081000000}"/>
    <cellStyle name="40% - Énfasis5 3 2" xfId="221" xr:uid="{00000000-0005-0000-0000-000082000000}"/>
    <cellStyle name="40% - Énfasis5 4" xfId="222" xr:uid="{00000000-0005-0000-0000-000083000000}"/>
    <cellStyle name="40% - Énfasis5 4 2" xfId="223" xr:uid="{00000000-0005-0000-0000-000084000000}"/>
    <cellStyle name="40% - Énfasis6 2" xfId="224" xr:uid="{00000000-0005-0000-0000-000085000000}"/>
    <cellStyle name="40% - Énfasis6 2 2" xfId="225" xr:uid="{00000000-0005-0000-0000-000086000000}"/>
    <cellStyle name="40% - Énfasis6 2 2 2" xfId="226" xr:uid="{00000000-0005-0000-0000-000087000000}"/>
    <cellStyle name="40% - Énfasis6 2 3" xfId="227" xr:uid="{00000000-0005-0000-0000-000088000000}"/>
    <cellStyle name="40% - Énfasis6 3" xfId="228" xr:uid="{00000000-0005-0000-0000-000089000000}"/>
    <cellStyle name="40% - Énfasis6 3 2" xfId="229" xr:uid="{00000000-0005-0000-0000-00008A000000}"/>
    <cellStyle name="40% - Énfasis6 4" xfId="230" xr:uid="{00000000-0005-0000-0000-00008B000000}"/>
    <cellStyle name="40% - Énfasis6 4 2" xfId="231" xr:uid="{00000000-0005-0000-0000-00008C000000}"/>
    <cellStyle name="60% - Accent1" xfId="232" xr:uid="{00000000-0005-0000-0000-00008D000000}"/>
    <cellStyle name="60% - Accent2" xfId="233" xr:uid="{00000000-0005-0000-0000-00008E000000}"/>
    <cellStyle name="60% - Accent3" xfId="234" xr:uid="{00000000-0005-0000-0000-00008F000000}"/>
    <cellStyle name="60% - Accent4" xfId="235" xr:uid="{00000000-0005-0000-0000-000090000000}"/>
    <cellStyle name="60% - Accent5" xfId="236" xr:uid="{00000000-0005-0000-0000-000091000000}"/>
    <cellStyle name="60% - Accent6" xfId="237" xr:uid="{00000000-0005-0000-0000-000092000000}"/>
    <cellStyle name="60% - Énfasis1 2" xfId="238" xr:uid="{00000000-0005-0000-0000-000093000000}"/>
    <cellStyle name="60% - Énfasis1 2 2" xfId="239" xr:uid="{00000000-0005-0000-0000-000094000000}"/>
    <cellStyle name="60% - Énfasis1 2 2 2" xfId="240" xr:uid="{00000000-0005-0000-0000-000095000000}"/>
    <cellStyle name="60% - Énfasis1 2 3" xfId="241" xr:uid="{00000000-0005-0000-0000-000096000000}"/>
    <cellStyle name="60% - Énfasis1 3" xfId="242" xr:uid="{00000000-0005-0000-0000-000097000000}"/>
    <cellStyle name="60% - Énfasis1 3 2" xfId="243" xr:uid="{00000000-0005-0000-0000-000098000000}"/>
    <cellStyle name="60% - Énfasis1 4" xfId="244" xr:uid="{00000000-0005-0000-0000-000099000000}"/>
    <cellStyle name="60% - Énfasis1 4 2" xfId="245" xr:uid="{00000000-0005-0000-0000-00009A000000}"/>
    <cellStyle name="60% - Énfasis2 2" xfId="246" xr:uid="{00000000-0005-0000-0000-00009B000000}"/>
    <cellStyle name="60% - Énfasis2 2 2" xfId="247" xr:uid="{00000000-0005-0000-0000-00009C000000}"/>
    <cellStyle name="60% - Énfasis2 2 2 2" xfId="248" xr:uid="{00000000-0005-0000-0000-00009D000000}"/>
    <cellStyle name="60% - Énfasis2 2 3" xfId="249" xr:uid="{00000000-0005-0000-0000-00009E000000}"/>
    <cellStyle name="60% - Énfasis2 3" xfId="250" xr:uid="{00000000-0005-0000-0000-00009F000000}"/>
    <cellStyle name="60% - Énfasis2 3 2" xfId="251" xr:uid="{00000000-0005-0000-0000-0000A0000000}"/>
    <cellStyle name="60% - Énfasis2 4" xfId="252" xr:uid="{00000000-0005-0000-0000-0000A1000000}"/>
    <cellStyle name="60% - Énfasis2 4 2" xfId="253" xr:uid="{00000000-0005-0000-0000-0000A2000000}"/>
    <cellStyle name="60% - Énfasis3 2" xfId="254" xr:uid="{00000000-0005-0000-0000-0000A3000000}"/>
    <cellStyle name="60% - Énfasis3 2 2" xfId="255" xr:uid="{00000000-0005-0000-0000-0000A4000000}"/>
    <cellStyle name="60% - Énfasis3 2 2 2" xfId="256" xr:uid="{00000000-0005-0000-0000-0000A5000000}"/>
    <cellStyle name="60% - Énfasis3 2 3" xfId="257" xr:uid="{00000000-0005-0000-0000-0000A6000000}"/>
    <cellStyle name="60% - Énfasis3 3" xfId="258" xr:uid="{00000000-0005-0000-0000-0000A7000000}"/>
    <cellStyle name="60% - Énfasis3 3 2" xfId="259" xr:uid="{00000000-0005-0000-0000-0000A8000000}"/>
    <cellStyle name="60% - Énfasis3 4" xfId="260" xr:uid="{00000000-0005-0000-0000-0000A9000000}"/>
    <cellStyle name="60% - Énfasis3 4 2" xfId="261" xr:uid="{00000000-0005-0000-0000-0000AA000000}"/>
    <cellStyle name="60% - Énfasis4 2" xfId="262" xr:uid="{00000000-0005-0000-0000-0000AB000000}"/>
    <cellStyle name="60% - Énfasis4 2 2" xfId="263" xr:uid="{00000000-0005-0000-0000-0000AC000000}"/>
    <cellStyle name="60% - Énfasis4 2 2 2" xfId="264" xr:uid="{00000000-0005-0000-0000-0000AD000000}"/>
    <cellStyle name="60% - Énfasis4 2 3" xfId="265" xr:uid="{00000000-0005-0000-0000-0000AE000000}"/>
    <cellStyle name="60% - Énfasis4 3" xfId="266" xr:uid="{00000000-0005-0000-0000-0000AF000000}"/>
    <cellStyle name="60% - Énfasis4 3 2" xfId="267" xr:uid="{00000000-0005-0000-0000-0000B0000000}"/>
    <cellStyle name="60% - Énfasis4 4" xfId="268" xr:uid="{00000000-0005-0000-0000-0000B1000000}"/>
    <cellStyle name="60% - Énfasis4 4 2" xfId="269" xr:uid="{00000000-0005-0000-0000-0000B2000000}"/>
    <cellStyle name="60% - Énfasis5 2" xfId="270" xr:uid="{00000000-0005-0000-0000-0000B3000000}"/>
    <cellStyle name="60% - Énfasis5 2 2" xfId="271" xr:uid="{00000000-0005-0000-0000-0000B4000000}"/>
    <cellStyle name="60% - Énfasis5 2 2 2" xfId="272" xr:uid="{00000000-0005-0000-0000-0000B5000000}"/>
    <cellStyle name="60% - Énfasis5 2 3" xfId="273" xr:uid="{00000000-0005-0000-0000-0000B6000000}"/>
    <cellStyle name="60% - Énfasis5 3" xfId="274" xr:uid="{00000000-0005-0000-0000-0000B7000000}"/>
    <cellStyle name="60% - Énfasis5 3 2" xfId="275" xr:uid="{00000000-0005-0000-0000-0000B8000000}"/>
    <cellStyle name="60% - Énfasis5 4" xfId="276" xr:uid="{00000000-0005-0000-0000-0000B9000000}"/>
    <cellStyle name="60% - Énfasis5 4 2" xfId="277" xr:uid="{00000000-0005-0000-0000-0000BA000000}"/>
    <cellStyle name="60% - Énfasis6 2" xfId="278" xr:uid="{00000000-0005-0000-0000-0000BB000000}"/>
    <cellStyle name="60% - Énfasis6 2 2" xfId="279" xr:uid="{00000000-0005-0000-0000-0000BC000000}"/>
    <cellStyle name="60% - Énfasis6 2 2 2" xfId="280" xr:uid="{00000000-0005-0000-0000-0000BD000000}"/>
    <cellStyle name="60% - Énfasis6 2 3" xfId="281" xr:uid="{00000000-0005-0000-0000-0000BE000000}"/>
    <cellStyle name="60% - Énfasis6 3" xfId="282" xr:uid="{00000000-0005-0000-0000-0000BF000000}"/>
    <cellStyle name="60% - Énfasis6 3 2" xfId="283" xr:uid="{00000000-0005-0000-0000-0000C0000000}"/>
    <cellStyle name="60% - Énfasis6 4" xfId="284" xr:uid="{00000000-0005-0000-0000-0000C1000000}"/>
    <cellStyle name="60% - Énfasis6 4 2" xfId="285" xr:uid="{00000000-0005-0000-0000-0000C2000000}"/>
    <cellStyle name="Accent1" xfId="286" xr:uid="{00000000-0005-0000-0000-0000C3000000}"/>
    <cellStyle name="Accent2" xfId="287" xr:uid="{00000000-0005-0000-0000-0000C4000000}"/>
    <cellStyle name="Accent3" xfId="288" xr:uid="{00000000-0005-0000-0000-0000C5000000}"/>
    <cellStyle name="Accent4" xfId="289" xr:uid="{00000000-0005-0000-0000-0000C6000000}"/>
    <cellStyle name="Accent5" xfId="290" xr:uid="{00000000-0005-0000-0000-0000C7000000}"/>
    <cellStyle name="Accent6" xfId="291" xr:uid="{00000000-0005-0000-0000-0000C8000000}"/>
    <cellStyle name="Bad" xfId="292" xr:uid="{00000000-0005-0000-0000-0000C9000000}"/>
    <cellStyle name="Buena 2" xfId="293" xr:uid="{00000000-0005-0000-0000-0000CA000000}"/>
    <cellStyle name="Buena 2 2" xfId="294" xr:uid="{00000000-0005-0000-0000-0000CB000000}"/>
    <cellStyle name="Buena 2 2 2" xfId="295" xr:uid="{00000000-0005-0000-0000-0000CC000000}"/>
    <cellStyle name="Buena 2 3" xfId="296" xr:uid="{00000000-0005-0000-0000-0000CD000000}"/>
    <cellStyle name="Buena 3" xfId="297" xr:uid="{00000000-0005-0000-0000-0000CE000000}"/>
    <cellStyle name="Buena 3 2" xfId="298" xr:uid="{00000000-0005-0000-0000-0000CF000000}"/>
    <cellStyle name="Buena 4" xfId="299" xr:uid="{00000000-0005-0000-0000-0000D0000000}"/>
    <cellStyle name="Buena 4 2" xfId="300" xr:uid="{00000000-0005-0000-0000-0000D1000000}"/>
    <cellStyle name="Calculation" xfId="301" xr:uid="{00000000-0005-0000-0000-0000D2000000}"/>
    <cellStyle name="Cálculo 2" xfId="302" xr:uid="{00000000-0005-0000-0000-0000D3000000}"/>
    <cellStyle name="Cálculo 2 2" xfId="303" xr:uid="{00000000-0005-0000-0000-0000D4000000}"/>
    <cellStyle name="Cálculo 2 2 2" xfId="304" xr:uid="{00000000-0005-0000-0000-0000D5000000}"/>
    <cellStyle name="Cálculo 2 3" xfId="305" xr:uid="{00000000-0005-0000-0000-0000D6000000}"/>
    <cellStyle name="Cálculo 3" xfId="306" xr:uid="{00000000-0005-0000-0000-0000D7000000}"/>
    <cellStyle name="Cálculo 3 2" xfId="307" xr:uid="{00000000-0005-0000-0000-0000D8000000}"/>
    <cellStyle name="Cálculo 4" xfId="308" xr:uid="{00000000-0005-0000-0000-0000D9000000}"/>
    <cellStyle name="Cálculo 4 2" xfId="309" xr:uid="{00000000-0005-0000-0000-0000DA000000}"/>
    <cellStyle name="Celda de comprobación 2" xfId="310" xr:uid="{00000000-0005-0000-0000-0000DB000000}"/>
    <cellStyle name="Celda de comprobación 2 2" xfId="311" xr:uid="{00000000-0005-0000-0000-0000DC000000}"/>
    <cellStyle name="Celda de comprobación 2 2 2" xfId="312" xr:uid="{00000000-0005-0000-0000-0000DD000000}"/>
    <cellStyle name="Celda de comprobación 2 3" xfId="313" xr:uid="{00000000-0005-0000-0000-0000DE000000}"/>
    <cellStyle name="Celda de comprobación 3" xfId="314" xr:uid="{00000000-0005-0000-0000-0000DF000000}"/>
    <cellStyle name="Celda de comprobación 3 2" xfId="315" xr:uid="{00000000-0005-0000-0000-0000E0000000}"/>
    <cellStyle name="Celda de comprobación 4" xfId="316" xr:uid="{00000000-0005-0000-0000-0000E1000000}"/>
    <cellStyle name="Celda de comprobación 4 2" xfId="317" xr:uid="{00000000-0005-0000-0000-0000E2000000}"/>
    <cellStyle name="Celda vinculada 2" xfId="318" xr:uid="{00000000-0005-0000-0000-0000E3000000}"/>
    <cellStyle name="Celda vinculada 2 2" xfId="319" xr:uid="{00000000-0005-0000-0000-0000E4000000}"/>
    <cellStyle name="Celda vinculada 3" xfId="320" xr:uid="{00000000-0005-0000-0000-0000E5000000}"/>
    <cellStyle name="Celda vinculada 4" xfId="321" xr:uid="{00000000-0005-0000-0000-0000E6000000}"/>
    <cellStyle name="Encabezado 4 2" xfId="322" xr:uid="{00000000-0005-0000-0000-0000E7000000}"/>
    <cellStyle name="Encabezado 4 2 2" xfId="323" xr:uid="{00000000-0005-0000-0000-0000E8000000}"/>
    <cellStyle name="Encabezado 4 3" xfId="324" xr:uid="{00000000-0005-0000-0000-0000E9000000}"/>
    <cellStyle name="Encabezado 4 4" xfId="325" xr:uid="{00000000-0005-0000-0000-0000EA000000}"/>
    <cellStyle name="Énfasis1 2" xfId="326" xr:uid="{00000000-0005-0000-0000-0000EB000000}"/>
    <cellStyle name="Énfasis1 2 2" xfId="327" xr:uid="{00000000-0005-0000-0000-0000EC000000}"/>
    <cellStyle name="Énfasis1 2 2 2" xfId="328" xr:uid="{00000000-0005-0000-0000-0000ED000000}"/>
    <cellStyle name="Énfasis1 2 3" xfId="329" xr:uid="{00000000-0005-0000-0000-0000EE000000}"/>
    <cellStyle name="Énfasis1 3" xfId="330" xr:uid="{00000000-0005-0000-0000-0000EF000000}"/>
    <cellStyle name="Énfasis1 3 2" xfId="331" xr:uid="{00000000-0005-0000-0000-0000F0000000}"/>
    <cellStyle name="Énfasis1 4" xfId="332" xr:uid="{00000000-0005-0000-0000-0000F1000000}"/>
    <cellStyle name="Énfasis1 4 2" xfId="333" xr:uid="{00000000-0005-0000-0000-0000F2000000}"/>
    <cellStyle name="Énfasis2 2" xfId="334" xr:uid="{00000000-0005-0000-0000-0000F3000000}"/>
    <cellStyle name="Énfasis2 2 2" xfId="335" xr:uid="{00000000-0005-0000-0000-0000F4000000}"/>
    <cellStyle name="Énfasis2 2 2 2" xfId="336" xr:uid="{00000000-0005-0000-0000-0000F5000000}"/>
    <cellStyle name="Énfasis2 2 3" xfId="337" xr:uid="{00000000-0005-0000-0000-0000F6000000}"/>
    <cellStyle name="Énfasis2 3" xfId="338" xr:uid="{00000000-0005-0000-0000-0000F7000000}"/>
    <cellStyle name="Énfasis2 3 2" xfId="339" xr:uid="{00000000-0005-0000-0000-0000F8000000}"/>
    <cellStyle name="Énfasis2 4" xfId="340" xr:uid="{00000000-0005-0000-0000-0000F9000000}"/>
    <cellStyle name="Énfasis2 4 2" xfId="341" xr:uid="{00000000-0005-0000-0000-0000FA000000}"/>
    <cellStyle name="Énfasis3 2" xfId="342" xr:uid="{00000000-0005-0000-0000-0000FB000000}"/>
    <cellStyle name="Énfasis3 2 2" xfId="343" xr:uid="{00000000-0005-0000-0000-0000FC000000}"/>
    <cellStyle name="Énfasis3 2 2 2" xfId="344" xr:uid="{00000000-0005-0000-0000-0000FD000000}"/>
    <cellStyle name="Énfasis3 2 3" xfId="345" xr:uid="{00000000-0005-0000-0000-0000FE000000}"/>
    <cellStyle name="Énfasis3 3" xfId="346" xr:uid="{00000000-0005-0000-0000-0000FF000000}"/>
    <cellStyle name="Énfasis3 3 2" xfId="347" xr:uid="{00000000-0005-0000-0000-000000010000}"/>
    <cellStyle name="Énfasis3 4" xfId="348" xr:uid="{00000000-0005-0000-0000-000001010000}"/>
    <cellStyle name="Énfasis3 4 2" xfId="349" xr:uid="{00000000-0005-0000-0000-000002010000}"/>
    <cellStyle name="Énfasis4 2" xfId="350" xr:uid="{00000000-0005-0000-0000-000003010000}"/>
    <cellStyle name="Énfasis4 2 2" xfId="351" xr:uid="{00000000-0005-0000-0000-000004010000}"/>
    <cellStyle name="Énfasis4 2 2 2" xfId="352" xr:uid="{00000000-0005-0000-0000-000005010000}"/>
    <cellStyle name="Énfasis4 2 3" xfId="353" xr:uid="{00000000-0005-0000-0000-000006010000}"/>
    <cellStyle name="Énfasis4 3" xfId="354" xr:uid="{00000000-0005-0000-0000-000007010000}"/>
    <cellStyle name="Énfasis4 3 2" xfId="355" xr:uid="{00000000-0005-0000-0000-000008010000}"/>
    <cellStyle name="Énfasis4 4" xfId="356" xr:uid="{00000000-0005-0000-0000-000009010000}"/>
    <cellStyle name="Énfasis4 4 2" xfId="357" xr:uid="{00000000-0005-0000-0000-00000A010000}"/>
    <cellStyle name="Énfasis5 2" xfId="358" xr:uid="{00000000-0005-0000-0000-00000B010000}"/>
    <cellStyle name="Énfasis5 2 2" xfId="359" xr:uid="{00000000-0005-0000-0000-00000C010000}"/>
    <cellStyle name="Énfasis5 2 2 2" xfId="360" xr:uid="{00000000-0005-0000-0000-00000D010000}"/>
    <cellStyle name="Énfasis5 2 3" xfId="361" xr:uid="{00000000-0005-0000-0000-00000E010000}"/>
    <cellStyle name="Énfasis5 3" xfId="362" xr:uid="{00000000-0005-0000-0000-00000F010000}"/>
    <cellStyle name="Énfasis5 3 2" xfId="363" xr:uid="{00000000-0005-0000-0000-000010010000}"/>
    <cellStyle name="Énfasis5 4" xfId="364" xr:uid="{00000000-0005-0000-0000-000011010000}"/>
    <cellStyle name="Énfasis5 4 2" xfId="365" xr:uid="{00000000-0005-0000-0000-000012010000}"/>
    <cellStyle name="Énfasis6 2" xfId="366" xr:uid="{00000000-0005-0000-0000-000013010000}"/>
    <cellStyle name="Énfasis6 2 2" xfId="367" xr:uid="{00000000-0005-0000-0000-000014010000}"/>
    <cellStyle name="Énfasis6 2 2 2" xfId="368" xr:uid="{00000000-0005-0000-0000-000015010000}"/>
    <cellStyle name="Énfasis6 2 3" xfId="369" xr:uid="{00000000-0005-0000-0000-000016010000}"/>
    <cellStyle name="Énfasis6 3" xfId="370" xr:uid="{00000000-0005-0000-0000-000017010000}"/>
    <cellStyle name="Énfasis6 3 2" xfId="371" xr:uid="{00000000-0005-0000-0000-000018010000}"/>
    <cellStyle name="Énfasis6 4" xfId="372" xr:uid="{00000000-0005-0000-0000-000019010000}"/>
    <cellStyle name="Énfasis6 4 2" xfId="373" xr:uid="{00000000-0005-0000-0000-00001A010000}"/>
    <cellStyle name="Entrada 2" xfId="374" xr:uid="{00000000-0005-0000-0000-00001B010000}"/>
    <cellStyle name="Entrada 2 2" xfId="375" xr:uid="{00000000-0005-0000-0000-00001C010000}"/>
    <cellStyle name="Entrada 2 2 2" xfId="376" xr:uid="{00000000-0005-0000-0000-00001D010000}"/>
    <cellStyle name="Entrada 2 3" xfId="377" xr:uid="{00000000-0005-0000-0000-00001E010000}"/>
    <cellStyle name="Entrada 3" xfId="378" xr:uid="{00000000-0005-0000-0000-00001F010000}"/>
    <cellStyle name="Entrada 3 2" xfId="379" xr:uid="{00000000-0005-0000-0000-000020010000}"/>
    <cellStyle name="Entrada 4" xfId="380" xr:uid="{00000000-0005-0000-0000-000021010000}"/>
    <cellStyle name="Entrada 4 2" xfId="381" xr:uid="{00000000-0005-0000-0000-000022010000}"/>
    <cellStyle name="Estilo 1" xfId="8" xr:uid="{00000000-0005-0000-0000-000023010000}"/>
    <cellStyle name="Estilo 1 10" xfId="9" xr:uid="{00000000-0005-0000-0000-000024010000}"/>
    <cellStyle name="Estilo 1 10 2" xfId="2799" xr:uid="{00000000-0005-0000-0000-000025010000}"/>
    <cellStyle name="Estilo 1 100" xfId="382" xr:uid="{00000000-0005-0000-0000-000026010000}"/>
    <cellStyle name="Estilo 1 101" xfId="383" xr:uid="{00000000-0005-0000-0000-000027010000}"/>
    <cellStyle name="Estilo 1 102" xfId="384" xr:uid="{00000000-0005-0000-0000-000028010000}"/>
    <cellStyle name="Estilo 1 103" xfId="2798" xr:uid="{00000000-0005-0000-0000-000029010000}"/>
    <cellStyle name="Estilo 1 11" xfId="10" xr:uid="{00000000-0005-0000-0000-00002A010000}"/>
    <cellStyle name="Estilo 1 11 2" xfId="2800" xr:uid="{00000000-0005-0000-0000-00002B010000}"/>
    <cellStyle name="Estilo 1 12" xfId="11" xr:uid="{00000000-0005-0000-0000-00002C010000}"/>
    <cellStyle name="Estilo 1 12 2" xfId="2801" xr:uid="{00000000-0005-0000-0000-00002D010000}"/>
    <cellStyle name="Estilo 1 13" xfId="12" xr:uid="{00000000-0005-0000-0000-00002E010000}"/>
    <cellStyle name="Estilo 1 13 2" xfId="2802" xr:uid="{00000000-0005-0000-0000-00002F010000}"/>
    <cellStyle name="Estilo 1 14" xfId="13" xr:uid="{00000000-0005-0000-0000-000030010000}"/>
    <cellStyle name="Estilo 1 14 2" xfId="2803" xr:uid="{00000000-0005-0000-0000-000031010000}"/>
    <cellStyle name="Estilo 1 15" xfId="14" xr:uid="{00000000-0005-0000-0000-000032010000}"/>
    <cellStyle name="Estilo 1 15 2" xfId="2804" xr:uid="{00000000-0005-0000-0000-000033010000}"/>
    <cellStyle name="Estilo 1 16" xfId="15" xr:uid="{00000000-0005-0000-0000-000034010000}"/>
    <cellStyle name="Estilo 1 16 2" xfId="2805" xr:uid="{00000000-0005-0000-0000-000035010000}"/>
    <cellStyle name="Estilo 1 17" xfId="16" xr:uid="{00000000-0005-0000-0000-000036010000}"/>
    <cellStyle name="Estilo 1 17 2" xfId="2806" xr:uid="{00000000-0005-0000-0000-000037010000}"/>
    <cellStyle name="Estilo 1 18" xfId="17" xr:uid="{00000000-0005-0000-0000-000038010000}"/>
    <cellStyle name="Estilo 1 18 2" xfId="2807" xr:uid="{00000000-0005-0000-0000-000039010000}"/>
    <cellStyle name="Estilo 1 19" xfId="18" xr:uid="{00000000-0005-0000-0000-00003A010000}"/>
    <cellStyle name="Estilo 1 19 2" xfId="2808" xr:uid="{00000000-0005-0000-0000-00003B010000}"/>
    <cellStyle name="Estilo 1 2" xfId="19" xr:uid="{00000000-0005-0000-0000-00003C010000}"/>
    <cellStyle name="Estilo 1 2 2" xfId="385" xr:uid="{00000000-0005-0000-0000-00003D010000}"/>
    <cellStyle name="Estilo 1 2 2 2" xfId="386" xr:uid="{00000000-0005-0000-0000-00003E010000}"/>
    <cellStyle name="Estilo 1 2 3" xfId="2809" xr:uid="{00000000-0005-0000-0000-00003F010000}"/>
    <cellStyle name="Estilo 1 20" xfId="20" xr:uid="{00000000-0005-0000-0000-000040010000}"/>
    <cellStyle name="Estilo 1 20 2" xfId="2810" xr:uid="{00000000-0005-0000-0000-000041010000}"/>
    <cellStyle name="Estilo 1 21" xfId="21" xr:uid="{00000000-0005-0000-0000-000042010000}"/>
    <cellStyle name="Estilo 1 21 2" xfId="2811" xr:uid="{00000000-0005-0000-0000-000043010000}"/>
    <cellStyle name="Estilo 1 22" xfId="22" xr:uid="{00000000-0005-0000-0000-000044010000}"/>
    <cellStyle name="Estilo 1 22 2" xfId="2812" xr:uid="{00000000-0005-0000-0000-000045010000}"/>
    <cellStyle name="Estilo 1 23" xfId="23" xr:uid="{00000000-0005-0000-0000-000046010000}"/>
    <cellStyle name="Estilo 1 23 2" xfId="2813" xr:uid="{00000000-0005-0000-0000-000047010000}"/>
    <cellStyle name="Estilo 1 24" xfId="24" xr:uid="{00000000-0005-0000-0000-000048010000}"/>
    <cellStyle name="Estilo 1 24 2" xfId="2814" xr:uid="{00000000-0005-0000-0000-000049010000}"/>
    <cellStyle name="Estilo 1 25" xfId="25" xr:uid="{00000000-0005-0000-0000-00004A010000}"/>
    <cellStyle name="Estilo 1 25 2" xfId="2815" xr:uid="{00000000-0005-0000-0000-00004B010000}"/>
    <cellStyle name="Estilo 1 26" xfId="26" xr:uid="{00000000-0005-0000-0000-00004C010000}"/>
    <cellStyle name="Estilo 1 26 2" xfId="2816" xr:uid="{00000000-0005-0000-0000-00004D010000}"/>
    <cellStyle name="Estilo 1 27" xfId="27" xr:uid="{00000000-0005-0000-0000-00004E010000}"/>
    <cellStyle name="Estilo 1 27 2" xfId="2817" xr:uid="{00000000-0005-0000-0000-00004F010000}"/>
    <cellStyle name="Estilo 1 28" xfId="28" xr:uid="{00000000-0005-0000-0000-000050010000}"/>
    <cellStyle name="Estilo 1 28 2" xfId="2818" xr:uid="{00000000-0005-0000-0000-000051010000}"/>
    <cellStyle name="Estilo 1 29" xfId="29" xr:uid="{00000000-0005-0000-0000-000052010000}"/>
    <cellStyle name="Estilo 1 29 2" xfId="2819" xr:uid="{00000000-0005-0000-0000-000053010000}"/>
    <cellStyle name="Estilo 1 3" xfId="30" xr:uid="{00000000-0005-0000-0000-000054010000}"/>
    <cellStyle name="Estilo 1 3 2" xfId="387" xr:uid="{00000000-0005-0000-0000-000055010000}"/>
    <cellStyle name="Estilo 1 3 2 2" xfId="388" xr:uid="{00000000-0005-0000-0000-000056010000}"/>
    <cellStyle name="Estilo 1 3 3" xfId="2820" xr:uid="{00000000-0005-0000-0000-000057010000}"/>
    <cellStyle name="Estilo 1 30" xfId="31" xr:uid="{00000000-0005-0000-0000-000058010000}"/>
    <cellStyle name="Estilo 1 30 2" xfId="2821" xr:uid="{00000000-0005-0000-0000-000059010000}"/>
    <cellStyle name="Estilo 1 31" xfId="32" xr:uid="{00000000-0005-0000-0000-00005A010000}"/>
    <cellStyle name="Estilo 1 31 2" xfId="2822" xr:uid="{00000000-0005-0000-0000-00005B010000}"/>
    <cellStyle name="Estilo 1 32" xfId="33" xr:uid="{00000000-0005-0000-0000-00005C010000}"/>
    <cellStyle name="Estilo 1 32 2" xfId="2823" xr:uid="{00000000-0005-0000-0000-00005D010000}"/>
    <cellStyle name="Estilo 1 33" xfId="34" xr:uid="{00000000-0005-0000-0000-00005E010000}"/>
    <cellStyle name="Estilo 1 33 2" xfId="2824" xr:uid="{00000000-0005-0000-0000-00005F010000}"/>
    <cellStyle name="Estilo 1 34" xfId="35" xr:uid="{00000000-0005-0000-0000-000060010000}"/>
    <cellStyle name="Estilo 1 34 2" xfId="2825" xr:uid="{00000000-0005-0000-0000-000061010000}"/>
    <cellStyle name="Estilo 1 35" xfId="36" xr:uid="{00000000-0005-0000-0000-000062010000}"/>
    <cellStyle name="Estilo 1 35 2" xfId="2826" xr:uid="{00000000-0005-0000-0000-000063010000}"/>
    <cellStyle name="Estilo 1 36" xfId="37" xr:uid="{00000000-0005-0000-0000-000064010000}"/>
    <cellStyle name="Estilo 1 36 2" xfId="2827" xr:uid="{00000000-0005-0000-0000-000065010000}"/>
    <cellStyle name="Estilo 1 37" xfId="38" xr:uid="{00000000-0005-0000-0000-000066010000}"/>
    <cellStyle name="Estilo 1 37 2" xfId="2828" xr:uid="{00000000-0005-0000-0000-000067010000}"/>
    <cellStyle name="Estilo 1 38" xfId="39" xr:uid="{00000000-0005-0000-0000-000068010000}"/>
    <cellStyle name="Estilo 1 38 2" xfId="2829" xr:uid="{00000000-0005-0000-0000-000069010000}"/>
    <cellStyle name="Estilo 1 39" xfId="40" xr:uid="{00000000-0005-0000-0000-00006A010000}"/>
    <cellStyle name="Estilo 1 39 2" xfId="2830" xr:uid="{00000000-0005-0000-0000-00006B010000}"/>
    <cellStyle name="Estilo 1 4" xfId="41" xr:uid="{00000000-0005-0000-0000-00006C010000}"/>
    <cellStyle name="Estilo 1 4 2" xfId="2831" xr:uid="{00000000-0005-0000-0000-00006D010000}"/>
    <cellStyle name="Estilo 1 40" xfId="42" xr:uid="{00000000-0005-0000-0000-00006E010000}"/>
    <cellStyle name="Estilo 1 40 2" xfId="2832" xr:uid="{00000000-0005-0000-0000-00006F010000}"/>
    <cellStyle name="Estilo 1 41" xfId="389" xr:uid="{00000000-0005-0000-0000-000070010000}"/>
    <cellStyle name="Estilo 1 41 2" xfId="390" xr:uid="{00000000-0005-0000-0000-000071010000}"/>
    <cellStyle name="Estilo 1 41 3" xfId="391" xr:uid="{00000000-0005-0000-0000-000072010000}"/>
    <cellStyle name="Estilo 1 41 3 2" xfId="392" xr:uid="{00000000-0005-0000-0000-000073010000}"/>
    <cellStyle name="Estilo 1 42" xfId="393" xr:uid="{00000000-0005-0000-0000-000074010000}"/>
    <cellStyle name="Estilo 1 43" xfId="394" xr:uid="{00000000-0005-0000-0000-000075010000}"/>
    <cellStyle name="Estilo 1 44" xfId="395" xr:uid="{00000000-0005-0000-0000-000076010000}"/>
    <cellStyle name="Estilo 1 45" xfId="396" xr:uid="{00000000-0005-0000-0000-000077010000}"/>
    <cellStyle name="Estilo 1 46" xfId="397" xr:uid="{00000000-0005-0000-0000-000078010000}"/>
    <cellStyle name="Estilo 1 47" xfId="398" xr:uid="{00000000-0005-0000-0000-000079010000}"/>
    <cellStyle name="Estilo 1 48" xfId="399" xr:uid="{00000000-0005-0000-0000-00007A010000}"/>
    <cellStyle name="Estilo 1 49" xfId="400" xr:uid="{00000000-0005-0000-0000-00007B010000}"/>
    <cellStyle name="Estilo 1 5" xfId="43" xr:uid="{00000000-0005-0000-0000-00007C010000}"/>
    <cellStyle name="Estilo 1 5 2" xfId="2833" xr:uid="{00000000-0005-0000-0000-00007D010000}"/>
    <cellStyle name="Estilo 1 50" xfId="401" xr:uid="{00000000-0005-0000-0000-00007E010000}"/>
    <cellStyle name="Estilo 1 51" xfId="402" xr:uid="{00000000-0005-0000-0000-00007F010000}"/>
    <cellStyle name="Estilo 1 52" xfId="403" xr:uid="{00000000-0005-0000-0000-000080010000}"/>
    <cellStyle name="Estilo 1 53" xfId="404" xr:uid="{00000000-0005-0000-0000-000081010000}"/>
    <cellStyle name="Estilo 1 54" xfId="405" xr:uid="{00000000-0005-0000-0000-000082010000}"/>
    <cellStyle name="Estilo 1 55" xfId="406" xr:uid="{00000000-0005-0000-0000-000083010000}"/>
    <cellStyle name="Estilo 1 56" xfId="407" xr:uid="{00000000-0005-0000-0000-000084010000}"/>
    <cellStyle name="Estilo 1 57" xfId="408" xr:uid="{00000000-0005-0000-0000-000085010000}"/>
    <cellStyle name="Estilo 1 58" xfId="409" xr:uid="{00000000-0005-0000-0000-000086010000}"/>
    <cellStyle name="Estilo 1 59" xfId="410" xr:uid="{00000000-0005-0000-0000-000087010000}"/>
    <cellStyle name="Estilo 1 6" xfId="44" xr:uid="{00000000-0005-0000-0000-000088010000}"/>
    <cellStyle name="Estilo 1 6 2" xfId="2834" xr:uid="{00000000-0005-0000-0000-000089010000}"/>
    <cellStyle name="Estilo 1 60" xfId="411" xr:uid="{00000000-0005-0000-0000-00008A010000}"/>
    <cellStyle name="Estilo 1 61" xfId="412" xr:uid="{00000000-0005-0000-0000-00008B010000}"/>
    <cellStyle name="Estilo 1 62" xfId="413" xr:uid="{00000000-0005-0000-0000-00008C010000}"/>
    <cellStyle name="Estilo 1 63" xfId="414" xr:uid="{00000000-0005-0000-0000-00008D010000}"/>
    <cellStyle name="Estilo 1 64" xfId="415" xr:uid="{00000000-0005-0000-0000-00008E010000}"/>
    <cellStyle name="Estilo 1 65" xfId="416" xr:uid="{00000000-0005-0000-0000-00008F010000}"/>
    <cellStyle name="Estilo 1 66" xfId="417" xr:uid="{00000000-0005-0000-0000-000090010000}"/>
    <cellStyle name="Estilo 1 67" xfId="418" xr:uid="{00000000-0005-0000-0000-000091010000}"/>
    <cellStyle name="Estilo 1 68" xfId="419" xr:uid="{00000000-0005-0000-0000-000092010000}"/>
    <cellStyle name="Estilo 1 69" xfId="420" xr:uid="{00000000-0005-0000-0000-000093010000}"/>
    <cellStyle name="Estilo 1 7" xfId="45" xr:uid="{00000000-0005-0000-0000-000094010000}"/>
    <cellStyle name="Estilo 1 7 2" xfId="2835" xr:uid="{00000000-0005-0000-0000-000095010000}"/>
    <cellStyle name="Estilo 1 70" xfId="421" xr:uid="{00000000-0005-0000-0000-000096010000}"/>
    <cellStyle name="Estilo 1 71" xfId="422" xr:uid="{00000000-0005-0000-0000-000097010000}"/>
    <cellStyle name="Estilo 1 72" xfId="423" xr:uid="{00000000-0005-0000-0000-000098010000}"/>
    <cellStyle name="Estilo 1 73" xfId="424" xr:uid="{00000000-0005-0000-0000-000099010000}"/>
    <cellStyle name="Estilo 1 74" xfId="425" xr:uid="{00000000-0005-0000-0000-00009A010000}"/>
    <cellStyle name="Estilo 1 75" xfId="426" xr:uid="{00000000-0005-0000-0000-00009B010000}"/>
    <cellStyle name="Estilo 1 76" xfId="427" xr:uid="{00000000-0005-0000-0000-00009C010000}"/>
    <cellStyle name="Estilo 1 77" xfId="428" xr:uid="{00000000-0005-0000-0000-00009D010000}"/>
    <cellStyle name="Estilo 1 78" xfId="429" xr:uid="{00000000-0005-0000-0000-00009E010000}"/>
    <cellStyle name="Estilo 1 79" xfId="430" xr:uid="{00000000-0005-0000-0000-00009F010000}"/>
    <cellStyle name="Estilo 1 8" xfId="46" xr:uid="{00000000-0005-0000-0000-0000A0010000}"/>
    <cellStyle name="Estilo 1 8 2" xfId="2836" xr:uid="{00000000-0005-0000-0000-0000A1010000}"/>
    <cellStyle name="Estilo 1 80" xfId="431" xr:uid="{00000000-0005-0000-0000-0000A2010000}"/>
    <cellStyle name="Estilo 1 81" xfId="432" xr:uid="{00000000-0005-0000-0000-0000A3010000}"/>
    <cellStyle name="Estilo 1 82" xfId="433" xr:uid="{00000000-0005-0000-0000-0000A4010000}"/>
    <cellStyle name="Estilo 1 83" xfId="434" xr:uid="{00000000-0005-0000-0000-0000A5010000}"/>
    <cellStyle name="Estilo 1 84" xfId="435" xr:uid="{00000000-0005-0000-0000-0000A6010000}"/>
    <cellStyle name="Estilo 1 85" xfId="436" xr:uid="{00000000-0005-0000-0000-0000A7010000}"/>
    <cellStyle name="Estilo 1 86" xfId="437" xr:uid="{00000000-0005-0000-0000-0000A8010000}"/>
    <cellStyle name="Estilo 1 87" xfId="438" xr:uid="{00000000-0005-0000-0000-0000A9010000}"/>
    <cellStyle name="Estilo 1 88" xfId="439" xr:uid="{00000000-0005-0000-0000-0000AA010000}"/>
    <cellStyle name="Estilo 1 89" xfId="440" xr:uid="{00000000-0005-0000-0000-0000AB010000}"/>
    <cellStyle name="Estilo 1 9" xfId="47" xr:uid="{00000000-0005-0000-0000-0000AC010000}"/>
    <cellStyle name="Estilo 1 9 2" xfId="2837" xr:uid="{00000000-0005-0000-0000-0000AD010000}"/>
    <cellStyle name="Estilo 1 90" xfId="441" xr:uid="{00000000-0005-0000-0000-0000AE010000}"/>
    <cellStyle name="Estilo 1 91" xfId="442" xr:uid="{00000000-0005-0000-0000-0000AF010000}"/>
    <cellStyle name="Estilo 1 92" xfId="443" xr:uid="{00000000-0005-0000-0000-0000B0010000}"/>
    <cellStyle name="Estilo 1 93" xfId="444" xr:uid="{00000000-0005-0000-0000-0000B1010000}"/>
    <cellStyle name="Estilo 1 94" xfId="445" xr:uid="{00000000-0005-0000-0000-0000B2010000}"/>
    <cellStyle name="Estilo 1 95" xfId="446" xr:uid="{00000000-0005-0000-0000-0000B3010000}"/>
    <cellStyle name="Estilo 1 96" xfId="447" xr:uid="{00000000-0005-0000-0000-0000B4010000}"/>
    <cellStyle name="Estilo 1 97" xfId="448" xr:uid="{00000000-0005-0000-0000-0000B5010000}"/>
    <cellStyle name="Estilo 1 98" xfId="449" xr:uid="{00000000-0005-0000-0000-0000B6010000}"/>
    <cellStyle name="Estilo 1 99" xfId="450" xr:uid="{00000000-0005-0000-0000-0000B7010000}"/>
    <cellStyle name="Euro" xfId="48" xr:uid="{00000000-0005-0000-0000-0000B8010000}"/>
    <cellStyle name="Euro 10" xfId="451" xr:uid="{00000000-0005-0000-0000-0000B9010000}"/>
    <cellStyle name="Euro 11" xfId="452" xr:uid="{00000000-0005-0000-0000-0000BA010000}"/>
    <cellStyle name="Euro 12" xfId="453" xr:uid="{00000000-0005-0000-0000-0000BB010000}"/>
    <cellStyle name="Euro 13" xfId="454" xr:uid="{00000000-0005-0000-0000-0000BC010000}"/>
    <cellStyle name="Euro 14" xfId="455" xr:uid="{00000000-0005-0000-0000-0000BD010000}"/>
    <cellStyle name="Euro 15" xfId="456" xr:uid="{00000000-0005-0000-0000-0000BE010000}"/>
    <cellStyle name="Euro 16" xfId="457" xr:uid="{00000000-0005-0000-0000-0000BF010000}"/>
    <cellStyle name="Euro 17" xfId="458" xr:uid="{00000000-0005-0000-0000-0000C0010000}"/>
    <cellStyle name="Euro 18" xfId="459" xr:uid="{00000000-0005-0000-0000-0000C1010000}"/>
    <cellStyle name="Euro 19" xfId="460" xr:uid="{00000000-0005-0000-0000-0000C2010000}"/>
    <cellStyle name="Euro 2" xfId="49" xr:uid="{00000000-0005-0000-0000-0000C3010000}"/>
    <cellStyle name="Euro 2 10" xfId="461" xr:uid="{00000000-0005-0000-0000-0000C4010000}"/>
    <cellStyle name="Euro 2 10 2" xfId="462" xr:uid="{00000000-0005-0000-0000-0000C5010000}"/>
    <cellStyle name="Euro 2 11" xfId="463" xr:uid="{00000000-0005-0000-0000-0000C6010000}"/>
    <cellStyle name="Euro 2 11 2" xfId="464" xr:uid="{00000000-0005-0000-0000-0000C7010000}"/>
    <cellStyle name="Euro 2 12" xfId="465" xr:uid="{00000000-0005-0000-0000-0000C8010000}"/>
    <cellStyle name="Euro 2 12 2" xfId="466" xr:uid="{00000000-0005-0000-0000-0000C9010000}"/>
    <cellStyle name="Euro 2 13" xfId="467" xr:uid="{00000000-0005-0000-0000-0000CA010000}"/>
    <cellStyle name="Euro 2 13 2" xfId="468" xr:uid="{00000000-0005-0000-0000-0000CB010000}"/>
    <cellStyle name="Euro 2 14" xfId="469" xr:uid="{00000000-0005-0000-0000-0000CC010000}"/>
    <cellStyle name="Euro 2 14 2" xfId="470" xr:uid="{00000000-0005-0000-0000-0000CD010000}"/>
    <cellStyle name="Euro 2 15" xfId="471" xr:uid="{00000000-0005-0000-0000-0000CE010000}"/>
    <cellStyle name="Euro 2 15 2" xfId="472" xr:uid="{00000000-0005-0000-0000-0000CF010000}"/>
    <cellStyle name="Euro 2 16" xfId="473" xr:uid="{00000000-0005-0000-0000-0000D0010000}"/>
    <cellStyle name="Euro 2 16 2" xfId="474" xr:uid="{00000000-0005-0000-0000-0000D1010000}"/>
    <cellStyle name="Euro 2 17" xfId="475" xr:uid="{00000000-0005-0000-0000-0000D2010000}"/>
    <cellStyle name="Euro 2 17 2" xfId="476" xr:uid="{00000000-0005-0000-0000-0000D3010000}"/>
    <cellStyle name="Euro 2 18" xfId="477" xr:uid="{00000000-0005-0000-0000-0000D4010000}"/>
    <cellStyle name="Euro 2 18 2" xfId="478" xr:uid="{00000000-0005-0000-0000-0000D5010000}"/>
    <cellStyle name="Euro 2 19" xfId="479" xr:uid="{00000000-0005-0000-0000-0000D6010000}"/>
    <cellStyle name="Euro 2 19 2" xfId="480" xr:uid="{00000000-0005-0000-0000-0000D7010000}"/>
    <cellStyle name="Euro 2 2" xfId="481" xr:uid="{00000000-0005-0000-0000-0000D8010000}"/>
    <cellStyle name="Euro 2 2 2" xfId="482" xr:uid="{00000000-0005-0000-0000-0000D9010000}"/>
    <cellStyle name="Euro 2 20" xfId="483" xr:uid="{00000000-0005-0000-0000-0000DA010000}"/>
    <cellStyle name="Euro 2 20 2" xfId="484" xr:uid="{00000000-0005-0000-0000-0000DB010000}"/>
    <cellStyle name="Euro 2 21" xfId="485" xr:uid="{00000000-0005-0000-0000-0000DC010000}"/>
    <cellStyle name="Euro 2 21 2" xfId="486" xr:uid="{00000000-0005-0000-0000-0000DD010000}"/>
    <cellStyle name="Euro 2 22" xfId="487" xr:uid="{00000000-0005-0000-0000-0000DE010000}"/>
    <cellStyle name="Euro 2 22 2" xfId="488" xr:uid="{00000000-0005-0000-0000-0000DF010000}"/>
    <cellStyle name="Euro 2 23" xfId="489" xr:uid="{00000000-0005-0000-0000-0000E0010000}"/>
    <cellStyle name="Euro 2 23 2" xfId="490" xr:uid="{00000000-0005-0000-0000-0000E1010000}"/>
    <cellStyle name="Euro 2 24" xfId="491" xr:uid="{00000000-0005-0000-0000-0000E2010000}"/>
    <cellStyle name="Euro 2 24 2" xfId="492" xr:uid="{00000000-0005-0000-0000-0000E3010000}"/>
    <cellStyle name="Euro 2 25" xfId="493" xr:uid="{00000000-0005-0000-0000-0000E4010000}"/>
    <cellStyle name="Euro 2 25 2" xfId="494" xr:uid="{00000000-0005-0000-0000-0000E5010000}"/>
    <cellStyle name="Euro 2 26" xfId="495" xr:uid="{00000000-0005-0000-0000-0000E6010000}"/>
    <cellStyle name="Euro 2 26 2" xfId="496" xr:uid="{00000000-0005-0000-0000-0000E7010000}"/>
    <cellStyle name="Euro 2 27" xfId="497" xr:uid="{00000000-0005-0000-0000-0000E8010000}"/>
    <cellStyle name="Euro 2 27 2" xfId="498" xr:uid="{00000000-0005-0000-0000-0000E9010000}"/>
    <cellStyle name="Euro 2 28" xfId="499" xr:uid="{00000000-0005-0000-0000-0000EA010000}"/>
    <cellStyle name="Euro 2 28 2" xfId="500" xr:uid="{00000000-0005-0000-0000-0000EB010000}"/>
    <cellStyle name="Euro 2 29" xfId="501" xr:uid="{00000000-0005-0000-0000-0000EC010000}"/>
    <cellStyle name="Euro 2 29 2" xfId="502" xr:uid="{00000000-0005-0000-0000-0000ED010000}"/>
    <cellStyle name="Euro 2 3" xfId="503" xr:uid="{00000000-0005-0000-0000-0000EE010000}"/>
    <cellStyle name="Euro 2 3 2" xfId="504" xr:uid="{00000000-0005-0000-0000-0000EF010000}"/>
    <cellStyle name="Euro 2 30" xfId="505" xr:uid="{00000000-0005-0000-0000-0000F0010000}"/>
    <cellStyle name="Euro 2 30 2" xfId="506" xr:uid="{00000000-0005-0000-0000-0000F1010000}"/>
    <cellStyle name="Euro 2 31" xfId="507" xr:uid="{00000000-0005-0000-0000-0000F2010000}"/>
    <cellStyle name="Euro 2 31 2" xfId="508" xr:uid="{00000000-0005-0000-0000-0000F3010000}"/>
    <cellStyle name="Euro 2 32" xfId="509" xr:uid="{00000000-0005-0000-0000-0000F4010000}"/>
    <cellStyle name="Euro 2 32 2" xfId="510" xr:uid="{00000000-0005-0000-0000-0000F5010000}"/>
    <cellStyle name="Euro 2 33" xfId="511" xr:uid="{00000000-0005-0000-0000-0000F6010000}"/>
    <cellStyle name="Euro 2 33 2" xfId="512" xr:uid="{00000000-0005-0000-0000-0000F7010000}"/>
    <cellStyle name="Euro 2 34" xfId="513" xr:uid="{00000000-0005-0000-0000-0000F8010000}"/>
    <cellStyle name="Euro 2 35" xfId="514" xr:uid="{00000000-0005-0000-0000-0000F9010000}"/>
    <cellStyle name="Euro 2 36" xfId="515" xr:uid="{00000000-0005-0000-0000-0000FA010000}"/>
    <cellStyle name="Euro 2 37" xfId="516" xr:uid="{00000000-0005-0000-0000-0000FB010000}"/>
    <cellStyle name="Euro 2 38" xfId="517" xr:uid="{00000000-0005-0000-0000-0000FC010000}"/>
    <cellStyle name="Euro 2 39" xfId="518" xr:uid="{00000000-0005-0000-0000-0000FD010000}"/>
    <cellStyle name="Euro 2 4" xfId="519" xr:uid="{00000000-0005-0000-0000-0000FE010000}"/>
    <cellStyle name="Euro 2 4 2" xfId="520" xr:uid="{00000000-0005-0000-0000-0000FF010000}"/>
    <cellStyle name="Euro 2 40" xfId="521" xr:uid="{00000000-0005-0000-0000-000000020000}"/>
    <cellStyle name="Euro 2 41" xfId="522" xr:uid="{00000000-0005-0000-0000-000001020000}"/>
    <cellStyle name="Euro 2 42" xfId="523" xr:uid="{00000000-0005-0000-0000-000002020000}"/>
    <cellStyle name="Euro 2 43" xfId="524" xr:uid="{00000000-0005-0000-0000-000003020000}"/>
    <cellStyle name="Euro 2 44" xfId="525" xr:uid="{00000000-0005-0000-0000-000004020000}"/>
    <cellStyle name="Euro 2 45" xfId="526" xr:uid="{00000000-0005-0000-0000-000005020000}"/>
    <cellStyle name="Euro 2 46" xfId="527" xr:uid="{00000000-0005-0000-0000-000006020000}"/>
    <cellStyle name="Euro 2 47" xfId="528" xr:uid="{00000000-0005-0000-0000-000007020000}"/>
    <cellStyle name="Euro 2 48" xfId="529" xr:uid="{00000000-0005-0000-0000-000008020000}"/>
    <cellStyle name="Euro 2 49" xfId="530" xr:uid="{00000000-0005-0000-0000-000009020000}"/>
    <cellStyle name="Euro 2 5" xfId="531" xr:uid="{00000000-0005-0000-0000-00000A020000}"/>
    <cellStyle name="Euro 2 5 2" xfId="532" xr:uid="{00000000-0005-0000-0000-00000B020000}"/>
    <cellStyle name="Euro 2 50" xfId="533" xr:uid="{00000000-0005-0000-0000-00000C020000}"/>
    <cellStyle name="Euro 2 51" xfId="534" xr:uid="{00000000-0005-0000-0000-00000D020000}"/>
    <cellStyle name="Euro 2 52" xfId="535" xr:uid="{00000000-0005-0000-0000-00000E020000}"/>
    <cellStyle name="Euro 2 53" xfId="536" xr:uid="{00000000-0005-0000-0000-00000F020000}"/>
    <cellStyle name="Euro 2 54" xfId="537" xr:uid="{00000000-0005-0000-0000-000010020000}"/>
    <cellStyle name="Euro 2 55" xfId="538" xr:uid="{00000000-0005-0000-0000-000011020000}"/>
    <cellStyle name="Euro 2 56" xfId="539" xr:uid="{00000000-0005-0000-0000-000012020000}"/>
    <cellStyle name="Euro 2 57" xfId="540" xr:uid="{00000000-0005-0000-0000-000013020000}"/>
    <cellStyle name="Euro 2 58" xfId="541" xr:uid="{00000000-0005-0000-0000-000014020000}"/>
    <cellStyle name="Euro 2 59" xfId="542" xr:uid="{00000000-0005-0000-0000-000015020000}"/>
    <cellStyle name="Euro 2 6" xfId="543" xr:uid="{00000000-0005-0000-0000-000016020000}"/>
    <cellStyle name="Euro 2 6 2" xfId="544" xr:uid="{00000000-0005-0000-0000-000017020000}"/>
    <cellStyle name="Euro 2 60" xfId="545" xr:uid="{00000000-0005-0000-0000-000018020000}"/>
    <cellStyle name="Euro 2 61" xfId="546" xr:uid="{00000000-0005-0000-0000-000019020000}"/>
    <cellStyle name="Euro 2 62" xfId="547" xr:uid="{00000000-0005-0000-0000-00001A020000}"/>
    <cellStyle name="Euro 2 63" xfId="548" xr:uid="{00000000-0005-0000-0000-00001B020000}"/>
    <cellStyle name="Euro 2 64" xfId="549" xr:uid="{00000000-0005-0000-0000-00001C020000}"/>
    <cellStyle name="Euro 2 65" xfId="2839" xr:uid="{00000000-0005-0000-0000-00001D020000}"/>
    <cellStyle name="Euro 2 7" xfId="550" xr:uid="{00000000-0005-0000-0000-00001E020000}"/>
    <cellStyle name="Euro 2 7 2" xfId="551" xr:uid="{00000000-0005-0000-0000-00001F020000}"/>
    <cellStyle name="Euro 2 8" xfId="552" xr:uid="{00000000-0005-0000-0000-000020020000}"/>
    <cellStyle name="Euro 2 8 2" xfId="553" xr:uid="{00000000-0005-0000-0000-000021020000}"/>
    <cellStyle name="Euro 2 9" xfId="554" xr:uid="{00000000-0005-0000-0000-000022020000}"/>
    <cellStyle name="Euro 2 9 2" xfId="555" xr:uid="{00000000-0005-0000-0000-000023020000}"/>
    <cellStyle name="Euro 20" xfId="556" xr:uid="{00000000-0005-0000-0000-000024020000}"/>
    <cellStyle name="Euro 21" xfId="557" xr:uid="{00000000-0005-0000-0000-000025020000}"/>
    <cellStyle name="Euro 22" xfId="558" xr:uid="{00000000-0005-0000-0000-000026020000}"/>
    <cellStyle name="Euro 23" xfId="559" xr:uid="{00000000-0005-0000-0000-000027020000}"/>
    <cellStyle name="Euro 24" xfId="560" xr:uid="{00000000-0005-0000-0000-000028020000}"/>
    <cellStyle name="Euro 25" xfId="561" xr:uid="{00000000-0005-0000-0000-000029020000}"/>
    <cellStyle name="Euro 26" xfId="562" xr:uid="{00000000-0005-0000-0000-00002A020000}"/>
    <cellStyle name="Euro 27" xfId="563" xr:uid="{00000000-0005-0000-0000-00002B020000}"/>
    <cellStyle name="Euro 28" xfId="564" xr:uid="{00000000-0005-0000-0000-00002C020000}"/>
    <cellStyle name="Euro 29" xfId="565" xr:uid="{00000000-0005-0000-0000-00002D020000}"/>
    <cellStyle name="Euro 3" xfId="566" xr:uid="{00000000-0005-0000-0000-00002E020000}"/>
    <cellStyle name="Euro 3 2" xfId="567" xr:uid="{00000000-0005-0000-0000-00002F020000}"/>
    <cellStyle name="Euro 3 3" xfId="568" xr:uid="{00000000-0005-0000-0000-000030020000}"/>
    <cellStyle name="Euro 3 3 2" xfId="569" xr:uid="{00000000-0005-0000-0000-000031020000}"/>
    <cellStyle name="Euro 30" xfId="570" xr:uid="{00000000-0005-0000-0000-000032020000}"/>
    <cellStyle name="Euro 31" xfId="571" xr:uid="{00000000-0005-0000-0000-000033020000}"/>
    <cellStyle name="Euro 32" xfId="572" xr:uid="{00000000-0005-0000-0000-000034020000}"/>
    <cellStyle name="Euro 33" xfId="573" xr:uid="{00000000-0005-0000-0000-000035020000}"/>
    <cellStyle name="Euro 34" xfId="574" xr:uid="{00000000-0005-0000-0000-000036020000}"/>
    <cellStyle name="Euro 34 2" xfId="575" xr:uid="{00000000-0005-0000-0000-000037020000}"/>
    <cellStyle name="Euro 35" xfId="2838" xr:uid="{00000000-0005-0000-0000-000038020000}"/>
    <cellStyle name="Euro 4" xfId="576" xr:uid="{00000000-0005-0000-0000-000039020000}"/>
    <cellStyle name="Euro 5" xfId="577" xr:uid="{00000000-0005-0000-0000-00003A020000}"/>
    <cellStyle name="Euro 6" xfId="578" xr:uid="{00000000-0005-0000-0000-00003B020000}"/>
    <cellStyle name="Euro 7" xfId="579" xr:uid="{00000000-0005-0000-0000-00003C020000}"/>
    <cellStyle name="Euro 8" xfId="580" xr:uid="{00000000-0005-0000-0000-00003D020000}"/>
    <cellStyle name="Euro 9" xfId="581" xr:uid="{00000000-0005-0000-0000-00003E020000}"/>
    <cellStyle name="Explanatory Text" xfId="582" xr:uid="{00000000-0005-0000-0000-00003F020000}"/>
    <cellStyle name="Heading 1" xfId="583" xr:uid="{00000000-0005-0000-0000-000040020000}"/>
    <cellStyle name="Heading 2" xfId="584" xr:uid="{00000000-0005-0000-0000-000041020000}"/>
    <cellStyle name="Heading 3" xfId="585" xr:uid="{00000000-0005-0000-0000-000042020000}"/>
    <cellStyle name="Hipervínculo" xfId="81" builtinId="8"/>
    <cellStyle name="Incorrecto 2" xfId="586" xr:uid="{00000000-0005-0000-0000-000044020000}"/>
    <cellStyle name="Incorrecto 2 2" xfId="587" xr:uid="{00000000-0005-0000-0000-000045020000}"/>
    <cellStyle name="Incorrecto 2 2 2" xfId="588" xr:uid="{00000000-0005-0000-0000-000046020000}"/>
    <cellStyle name="Incorrecto 2 3" xfId="589" xr:uid="{00000000-0005-0000-0000-000047020000}"/>
    <cellStyle name="Incorrecto 3" xfId="590" xr:uid="{00000000-0005-0000-0000-000048020000}"/>
    <cellStyle name="Incorrecto 3 2" xfId="591" xr:uid="{00000000-0005-0000-0000-000049020000}"/>
    <cellStyle name="Incorrecto 4" xfId="592" xr:uid="{00000000-0005-0000-0000-00004A020000}"/>
    <cellStyle name="Incorrecto 4 2" xfId="593" xr:uid="{00000000-0005-0000-0000-00004B020000}"/>
    <cellStyle name="Millares" xfId="1" builtinId="3"/>
    <cellStyle name="Millares [0]" xfId="2769" builtinId="6"/>
    <cellStyle name="Millares [0] 2" xfId="594" xr:uid="{00000000-0005-0000-0000-00004E020000}"/>
    <cellStyle name="Millares [0] 2 2" xfId="595" xr:uid="{00000000-0005-0000-0000-00004F020000}"/>
    <cellStyle name="Millares [0] 2 2 2" xfId="2864" xr:uid="{00000000-0005-0000-0000-000050020000}"/>
    <cellStyle name="Millares [0] 2 3" xfId="596" xr:uid="{00000000-0005-0000-0000-000051020000}"/>
    <cellStyle name="Millares [0] 2 4" xfId="2789" xr:uid="{00000000-0005-0000-0000-000052020000}"/>
    <cellStyle name="Millares [0] 3" xfId="2870" xr:uid="{00000000-0005-0000-0000-000053020000}"/>
    <cellStyle name="Millares [0] 4" xfId="2855" xr:uid="{00000000-0005-0000-0000-000054020000}"/>
    <cellStyle name="Millares [0] 5" xfId="2918" xr:uid="{00000000-0005-0000-0000-000055020000}"/>
    <cellStyle name="Millares 10" xfId="597" xr:uid="{00000000-0005-0000-0000-000056020000}"/>
    <cellStyle name="Millares 10 2" xfId="598" xr:uid="{00000000-0005-0000-0000-000057020000}"/>
    <cellStyle name="Millares 10 2 2" xfId="599" xr:uid="{00000000-0005-0000-0000-000058020000}"/>
    <cellStyle name="Millares 10 2 3" xfId="600" xr:uid="{00000000-0005-0000-0000-000059020000}"/>
    <cellStyle name="Millares 10 3" xfId="601" xr:uid="{00000000-0005-0000-0000-00005A020000}"/>
    <cellStyle name="Millares 10 3 2" xfId="602" xr:uid="{00000000-0005-0000-0000-00005B020000}"/>
    <cellStyle name="Millares 10 3 3" xfId="603" xr:uid="{00000000-0005-0000-0000-00005C020000}"/>
    <cellStyle name="Millares 10 3 4" xfId="2860" xr:uid="{00000000-0005-0000-0000-00005D020000}"/>
    <cellStyle name="Millares 10 4" xfId="604" xr:uid="{00000000-0005-0000-0000-00005E020000}"/>
    <cellStyle name="Millares 11" xfId="605" xr:uid="{00000000-0005-0000-0000-00005F020000}"/>
    <cellStyle name="Millares 11 2" xfId="606" xr:uid="{00000000-0005-0000-0000-000060020000}"/>
    <cellStyle name="Millares 11 2 2" xfId="607" xr:uid="{00000000-0005-0000-0000-000061020000}"/>
    <cellStyle name="Millares 11 2 3" xfId="608" xr:uid="{00000000-0005-0000-0000-000062020000}"/>
    <cellStyle name="Millares 11 3" xfId="609" xr:uid="{00000000-0005-0000-0000-000063020000}"/>
    <cellStyle name="Millares 11 4" xfId="610" xr:uid="{00000000-0005-0000-0000-000064020000}"/>
    <cellStyle name="Millares 12" xfId="611" xr:uid="{00000000-0005-0000-0000-000065020000}"/>
    <cellStyle name="Millares 12 2" xfId="612" xr:uid="{00000000-0005-0000-0000-000066020000}"/>
    <cellStyle name="Millares 12 2 2" xfId="613" xr:uid="{00000000-0005-0000-0000-000067020000}"/>
    <cellStyle name="Millares 12 2 3" xfId="614" xr:uid="{00000000-0005-0000-0000-000068020000}"/>
    <cellStyle name="Millares 12 3" xfId="615" xr:uid="{00000000-0005-0000-0000-000069020000}"/>
    <cellStyle name="Millares 12 4" xfId="616" xr:uid="{00000000-0005-0000-0000-00006A020000}"/>
    <cellStyle name="Millares 13" xfId="617" xr:uid="{00000000-0005-0000-0000-00006B020000}"/>
    <cellStyle name="Millares 13 2" xfId="618" xr:uid="{00000000-0005-0000-0000-00006C020000}"/>
    <cellStyle name="Millares 13 2 2" xfId="619" xr:uid="{00000000-0005-0000-0000-00006D020000}"/>
    <cellStyle name="Millares 13 2 3" xfId="620" xr:uid="{00000000-0005-0000-0000-00006E020000}"/>
    <cellStyle name="Millares 13 3" xfId="621" xr:uid="{00000000-0005-0000-0000-00006F020000}"/>
    <cellStyle name="Millares 13 3 2" xfId="622" xr:uid="{00000000-0005-0000-0000-000070020000}"/>
    <cellStyle name="Millares 13 3 3" xfId="623" xr:uid="{00000000-0005-0000-0000-000071020000}"/>
    <cellStyle name="Millares 13 4" xfId="624" xr:uid="{00000000-0005-0000-0000-000072020000}"/>
    <cellStyle name="Millares 14" xfId="625" xr:uid="{00000000-0005-0000-0000-000073020000}"/>
    <cellStyle name="Millares 14 2" xfId="626" xr:uid="{00000000-0005-0000-0000-000074020000}"/>
    <cellStyle name="Millares 14 2 2" xfId="627" xr:uid="{00000000-0005-0000-0000-000075020000}"/>
    <cellStyle name="Millares 14 2 3" xfId="628" xr:uid="{00000000-0005-0000-0000-000076020000}"/>
    <cellStyle name="Millares 14 3" xfId="629" xr:uid="{00000000-0005-0000-0000-000077020000}"/>
    <cellStyle name="Millares 14 3 2" xfId="630" xr:uid="{00000000-0005-0000-0000-000078020000}"/>
    <cellStyle name="Millares 14 3 3" xfId="631" xr:uid="{00000000-0005-0000-0000-000079020000}"/>
    <cellStyle name="Millares 14 4" xfId="632" xr:uid="{00000000-0005-0000-0000-00007A020000}"/>
    <cellStyle name="Millares 15" xfId="633" xr:uid="{00000000-0005-0000-0000-00007B020000}"/>
    <cellStyle name="Millares 15 2" xfId="634" xr:uid="{00000000-0005-0000-0000-00007C020000}"/>
    <cellStyle name="Millares 15 2 2" xfId="635" xr:uid="{00000000-0005-0000-0000-00007D020000}"/>
    <cellStyle name="Millares 15 2 3" xfId="636" xr:uid="{00000000-0005-0000-0000-00007E020000}"/>
    <cellStyle name="Millares 15 3" xfId="637" xr:uid="{00000000-0005-0000-0000-00007F020000}"/>
    <cellStyle name="Millares 15 4" xfId="638" xr:uid="{00000000-0005-0000-0000-000080020000}"/>
    <cellStyle name="Millares 16" xfId="639" xr:uid="{00000000-0005-0000-0000-000081020000}"/>
    <cellStyle name="Millares 16 2" xfId="640" xr:uid="{00000000-0005-0000-0000-000082020000}"/>
    <cellStyle name="Millares 16 2 2" xfId="641" xr:uid="{00000000-0005-0000-0000-000083020000}"/>
    <cellStyle name="Millares 16 2 3" xfId="642" xr:uid="{00000000-0005-0000-0000-000084020000}"/>
    <cellStyle name="Millares 16 3" xfId="643" xr:uid="{00000000-0005-0000-0000-000085020000}"/>
    <cellStyle name="Millares 16 4" xfId="644" xr:uid="{00000000-0005-0000-0000-000086020000}"/>
    <cellStyle name="Millares 17" xfId="645" xr:uid="{00000000-0005-0000-0000-000087020000}"/>
    <cellStyle name="Millares 17 2" xfId="646" xr:uid="{00000000-0005-0000-0000-000088020000}"/>
    <cellStyle name="Millares 17 2 2" xfId="647" xr:uid="{00000000-0005-0000-0000-000089020000}"/>
    <cellStyle name="Millares 17 2 3" xfId="648" xr:uid="{00000000-0005-0000-0000-00008A020000}"/>
    <cellStyle name="Millares 17 3" xfId="649" xr:uid="{00000000-0005-0000-0000-00008B020000}"/>
    <cellStyle name="Millares 17 4" xfId="650" xr:uid="{00000000-0005-0000-0000-00008C020000}"/>
    <cellStyle name="Millares 18" xfId="651" xr:uid="{00000000-0005-0000-0000-00008D020000}"/>
    <cellStyle name="Millares 18 2" xfId="652" xr:uid="{00000000-0005-0000-0000-00008E020000}"/>
    <cellStyle name="Millares 18 2 2" xfId="653" xr:uid="{00000000-0005-0000-0000-00008F020000}"/>
    <cellStyle name="Millares 18 2 3" xfId="654" xr:uid="{00000000-0005-0000-0000-000090020000}"/>
    <cellStyle name="Millares 18 3" xfId="655" xr:uid="{00000000-0005-0000-0000-000091020000}"/>
    <cellStyle name="Millares 18 4" xfId="656" xr:uid="{00000000-0005-0000-0000-000092020000}"/>
    <cellStyle name="Millares 19" xfId="657" xr:uid="{00000000-0005-0000-0000-000093020000}"/>
    <cellStyle name="Millares 19 2" xfId="658" xr:uid="{00000000-0005-0000-0000-000094020000}"/>
    <cellStyle name="Millares 19 2 2" xfId="659" xr:uid="{00000000-0005-0000-0000-000095020000}"/>
    <cellStyle name="Millares 19 2 3" xfId="660" xr:uid="{00000000-0005-0000-0000-000096020000}"/>
    <cellStyle name="Millares 19 3" xfId="661" xr:uid="{00000000-0005-0000-0000-000097020000}"/>
    <cellStyle name="Millares 19 4" xfId="662" xr:uid="{00000000-0005-0000-0000-000098020000}"/>
    <cellStyle name="Millares 2" xfId="50" xr:uid="{00000000-0005-0000-0000-000099020000}"/>
    <cellStyle name="Millares 2 10" xfId="663" xr:uid="{00000000-0005-0000-0000-00009A020000}"/>
    <cellStyle name="Millares 2 10 2" xfId="664" xr:uid="{00000000-0005-0000-0000-00009B020000}"/>
    <cellStyle name="Millares 2 10 3" xfId="665" xr:uid="{00000000-0005-0000-0000-00009C020000}"/>
    <cellStyle name="Millares 2 11" xfId="666" xr:uid="{00000000-0005-0000-0000-00009D020000}"/>
    <cellStyle name="Millares 2 11 2" xfId="667" xr:uid="{00000000-0005-0000-0000-00009E020000}"/>
    <cellStyle name="Millares 2 11 3" xfId="668" xr:uid="{00000000-0005-0000-0000-00009F020000}"/>
    <cellStyle name="Millares 2 12" xfId="669" xr:uid="{00000000-0005-0000-0000-0000A0020000}"/>
    <cellStyle name="Millares 2 12 2" xfId="670" xr:uid="{00000000-0005-0000-0000-0000A1020000}"/>
    <cellStyle name="Millares 2 12 3" xfId="671" xr:uid="{00000000-0005-0000-0000-0000A2020000}"/>
    <cellStyle name="Millares 2 13" xfId="672" xr:uid="{00000000-0005-0000-0000-0000A3020000}"/>
    <cellStyle name="Millares 2 13 2" xfId="673" xr:uid="{00000000-0005-0000-0000-0000A4020000}"/>
    <cellStyle name="Millares 2 13 3" xfId="674" xr:uid="{00000000-0005-0000-0000-0000A5020000}"/>
    <cellStyle name="Millares 2 14" xfId="675" xr:uid="{00000000-0005-0000-0000-0000A6020000}"/>
    <cellStyle name="Millares 2 14 2" xfId="676" xr:uid="{00000000-0005-0000-0000-0000A7020000}"/>
    <cellStyle name="Millares 2 14 3" xfId="677" xr:uid="{00000000-0005-0000-0000-0000A8020000}"/>
    <cellStyle name="Millares 2 15" xfId="678" xr:uid="{00000000-0005-0000-0000-0000A9020000}"/>
    <cellStyle name="Millares 2 15 2" xfId="679" xr:uid="{00000000-0005-0000-0000-0000AA020000}"/>
    <cellStyle name="Millares 2 15 3" xfId="680" xr:uid="{00000000-0005-0000-0000-0000AB020000}"/>
    <cellStyle name="Millares 2 16" xfId="681" xr:uid="{00000000-0005-0000-0000-0000AC020000}"/>
    <cellStyle name="Millares 2 16 2" xfId="682" xr:uid="{00000000-0005-0000-0000-0000AD020000}"/>
    <cellStyle name="Millares 2 16 3" xfId="683" xr:uid="{00000000-0005-0000-0000-0000AE020000}"/>
    <cellStyle name="Millares 2 17" xfId="684" xr:uid="{00000000-0005-0000-0000-0000AF020000}"/>
    <cellStyle name="Millares 2 17 2" xfId="685" xr:uid="{00000000-0005-0000-0000-0000B0020000}"/>
    <cellStyle name="Millares 2 17 3" xfId="686" xr:uid="{00000000-0005-0000-0000-0000B1020000}"/>
    <cellStyle name="Millares 2 18" xfId="687" xr:uid="{00000000-0005-0000-0000-0000B2020000}"/>
    <cellStyle name="Millares 2 18 2" xfId="688" xr:uid="{00000000-0005-0000-0000-0000B3020000}"/>
    <cellStyle name="Millares 2 18 3" xfId="689" xr:uid="{00000000-0005-0000-0000-0000B4020000}"/>
    <cellStyle name="Millares 2 19" xfId="690" xr:uid="{00000000-0005-0000-0000-0000B5020000}"/>
    <cellStyle name="Millares 2 19 2" xfId="691" xr:uid="{00000000-0005-0000-0000-0000B6020000}"/>
    <cellStyle name="Millares 2 19 3" xfId="692" xr:uid="{00000000-0005-0000-0000-0000B7020000}"/>
    <cellStyle name="Millares 2 2" xfId="7" xr:uid="{00000000-0005-0000-0000-0000B8020000}"/>
    <cellStyle name="Millares 2 2 2" xfId="693" xr:uid="{00000000-0005-0000-0000-0000B9020000}"/>
    <cellStyle name="Millares 2 2 2 2" xfId="694" xr:uid="{00000000-0005-0000-0000-0000BA020000}"/>
    <cellStyle name="Millares 2 2 2 3" xfId="695" xr:uid="{00000000-0005-0000-0000-0000BB020000}"/>
    <cellStyle name="Millares 2 2 3" xfId="696" xr:uid="{00000000-0005-0000-0000-0000BC020000}"/>
    <cellStyle name="Millares 2 2 4" xfId="697" xr:uid="{00000000-0005-0000-0000-0000BD020000}"/>
    <cellStyle name="Millares 2 2 5" xfId="2797" xr:uid="{00000000-0005-0000-0000-0000BE020000}"/>
    <cellStyle name="Millares 2 20" xfId="698" xr:uid="{00000000-0005-0000-0000-0000BF020000}"/>
    <cellStyle name="Millares 2 20 2" xfId="699" xr:uid="{00000000-0005-0000-0000-0000C0020000}"/>
    <cellStyle name="Millares 2 20 3" xfId="700" xr:uid="{00000000-0005-0000-0000-0000C1020000}"/>
    <cellStyle name="Millares 2 21" xfId="701" xr:uid="{00000000-0005-0000-0000-0000C2020000}"/>
    <cellStyle name="Millares 2 21 2" xfId="702" xr:uid="{00000000-0005-0000-0000-0000C3020000}"/>
    <cellStyle name="Millares 2 21 3" xfId="703" xr:uid="{00000000-0005-0000-0000-0000C4020000}"/>
    <cellStyle name="Millares 2 22" xfId="704" xr:uid="{00000000-0005-0000-0000-0000C5020000}"/>
    <cellStyle name="Millares 2 22 2" xfId="705" xr:uid="{00000000-0005-0000-0000-0000C6020000}"/>
    <cellStyle name="Millares 2 22 3" xfId="706" xr:uid="{00000000-0005-0000-0000-0000C7020000}"/>
    <cellStyle name="Millares 2 23" xfId="707" xr:uid="{00000000-0005-0000-0000-0000C8020000}"/>
    <cellStyle name="Millares 2 23 2" xfId="708" xr:uid="{00000000-0005-0000-0000-0000C9020000}"/>
    <cellStyle name="Millares 2 23 3" xfId="709" xr:uid="{00000000-0005-0000-0000-0000CA020000}"/>
    <cellStyle name="Millares 2 24" xfId="710" xr:uid="{00000000-0005-0000-0000-0000CB020000}"/>
    <cellStyle name="Millares 2 24 2" xfId="711" xr:uid="{00000000-0005-0000-0000-0000CC020000}"/>
    <cellStyle name="Millares 2 24 3" xfId="712" xr:uid="{00000000-0005-0000-0000-0000CD020000}"/>
    <cellStyle name="Millares 2 25" xfId="713" xr:uid="{00000000-0005-0000-0000-0000CE020000}"/>
    <cellStyle name="Millares 2 25 2" xfId="714" xr:uid="{00000000-0005-0000-0000-0000CF020000}"/>
    <cellStyle name="Millares 2 25 3" xfId="715" xr:uid="{00000000-0005-0000-0000-0000D0020000}"/>
    <cellStyle name="Millares 2 26" xfId="716" xr:uid="{00000000-0005-0000-0000-0000D1020000}"/>
    <cellStyle name="Millares 2 26 2" xfId="717" xr:uid="{00000000-0005-0000-0000-0000D2020000}"/>
    <cellStyle name="Millares 2 26 3" xfId="718" xr:uid="{00000000-0005-0000-0000-0000D3020000}"/>
    <cellStyle name="Millares 2 27" xfId="719" xr:uid="{00000000-0005-0000-0000-0000D4020000}"/>
    <cellStyle name="Millares 2 27 2" xfId="720" xr:uid="{00000000-0005-0000-0000-0000D5020000}"/>
    <cellStyle name="Millares 2 27 3" xfId="721" xr:uid="{00000000-0005-0000-0000-0000D6020000}"/>
    <cellStyle name="Millares 2 28" xfId="722" xr:uid="{00000000-0005-0000-0000-0000D7020000}"/>
    <cellStyle name="Millares 2 28 2" xfId="723" xr:uid="{00000000-0005-0000-0000-0000D8020000}"/>
    <cellStyle name="Millares 2 28 3" xfId="724" xr:uid="{00000000-0005-0000-0000-0000D9020000}"/>
    <cellStyle name="Millares 2 29" xfId="725" xr:uid="{00000000-0005-0000-0000-0000DA020000}"/>
    <cellStyle name="Millares 2 29 2" xfId="726" xr:uid="{00000000-0005-0000-0000-0000DB020000}"/>
    <cellStyle name="Millares 2 29 3" xfId="727" xr:uid="{00000000-0005-0000-0000-0000DC020000}"/>
    <cellStyle name="Millares 2 3" xfId="728" xr:uid="{00000000-0005-0000-0000-0000DD020000}"/>
    <cellStyle name="Millares 2 3 2" xfId="729" xr:uid="{00000000-0005-0000-0000-0000DE020000}"/>
    <cellStyle name="Millares 2 3 3" xfId="730" xr:uid="{00000000-0005-0000-0000-0000DF020000}"/>
    <cellStyle name="Millares 2 3 4" xfId="2840" xr:uid="{00000000-0005-0000-0000-0000E0020000}"/>
    <cellStyle name="Millares 2 30" xfId="731" xr:uid="{00000000-0005-0000-0000-0000E1020000}"/>
    <cellStyle name="Millares 2 30 2" xfId="732" xr:uid="{00000000-0005-0000-0000-0000E2020000}"/>
    <cellStyle name="Millares 2 30 3" xfId="733" xr:uid="{00000000-0005-0000-0000-0000E3020000}"/>
    <cellStyle name="Millares 2 31" xfId="734" xr:uid="{00000000-0005-0000-0000-0000E4020000}"/>
    <cellStyle name="Millares 2 31 2" xfId="735" xr:uid="{00000000-0005-0000-0000-0000E5020000}"/>
    <cellStyle name="Millares 2 31 3" xfId="736" xr:uid="{00000000-0005-0000-0000-0000E6020000}"/>
    <cellStyle name="Millares 2 32" xfId="737" xr:uid="{00000000-0005-0000-0000-0000E7020000}"/>
    <cellStyle name="Millares 2 32 2" xfId="738" xr:uid="{00000000-0005-0000-0000-0000E8020000}"/>
    <cellStyle name="Millares 2 32 3" xfId="739" xr:uid="{00000000-0005-0000-0000-0000E9020000}"/>
    <cellStyle name="Millares 2 33" xfId="740" xr:uid="{00000000-0005-0000-0000-0000EA020000}"/>
    <cellStyle name="Millares 2 33 2" xfId="741" xr:uid="{00000000-0005-0000-0000-0000EB020000}"/>
    <cellStyle name="Millares 2 33 3" xfId="742" xr:uid="{00000000-0005-0000-0000-0000EC020000}"/>
    <cellStyle name="Millares 2 34" xfId="743" xr:uid="{00000000-0005-0000-0000-0000ED020000}"/>
    <cellStyle name="Millares 2 34 2" xfId="744" xr:uid="{00000000-0005-0000-0000-0000EE020000}"/>
    <cellStyle name="Millares 2 34 3" xfId="745" xr:uid="{00000000-0005-0000-0000-0000EF020000}"/>
    <cellStyle name="Millares 2 35" xfId="746" xr:uid="{00000000-0005-0000-0000-0000F0020000}"/>
    <cellStyle name="Millares 2 35 2" xfId="747" xr:uid="{00000000-0005-0000-0000-0000F1020000}"/>
    <cellStyle name="Millares 2 35 3" xfId="748" xr:uid="{00000000-0005-0000-0000-0000F2020000}"/>
    <cellStyle name="Millares 2 36" xfId="749" xr:uid="{00000000-0005-0000-0000-0000F3020000}"/>
    <cellStyle name="Millares 2 36 2" xfId="750" xr:uid="{00000000-0005-0000-0000-0000F4020000}"/>
    <cellStyle name="Millares 2 36 3" xfId="751" xr:uid="{00000000-0005-0000-0000-0000F5020000}"/>
    <cellStyle name="Millares 2 37" xfId="752" xr:uid="{00000000-0005-0000-0000-0000F6020000}"/>
    <cellStyle name="Millares 2 37 2" xfId="753" xr:uid="{00000000-0005-0000-0000-0000F7020000}"/>
    <cellStyle name="Millares 2 37 3" xfId="754" xr:uid="{00000000-0005-0000-0000-0000F8020000}"/>
    <cellStyle name="Millares 2 38" xfId="755" xr:uid="{00000000-0005-0000-0000-0000F9020000}"/>
    <cellStyle name="Millares 2 38 2" xfId="756" xr:uid="{00000000-0005-0000-0000-0000FA020000}"/>
    <cellStyle name="Millares 2 38 3" xfId="757" xr:uid="{00000000-0005-0000-0000-0000FB020000}"/>
    <cellStyle name="Millares 2 39" xfId="758" xr:uid="{00000000-0005-0000-0000-0000FC020000}"/>
    <cellStyle name="Millares 2 39 2" xfId="759" xr:uid="{00000000-0005-0000-0000-0000FD020000}"/>
    <cellStyle name="Millares 2 39 3" xfId="760" xr:uid="{00000000-0005-0000-0000-0000FE020000}"/>
    <cellStyle name="Millares 2 4" xfId="761" xr:uid="{00000000-0005-0000-0000-0000FF020000}"/>
    <cellStyle name="Millares 2 4 2" xfId="762" xr:uid="{00000000-0005-0000-0000-000000030000}"/>
    <cellStyle name="Millares 2 4 3" xfId="763" xr:uid="{00000000-0005-0000-0000-000001030000}"/>
    <cellStyle name="Millares 2 40" xfId="764" xr:uid="{00000000-0005-0000-0000-000002030000}"/>
    <cellStyle name="Millares 2 40 2" xfId="765" xr:uid="{00000000-0005-0000-0000-000003030000}"/>
    <cellStyle name="Millares 2 40 3" xfId="766" xr:uid="{00000000-0005-0000-0000-000004030000}"/>
    <cellStyle name="Millares 2 41" xfId="767" xr:uid="{00000000-0005-0000-0000-000005030000}"/>
    <cellStyle name="Millares 2 41 2" xfId="768" xr:uid="{00000000-0005-0000-0000-000006030000}"/>
    <cellStyle name="Millares 2 41 3" xfId="769" xr:uid="{00000000-0005-0000-0000-000007030000}"/>
    <cellStyle name="Millares 2 42" xfId="770" xr:uid="{00000000-0005-0000-0000-000008030000}"/>
    <cellStyle name="Millares 2 42 2" xfId="771" xr:uid="{00000000-0005-0000-0000-000009030000}"/>
    <cellStyle name="Millares 2 42 3" xfId="772" xr:uid="{00000000-0005-0000-0000-00000A030000}"/>
    <cellStyle name="Millares 2 43" xfId="773" xr:uid="{00000000-0005-0000-0000-00000B030000}"/>
    <cellStyle name="Millares 2 43 2" xfId="774" xr:uid="{00000000-0005-0000-0000-00000C030000}"/>
    <cellStyle name="Millares 2 43 3" xfId="775" xr:uid="{00000000-0005-0000-0000-00000D030000}"/>
    <cellStyle name="Millares 2 44" xfId="776" xr:uid="{00000000-0005-0000-0000-00000E030000}"/>
    <cellStyle name="Millares 2 45" xfId="777" xr:uid="{00000000-0005-0000-0000-00000F030000}"/>
    <cellStyle name="Millares 2 46" xfId="778" xr:uid="{00000000-0005-0000-0000-000010030000}"/>
    <cellStyle name="Millares 2 47" xfId="779" xr:uid="{00000000-0005-0000-0000-000011030000}"/>
    <cellStyle name="Millares 2 48" xfId="780" xr:uid="{00000000-0005-0000-0000-000012030000}"/>
    <cellStyle name="Millares 2 49" xfId="781" xr:uid="{00000000-0005-0000-0000-000013030000}"/>
    <cellStyle name="Millares 2 5" xfId="782" xr:uid="{00000000-0005-0000-0000-000014030000}"/>
    <cellStyle name="Millares 2 5 2" xfId="783" xr:uid="{00000000-0005-0000-0000-000015030000}"/>
    <cellStyle name="Millares 2 5 3" xfId="784" xr:uid="{00000000-0005-0000-0000-000016030000}"/>
    <cellStyle name="Millares 2 50" xfId="785" xr:uid="{00000000-0005-0000-0000-000017030000}"/>
    <cellStyle name="Millares 2 51" xfId="786" xr:uid="{00000000-0005-0000-0000-000018030000}"/>
    <cellStyle name="Millares 2 52" xfId="787" xr:uid="{00000000-0005-0000-0000-000019030000}"/>
    <cellStyle name="Millares 2 53" xfId="788" xr:uid="{00000000-0005-0000-0000-00001A030000}"/>
    <cellStyle name="Millares 2 54" xfId="789" xr:uid="{00000000-0005-0000-0000-00001B030000}"/>
    <cellStyle name="Millares 2 55" xfId="790" xr:uid="{00000000-0005-0000-0000-00001C030000}"/>
    <cellStyle name="Millares 2 56" xfId="791" xr:uid="{00000000-0005-0000-0000-00001D030000}"/>
    <cellStyle name="Millares 2 57" xfId="792" xr:uid="{00000000-0005-0000-0000-00001E030000}"/>
    <cellStyle name="Millares 2 58" xfId="793" xr:uid="{00000000-0005-0000-0000-00001F030000}"/>
    <cellStyle name="Millares 2 59" xfId="794" xr:uid="{00000000-0005-0000-0000-000020030000}"/>
    <cellStyle name="Millares 2 6" xfId="795" xr:uid="{00000000-0005-0000-0000-000021030000}"/>
    <cellStyle name="Millares 2 6 2" xfId="796" xr:uid="{00000000-0005-0000-0000-000022030000}"/>
    <cellStyle name="Millares 2 6 3" xfId="797" xr:uid="{00000000-0005-0000-0000-000023030000}"/>
    <cellStyle name="Millares 2 60" xfId="798" xr:uid="{00000000-0005-0000-0000-000024030000}"/>
    <cellStyle name="Millares 2 61" xfId="799" xr:uid="{00000000-0005-0000-0000-000025030000}"/>
    <cellStyle name="Millares 2 62" xfId="800" xr:uid="{00000000-0005-0000-0000-000026030000}"/>
    <cellStyle name="Millares 2 63" xfId="801" xr:uid="{00000000-0005-0000-0000-000027030000}"/>
    <cellStyle name="Millares 2 64" xfId="802" xr:uid="{00000000-0005-0000-0000-000028030000}"/>
    <cellStyle name="Millares 2 65" xfId="803" xr:uid="{00000000-0005-0000-0000-000029030000}"/>
    <cellStyle name="Millares 2 66" xfId="804" xr:uid="{00000000-0005-0000-0000-00002A030000}"/>
    <cellStyle name="Millares 2 67" xfId="805" xr:uid="{00000000-0005-0000-0000-00002B030000}"/>
    <cellStyle name="Millares 2 68" xfId="806" xr:uid="{00000000-0005-0000-0000-00002C030000}"/>
    <cellStyle name="Millares 2 69" xfId="807" xr:uid="{00000000-0005-0000-0000-00002D030000}"/>
    <cellStyle name="Millares 2 7" xfId="808" xr:uid="{00000000-0005-0000-0000-00002E030000}"/>
    <cellStyle name="Millares 2 7 2" xfId="809" xr:uid="{00000000-0005-0000-0000-00002F030000}"/>
    <cellStyle name="Millares 2 7 3" xfId="810" xr:uid="{00000000-0005-0000-0000-000030030000}"/>
    <cellStyle name="Millares 2 70" xfId="811" xr:uid="{00000000-0005-0000-0000-000031030000}"/>
    <cellStyle name="Millares 2 71" xfId="812" xr:uid="{00000000-0005-0000-0000-000032030000}"/>
    <cellStyle name="Millares 2 72" xfId="813" xr:uid="{00000000-0005-0000-0000-000033030000}"/>
    <cellStyle name="Millares 2 73" xfId="814" xr:uid="{00000000-0005-0000-0000-000034030000}"/>
    <cellStyle name="Millares 2 74" xfId="815" xr:uid="{00000000-0005-0000-0000-000035030000}"/>
    <cellStyle name="Millares 2 75" xfId="816" xr:uid="{00000000-0005-0000-0000-000036030000}"/>
    <cellStyle name="Millares 2 75 2" xfId="817" xr:uid="{00000000-0005-0000-0000-000037030000}"/>
    <cellStyle name="Millares 2 76" xfId="818" xr:uid="{00000000-0005-0000-0000-000038030000}"/>
    <cellStyle name="Millares 2 77" xfId="2787" xr:uid="{00000000-0005-0000-0000-000039030000}"/>
    <cellStyle name="Millares 2 8" xfId="819" xr:uid="{00000000-0005-0000-0000-00003A030000}"/>
    <cellStyle name="Millares 2 8 2" xfId="820" xr:uid="{00000000-0005-0000-0000-00003B030000}"/>
    <cellStyle name="Millares 2 8 3" xfId="821" xr:uid="{00000000-0005-0000-0000-00003C030000}"/>
    <cellStyle name="Millares 2 9" xfId="822" xr:uid="{00000000-0005-0000-0000-00003D030000}"/>
    <cellStyle name="Millares 2 9 2" xfId="823" xr:uid="{00000000-0005-0000-0000-00003E030000}"/>
    <cellStyle name="Millares 2 9 3" xfId="824" xr:uid="{00000000-0005-0000-0000-00003F030000}"/>
    <cellStyle name="Millares 20" xfId="825" xr:uid="{00000000-0005-0000-0000-000040030000}"/>
    <cellStyle name="Millares 20 2" xfId="826" xr:uid="{00000000-0005-0000-0000-000041030000}"/>
    <cellStyle name="Millares 20 2 2" xfId="827" xr:uid="{00000000-0005-0000-0000-000042030000}"/>
    <cellStyle name="Millares 20 2 3" xfId="828" xr:uid="{00000000-0005-0000-0000-000043030000}"/>
    <cellStyle name="Millares 20 3" xfId="829" xr:uid="{00000000-0005-0000-0000-000044030000}"/>
    <cellStyle name="Millares 20 4" xfId="830" xr:uid="{00000000-0005-0000-0000-000045030000}"/>
    <cellStyle name="Millares 21" xfId="831" xr:uid="{00000000-0005-0000-0000-000046030000}"/>
    <cellStyle name="Millares 21 2" xfId="832" xr:uid="{00000000-0005-0000-0000-000047030000}"/>
    <cellStyle name="Millares 21 2 2" xfId="833" xr:uid="{00000000-0005-0000-0000-000048030000}"/>
    <cellStyle name="Millares 21 2 3" xfId="834" xr:uid="{00000000-0005-0000-0000-000049030000}"/>
    <cellStyle name="Millares 21 3" xfId="835" xr:uid="{00000000-0005-0000-0000-00004A030000}"/>
    <cellStyle name="Millares 21 4" xfId="836" xr:uid="{00000000-0005-0000-0000-00004B030000}"/>
    <cellStyle name="Millares 22" xfId="837" xr:uid="{00000000-0005-0000-0000-00004C030000}"/>
    <cellStyle name="Millares 22 2" xfId="838" xr:uid="{00000000-0005-0000-0000-00004D030000}"/>
    <cellStyle name="Millares 22 2 2" xfId="839" xr:uid="{00000000-0005-0000-0000-00004E030000}"/>
    <cellStyle name="Millares 22 2 3" xfId="840" xr:uid="{00000000-0005-0000-0000-00004F030000}"/>
    <cellStyle name="Millares 22 3" xfId="841" xr:uid="{00000000-0005-0000-0000-000050030000}"/>
    <cellStyle name="Millares 22 4" xfId="842" xr:uid="{00000000-0005-0000-0000-000051030000}"/>
    <cellStyle name="Millares 23" xfId="843" xr:uid="{00000000-0005-0000-0000-000052030000}"/>
    <cellStyle name="Millares 23 2" xfId="844" xr:uid="{00000000-0005-0000-0000-000053030000}"/>
    <cellStyle name="Millares 23 3" xfId="845" xr:uid="{00000000-0005-0000-0000-000054030000}"/>
    <cellStyle name="Millares 24" xfId="846" xr:uid="{00000000-0005-0000-0000-000055030000}"/>
    <cellStyle name="Millares 24 2" xfId="847" xr:uid="{00000000-0005-0000-0000-000056030000}"/>
    <cellStyle name="Millares 24 3" xfId="848" xr:uid="{00000000-0005-0000-0000-000057030000}"/>
    <cellStyle name="Millares 25" xfId="849" xr:uid="{00000000-0005-0000-0000-000058030000}"/>
    <cellStyle name="Millares 25 2" xfId="850" xr:uid="{00000000-0005-0000-0000-000059030000}"/>
    <cellStyle name="Millares 25 3" xfId="851" xr:uid="{00000000-0005-0000-0000-00005A030000}"/>
    <cellStyle name="Millares 26" xfId="852" xr:uid="{00000000-0005-0000-0000-00005B030000}"/>
    <cellStyle name="Millares 26 2" xfId="853" xr:uid="{00000000-0005-0000-0000-00005C030000}"/>
    <cellStyle name="Millares 26 3" xfId="854" xr:uid="{00000000-0005-0000-0000-00005D030000}"/>
    <cellStyle name="Millares 27" xfId="855" xr:uid="{00000000-0005-0000-0000-00005E030000}"/>
    <cellStyle name="Millares 27 2" xfId="856" xr:uid="{00000000-0005-0000-0000-00005F030000}"/>
    <cellStyle name="Millares 27 3" xfId="857" xr:uid="{00000000-0005-0000-0000-000060030000}"/>
    <cellStyle name="Millares 28" xfId="858" xr:uid="{00000000-0005-0000-0000-000061030000}"/>
    <cellStyle name="Millares 28 2" xfId="859" xr:uid="{00000000-0005-0000-0000-000062030000}"/>
    <cellStyle name="Millares 28 3" xfId="860" xr:uid="{00000000-0005-0000-0000-000063030000}"/>
    <cellStyle name="Millares 29" xfId="861" xr:uid="{00000000-0005-0000-0000-000064030000}"/>
    <cellStyle name="Millares 29 2" xfId="862" xr:uid="{00000000-0005-0000-0000-000065030000}"/>
    <cellStyle name="Millares 29 3" xfId="863" xr:uid="{00000000-0005-0000-0000-000066030000}"/>
    <cellStyle name="Millares 3" xfId="51" xr:uid="{00000000-0005-0000-0000-000067030000}"/>
    <cellStyle name="Millares 3 10" xfId="864" xr:uid="{00000000-0005-0000-0000-000068030000}"/>
    <cellStyle name="Millares 3 10 2" xfId="865" xr:uid="{00000000-0005-0000-0000-000069030000}"/>
    <cellStyle name="Millares 3 10 3" xfId="866" xr:uid="{00000000-0005-0000-0000-00006A030000}"/>
    <cellStyle name="Millares 3 11" xfId="867" xr:uid="{00000000-0005-0000-0000-00006B030000}"/>
    <cellStyle name="Millares 3 11 2" xfId="868" xr:uid="{00000000-0005-0000-0000-00006C030000}"/>
    <cellStyle name="Millares 3 11 3" xfId="869" xr:uid="{00000000-0005-0000-0000-00006D030000}"/>
    <cellStyle name="Millares 3 12" xfId="870" xr:uid="{00000000-0005-0000-0000-00006E030000}"/>
    <cellStyle name="Millares 3 12 2" xfId="871" xr:uid="{00000000-0005-0000-0000-00006F030000}"/>
    <cellStyle name="Millares 3 12 3" xfId="872" xr:uid="{00000000-0005-0000-0000-000070030000}"/>
    <cellStyle name="Millares 3 13" xfId="873" xr:uid="{00000000-0005-0000-0000-000071030000}"/>
    <cellStyle name="Millares 3 13 2" xfId="874" xr:uid="{00000000-0005-0000-0000-000072030000}"/>
    <cellStyle name="Millares 3 13 3" xfId="875" xr:uid="{00000000-0005-0000-0000-000073030000}"/>
    <cellStyle name="Millares 3 14" xfId="876" xr:uid="{00000000-0005-0000-0000-000074030000}"/>
    <cellStyle name="Millares 3 14 2" xfId="877" xr:uid="{00000000-0005-0000-0000-000075030000}"/>
    <cellStyle name="Millares 3 14 3" xfId="878" xr:uid="{00000000-0005-0000-0000-000076030000}"/>
    <cellStyle name="Millares 3 15" xfId="879" xr:uid="{00000000-0005-0000-0000-000077030000}"/>
    <cellStyle name="Millares 3 15 2" xfId="880" xr:uid="{00000000-0005-0000-0000-000078030000}"/>
    <cellStyle name="Millares 3 15 3" xfId="881" xr:uid="{00000000-0005-0000-0000-000079030000}"/>
    <cellStyle name="Millares 3 16" xfId="882" xr:uid="{00000000-0005-0000-0000-00007A030000}"/>
    <cellStyle name="Millares 3 16 2" xfId="883" xr:uid="{00000000-0005-0000-0000-00007B030000}"/>
    <cellStyle name="Millares 3 16 3" xfId="884" xr:uid="{00000000-0005-0000-0000-00007C030000}"/>
    <cellStyle name="Millares 3 17" xfId="885" xr:uid="{00000000-0005-0000-0000-00007D030000}"/>
    <cellStyle name="Millares 3 17 2" xfId="886" xr:uid="{00000000-0005-0000-0000-00007E030000}"/>
    <cellStyle name="Millares 3 17 3" xfId="887" xr:uid="{00000000-0005-0000-0000-00007F030000}"/>
    <cellStyle name="Millares 3 18" xfId="888" xr:uid="{00000000-0005-0000-0000-000080030000}"/>
    <cellStyle name="Millares 3 18 2" xfId="889" xr:uid="{00000000-0005-0000-0000-000081030000}"/>
    <cellStyle name="Millares 3 18 3" xfId="890" xr:uid="{00000000-0005-0000-0000-000082030000}"/>
    <cellStyle name="Millares 3 19" xfId="891" xr:uid="{00000000-0005-0000-0000-000083030000}"/>
    <cellStyle name="Millares 3 19 2" xfId="892" xr:uid="{00000000-0005-0000-0000-000084030000}"/>
    <cellStyle name="Millares 3 19 3" xfId="893" xr:uid="{00000000-0005-0000-0000-000085030000}"/>
    <cellStyle name="Millares 3 2" xfId="52" xr:uid="{00000000-0005-0000-0000-000086030000}"/>
    <cellStyle name="Millares 3 2 2" xfId="894" xr:uid="{00000000-0005-0000-0000-000087030000}"/>
    <cellStyle name="Millares 3 2 3" xfId="895" xr:uid="{00000000-0005-0000-0000-000088030000}"/>
    <cellStyle name="Millares 3 2 4" xfId="2842" xr:uid="{00000000-0005-0000-0000-000089030000}"/>
    <cellStyle name="Millares 3 20" xfId="896" xr:uid="{00000000-0005-0000-0000-00008A030000}"/>
    <cellStyle name="Millares 3 20 2" xfId="897" xr:uid="{00000000-0005-0000-0000-00008B030000}"/>
    <cellStyle name="Millares 3 20 3" xfId="898" xr:uid="{00000000-0005-0000-0000-00008C030000}"/>
    <cellStyle name="Millares 3 21" xfId="899" xr:uid="{00000000-0005-0000-0000-00008D030000}"/>
    <cellStyle name="Millares 3 21 2" xfId="900" xr:uid="{00000000-0005-0000-0000-00008E030000}"/>
    <cellStyle name="Millares 3 21 3" xfId="901" xr:uid="{00000000-0005-0000-0000-00008F030000}"/>
    <cellStyle name="Millares 3 22" xfId="902" xr:uid="{00000000-0005-0000-0000-000090030000}"/>
    <cellStyle name="Millares 3 22 2" xfId="903" xr:uid="{00000000-0005-0000-0000-000091030000}"/>
    <cellStyle name="Millares 3 22 3" xfId="904" xr:uid="{00000000-0005-0000-0000-000092030000}"/>
    <cellStyle name="Millares 3 23" xfId="905" xr:uid="{00000000-0005-0000-0000-000093030000}"/>
    <cellStyle name="Millares 3 23 2" xfId="906" xr:uid="{00000000-0005-0000-0000-000094030000}"/>
    <cellStyle name="Millares 3 23 3" xfId="907" xr:uid="{00000000-0005-0000-0000-000095030000}"/>
    <cellStyle name="Millares 3 24" xfId="908" xr:uid="{00000000-0005-0000-0000-000096030000}"/>
    <cellStyle name="Millares 3 24 2" xfId="909" xr:uid="{00000000-0005-0000-0000-000097030000}"/>
    <cellStyle name="Millares 3 24 3" xfId="910" xr:uid="{00000000-0005-0000-0000-000098030000}"/>
    <cellStyle name="Millares 3 25" xfId="911" xr:uid="{00000000-0005-0000-0000-000099030000}"/>
    <cellStyle name="Millares 3 25 2" xfId="912" xr:uid="{00000000-0005-0000-0000-00009A030000}"/>
    <cellStyle name="Millares 3 25 3" xfId="913" xr:uid="{00000000-0005-0000-0000-00009B030000}"/>
    <cellStyle name="Millares 3 26" xfId="914" xr:uid="{00000000-0005-0000-0000-00009C030000}"/>
    <cellStyle name="Millares 3 26 2" xfId="915" xr:uid="{00000000-0005-0000-0000-00009D030000}"/>
    <cellStyle name="Millares 3 26 3" xfId="916" xr:uid="{00000000-0005-0000-0000-00009E030000}"/>
    <cellStyle name="Millares 3 27" xfId="917" xr:uid="{00000000-0005-0000-0000-00009F030000}"/>
    <cellStyle name="Millares 3 27 2" xfId="918" xr:uid="{00000000-0005-0000-0000-0000A0030000}"/>
    <cellStyle name="Millares 3 27 3" xfId="919" xr:uid="{00000000-0005-0000-0000-0000A1030000}"/>
    <cellStyle name="Millares 3 28" xfId="920" xr:uid="{00000000-0005-0000-0000-0000A2030000}"/>
    <cellStyle name="Millares 3 28 2" xfId="921" xr:uid="{00000000-0005-0000-0000-0000A3030000}"/>
    <cellStyle name="Millares 3 28 3" xfId="922" xr:uid="{00000000-0005-0000-0000-0000A4030000}"/>
    <cellStyle name="Millares 3 29" xfId="923" xr:uid="{00000000-0005-0000-0000-0000A5030000}"/>
    <cellStyle name="Millares 3 29 2" xfId="924" xr:uid="{00000000-0005-0000-0000-0000A6030000}"/>
    <cellStyle name="Millares 3 29 3" xfId="925" xr:uid="{00000000-0005-0000-0000-0000A7030000}"/>
    <cellStyle name="Millares 3 3" xfId="926" xr:uid="{00000000-0005-0000-0000-0000A8030000}"/>
    <cellStyle name="Millares 3 3 2" xfId="927" xr:uid="{00000000-0005-0000-0000-0000A9030000}"/>
    <cellStyle name="Millares 3 3 3" xfId="928" xr:uid="{00000000-0005-0000-0000-0000AA030000}"/>
    <cellStyle name="Millares 3 3 4" xfId="2841" xr:uid="{00000000-0005-0000-0000-0000AB030000}"/>
    <cellStyle name="Millares 3 30" xfId="929" xr:uid="{00000000-0005-0000-0000-0000AC030000}"/>
    <cellStyle name="Millares 3 30 2" xfId="930" xr:uid="{00000000-0005-0000-0000-0000AD030000}"/>
    <cellStyle name="Millares 3 30 3" xfId="931" xr:uid="{00000000-0005-0000-0000-0000AE030000}"/>
    <cellStyle name="Millares 3 31" xfId="932" xr:uid="{00000000-0005-0000-0000-0000AF030000}"/>
    <cellStyle name="Millares 3 31 2" xfId="933" xr:uid="{00000000-0005-0000-0000-0000B0030000}"/>
    <cellStyle name="Millares 3 31 3" xfId="934" xr:uid="{00000000-0005-0000-0000-0000B1030000}"/>
    <cellStyle name="Millares 3 32" xfId="935" xr:uid="{00000000-0005-0000-0000-0000B2030000}"/>
    <cellStyle name="Millares 3 32 2" xfId="936" xr:uid="{00000000-0005-0000-0000-0000B3030000}"/>
    <cellStyle name="Millares 3 32 3" xfId="937" xr:uid="{00000000-0005-0000-0000-0000B4030000}"/>
    <cellStyle name="Millares 3 33" xfId="938" xr:uid="{00000000-0005-0000-0000-0000B5030000}"/>
    <cellStyle name="Millares 3 33 2" xfId="939" xr:uid="{00000000-0005-0000-0000-0000B6030000}"/>
    <cellStyle name="Millares 3 33 2 2" xfId="940" xr:uid="{00000000-0005-0000-0000-0000B7030000}"/>
    <cellStyle name="Millares 3 33 2 3" xfId="941" xr:uid="{00000000-0005-0000-0000-0000B8030000}"/>
    <cellStyle name="Millares 3 33 3" xfId="942" xr:uid="{00000000-0005-0000-0000-0000B9030000}"/>
    <cellStyle name="Millares 3 34" xfId="943" xr:uid="{00000000-0005-0000-0000-0000BA030000}"/>
    <cellStyle name="Millares 3 35" xfId="944" xr:uid="{00000000-0005-0000-0000-0000BB030000}"/>
    <cellStyle name="Millares 3 36" xfId="945" xr:uid="{00000000-0005-0000-0000-0000BC030000}"/>
    <cellStyle name="Millares 3 37" xfId="946" xr:uid="{00000000-0005-0000-0000-0000BD030000}"/>
    <cellStyle name="Millares 3 38" xfId="947" xr:uid="{00000000-0005-0000-0000-0000BE030000}"/>
    <cellStyle name="Millares 3 39" xfId="948" xr:uid="{00000000-0005-0000-0000-0000BF030000}"/>
    <cellStyle name="Millares 3 4" xfId="949" xr:uid="{00000000-0005-0000-0000-0000C0030000}"/>
    <cellStyle name="Millares 3 4 2" xfId="950" xr:uid="{00000000-0005-0000-0000-0000C1030000}"/>
    <cellStyle name="Millares 3 4 3" xfId="951" xr:uid="{00000000-0005-0000-0000-0000C2030000}"/>
    <cellStyle name="Millares 3 40" xfId="952" xr:uid="{00000000-0005-0000-0000-0000C3030000}"/>
    <cellStyle name="Millares 3 41" xfId="953" xr:uid="{00000000-0005-0000-0000-0000C4030000}"/>
    <cellStyle name="Millares 3 42" xfId="954" xr:uid="{00000000-0005-0000-0000-0000C5030000}"/>
    <cellStyle name="Millares 3 43" xfId="955" xr:uid="{00000000-0005-0000-0000-0000C6030000}"/>
    <cellStyle name="Millares 3 44" xfId="956" xr:uid="{00000000-0005-0000-0000-0000C7030000}"/>
    <cellStyle name="Millares 3 45" xfId="957" xr:uid="{00000000-0005-0000-0000-0000C8030000}"/>
    <cellStyle name="Millares 3 46" xfId="958" xr:uid="{00000000-0005-0000-0000-0000C9030000}"/>
    <cellStyle name="Millares 3 47" xfId="959" xr:uid="{00000000-0005-0000-0000-0000CA030000}"/>
    <cellStyle name="Millares 3 48" xfId="960" xr:uid="{00000000-0005-0000-0000-0000CB030000}"/>
    <cellStyle name="Millares 3 49" xfId="961" xr:uid="{00000000-0005-0000-0000-0000CC030000}"/>
    <cellStyle name="Millares 3 5" xfId="962" xr:uid="{00000000-0005-0000-0000-0000CD030000}"/>
    <cellStyle name="Millares 3 5 2" xfId="963" xr:uid="{00000000-0005-0000-0000-0000CE030000}"/>
    <cellStyle name="Millares 3 5 3" xfId="964" xr:uid="{00000000-0005-0000-0000-0000CF030000}"/>
    <cellStyle name="Millares 3 50" xfId="965" xr:uid="{00000000-0005-0000-0000-0000D0030000}"/>
    <cellStyle name="Millares 3 51" xfId="966" xr:uid="{00000000-0005-0000-0000-0000D1030000}"/>
    <cellStyle name="Millares 3 52" xfId="967" xr:uid="{00000000-0005-0000-0000-0000D2030000}"/>
    <cellStyle name="Millares 3 53" xfId="968" xr:uid="{00000000-0005-0000-0000-0000D3030000}"/>
    <cellStyle name="Millares 3 54" xfId="969" xr:uid="{00000000-0005-0000-0000-0000D4030000}"/>
    <cellStyle name="Millares 3 55" xfId="970" xr:uid="{00000000-0005-0000-0000-0000D5030000}"/>
    <cellStyle name="Millares 3 56" xfId="971" xr:uid="{00000000-0005-0000-0000-0000D6030000}"/>
    <cellStyle name="Millares 3 57" xfId="972" xr:uid="{00000000-0005-0000-0000-0000D7030000}"/>
    <cellStyle name="Millares 3 58" xfId="973" xr:uid="{00000000-0005-0000-0000-0000D8030000}"/>
    <cellStyle name="Millares 3 59" xfId="974" xr:uid="{00000000-0005-0000-0000-0000D9030000}"/>
    <cellStyle name="Millares 3 6" xfId="975" xr:uid="{00000000-0005-0000-0000-0000DA030000}"/>
    <cellStyle name="Millares 3 6 2" xfId="976" xr:uid="{00000000-0005-0000-0000-0000DB030000}"/>
    <cellStyle name="Millares 3 6 3" xfId="977" xr:uid="{00000000-0005-0000-0000-0000DC030000}"/>
    <cellStyle name="Millares 3 60" xfId="978" xr:uid="{00000000-0005-0000-0000-0000DD030000}"/>
    <cellStyle name="Millares 3 61" xfId="979" xr:uid="{00000000-0005-0000-0000-0000DE030000}"/>
    <cellStyle name="Millares 3 62" xfId="980" xr:uid="{00000000-0005-0000-0000-0000DF030000}"/>
    <cellStyle name="Millares 3 63" xfId="981" xr:uid="{00000000-0005-0000-0000-0000E0030000}"/>
    <cellStyle name="Millares 3 64" xfId="982" xr:uid="{00000000-0005-0000-0000-0000E1030000}"/>
    <cellStyle name="Millares 3 65" xfId="983" xr:uid="{00000000-0005-0000-0000-0000E2030000}"/>
    <cellStyle name="Millares 3 65 2" xfId="984" xr:uid="{00000000-0005-0000-0000-0000E3030000}"/>
    <cellStyle name="Millares 3 7" xfId="985" xr:uid="{00000000-0005-0000-0000-0000E4030000}"/>
    <cellStyle name="Millares 3 7 2" xfId="986" xr:uid="{00000000-0005-0000-0000-0000E5030000}"/>
    <cellStyle name="Millares 3 7 3" xfId="987" xr:uid="{00000000-0005-0000-0000-0000E6030000}"/>
    <cellStyle name="Millares 3 8" xfId="988" xr:uid="{00000000-0005-0000-0000-0000E7030000}"/>
    <cellStyle name="Millares 3 8 2" xfId="989" xr:uid="{00000000-0005-0000-0000-0000E8030000}"/>
    <cellStyle name="Millares 3 8 3" xfId="990" xr:uid="{00000000-0005-0000-0000-0000E9030000}"/>
    <cellStyle name="Millares 3 9" xfId="991" xr:uid="{00000000-0005-0000-0000-0000EA030000}"/>
    <cellStyle name="Millares 3 9 2" xfId="992" xr:uid="{00000000-0005-0000-0000-0000EB030000}"/>
    <cellStyle name="Millares 3 9 3" xfId="993" xr:uid="{00000000-0005-0000-0000-0000EC030000}"/>
    <cellStyle name="Millares 30" xfId="994" xr:uid="{00000000-0005-0000-0000-0000ED030000}"/>
    <cellStyle name="Millares 30 2" xfId="995" xr:uid="{00000000-0005-0000-0000-0000EE030000}"/>
    <cellStyle name="Millares 30 3" xfId="996" xr:uid="{00000000-0005-0000-0000-0000EF030000}"/>
    <cellStyle name="Millares 31" xfId="997" xr:uid="{00000000-0005-0000-0000-0000F0030000}"/>
    <cellStyle name="Millares 31 2" xfId="998" xr:uid="{00000000-0005-0000-0000-0000F1030000}"/>
    <cellStyle name="Millares 31 3" xfId="999" xr:uid="{00000000-0005-0000-0000-0000F2030000}"/>
    <cellStyle name="Millares 32" xfId="1000" xr:uid="{00000000-0005-0000-0000-0000F3030000}"/>
    <cellStyle name="Millares 32 2" xfId="1001" xr:uid="{00000000-0005-0000-0000-0000F4030000}"/>
    <cellStyle name="Millares 32 3" xfId="1002" xr:uid="{00000000-0005-0000-0000-0000F5030000}"/>
    <cellStyle name="Millares 33" xfId="1003" xr:uid="{00000000-0005-0000-0000-0000F6030000}"/>
    <cellStyle name="Millares 33 2" xfId="1004" xr:uid="{00000000-0005-0000-0000-0000F7030000}"/>
    <cellStyle name="Millares 33 3" xfId="1005" xr:uid="{00000000-0005-0000-0000-0000F8030000}"/>
    <cellStyle name="Millares 34" xfId="1006" xr:uid="{00000000-0005-0000-0000-0000F9030000}"/>
    <cellStyle name="Millares 34 2" xfId="1007" xr:uid="{00000000-0005-0000-0000-0000FA030000}"/>
    <cellStyle name="Millares 34 3" xfId="1008" xr:uid="{00000000-0005-0000-0000-0000FB030000}"/>
    <cellStyle name="Millares 35" xfId="1009" xr:uid="{00000000-0005-0000-0000-0000FC030000}"/>
    <cellStyle name="Millares 35 2" xfId="1010" xr:uid="{00000000-0005-0000-0000-0000FD030000}"/>
    <cellStyle name="Millares 36" xfId="1011" xr:uid="{00000000-0005-0000-0000-0000FE030000}"/>
    <cellStyle name="Millares 36 2" xfId="1012" xr:uid="{00000000-0005-0000-0000-0000FF030000}"/>
    <cellStyle name="Millares 37" xfId="1013" xr:uid="{00000000-0005-0000-0000-000000040000}"/>
    <cellStyle name="Millares 37 2" xfId="1014" xr:uid="{00000000-0005-0000-0000-000001040000}"/>
    <cellStyle name="Millares 37 3" xfId="1015" xr:uid="{00000000-0005-0000-0000-000002040000}"/>
    <cellStyle name="Millares 38" xfId="1016" xr:uid="{00000000-0005-0000-0000-000003040000}"/>
    <cellStyle name="Millares 38 2" xfId="1017" xr:uid="{00000000-0005-0000-0000-000004040000}"/>
    <cellStyle name="Millares 38 2 2" xfId="2857" xr:uid="{00000000-0005-0000-0000-000005040000}"/>
    <cellStyle name="Millares 39" xfId="1018" xr:uid="{00000000-0005-0000-0000-000006040000}"/>
    <cellStyle name="Millares 4" xfId="80" xr:uid="{00000000-0005-0000-0000-000007040000}"/>
    <cellStyle name="Millares 4 2" xfId="1019" xr:uid="{00000000-0005-0000-0000-000008040000}"/>
    <cellStyle name="Millares 4 2 2" xfId="1020" xr:uid="{00000000-0005-0000-0000-000009040000}"/>
    <cellStyle name="Millares 4 3" xfId="1021" xr:uid="{00000000-0005-0000-0000-00000A040000}"/>
    <cellStyle name="Millares 4 3 2" xfId="1022" xr:uid="{00000000-0005-0000-0000-00000B040000}"/>
    <cellStyle name="Millares 4 3 2 2" xfId="1023" xr:uid="{00000000-0005-0000-0000-00000C040000}"/>
    <cellStyle name="Millares 4 3 2 3" xfId="1024" xr:uid="{00000000-0005-0000-0000-00000D040000}"/>
    <cellStyle name="Millares 4 3 3" xfId="1025" xr:uid="{00000000-0005-0000-0000-00000E040000}"/>
    <cellStyle name="Millares 4 3 4" xfId="1026" xr:uid="{00000000-0005-0000-0000-00000F040000}"/>
    <cellStyle name="Millares 4 4" xfId="1027" xr:uid="{00000000-0005-0000-0000-000010040000}"/>
    <cellStyle name="Millares 4 5" xfId="1028" xr:uid="{00000000-0005-0000-0000-000011040000}"/>
    <cellStyle name="Millares 40" xfId="1029" xr:uid="{00000000-0005-0000-0000-000012040000}"/>
    <cellStyle name="Millares 41" xfId="53" xr:uid="{00000000-0005-0000-0000-000013040000}"/>
    <cellStyle name="Millares 41 10" xfId="1030" xr:uid="{00000000-0005-0000-0000-000014040000}"/>
    <cellStyle name="Millares 41 11" xfId="1031" xr:uid="{00000000-0005-0000-0000-000015040000}"/>
    <cellStyle name="Millares 41 12" xfId="1032" xr:uid="{00000000-0005-0000-0000-000016040000}"/>
    <cellStyle name="Millares 41 13" xfId="1033" xr:uid="{00000000-0005-0000-0000-000017040000}"/>
    <cellStyle name="Millares 41 14" xfId="1034" xr:uid="{00000000-0005-0000-0000-000018040000}"/>
    <cellStyle name="Millares 41 15" xfId="1035" xr:uid="{00000000-0005-0000-0000-000019040000}"/>
    <cellStyle name="Millares 41 16" xfId="1036" xr:uid="{00000000-0005-0000-0000-00001A040000}"/>
    <cellStyle name="Millares 41 17" xfId="1037" xr:uid="{00000000-0005-0000-0000-00001B040000}"/>
    <cellStyle name="Millares 41 18" xfId="1038" xr:uid="{00000000-0005-0000-0000-00001C040000}"/>
    <cellStyle name="Millares 41 19" xfId="1039" xr:uid="{00000000-0005-0000-0000-00001D040000}"/>
    <cellStyle name="Millares 41 2" xfId="1040" xr:uid="{00000000-0005-0000-0000-00001E040000}"/>
    <cellStyle name="Millares 41 2 2" xfId="1041" xr:uid="{00000000-0005-0000-0000-00001F040000}"/>
    <cellStyle name="Millares 41 20" xfId="1042" xr:uid="{00000000-0005-0000-0000-000020040000}"/>
    <cellStyle name="Millares 41 21" xfId="1043" xr:uid="{00000000-0005-0000-0000-000021040000}"/>
    <cellStyle name="Millares 41 22" xfId="1044" xr:uid="{00000000-0005-0000-0000-000022040000}"/>
    <cellStyle name="Millares 41 23" xfId="1045" xr:uid="{00000000-0005-0000-0000-000023040000}"/>
    <cellStyle name="Millares 41 24" xfId="1046" xr:uid="{00000000-0005-0000-0000-000024040000}"/>
    <cellStyle name="Millares 41 25" xfId="1047" xr:uid="{00000000-0005-0000-0000-000025040000}"/>
    <cellStyle name="Millares 41 26" xfId="1048" xr:uid="{00000000-0005-0000-0000-000026040000}"/>
    <cellStyle name="Millares 41 27" xfId="1049" xr:uid="{00000000-0005-0000-0000-000027040000}"/>
    <cellStyle name="Millares 41 28" xfId="1050" xr:uid="{00000000-0005-0000-0000-000028040000}"/>
    <cellStyle name="Millares 41 29" xfId="1051" xr:uid="{00000000-0005-0000-0000-000029040000}"/>
    <cellStyle name="Millares 41 3" xfId="1052" xr:uid="{00000000-0005-0000-0000-00002A040000}"/>
    <cellStyle name="Millares 41 30" xfId="1053" xr:uid="{00000000-0005-0000-0000-00002B040000}"/>
    <cellStyle name="Millares 41 31" xfId="1054" xr:uid="{00000000-0005-0000-0000-00002C040000}"/>
    <cellStyle name="Millares 41 32" xfId="1055" xr:uid="{00000000-0005-0000-0000-00002D040000}"/>
    <cellStyle name="Millares 41 4" xfId="1056" xr:uid="{00000000-0005-0000-0000-00002E040000}"/>
    <cellStyle name="Millares 41 5" xfId="1057" xr:uid="{00000000-0005-0000-0000-00002F040000}"/>
    <cellStyle name="Millares 41 6" xfId="1058" xr:uid="{00000000-0005-0000-0000-000030040000}"/>
    <cellStyle name="Millares 41 7" xfId="1059" xr:uid="{00000000-0005-0000-0000-000031040000}"/>
    <cellStyle name="Millares 41 8" xfId="1060" xr:uid="{00000000-0005-0000-0000-000032040000}"/>
    <cellStyle name="Millares 41 9" xfId="1061" xr:uid="{00000000-0005-0000-0000-000033040000}"/>
    <cellStyle name="Millares 42" xfId="2772" xr:uid="{00000000-0005-0000-0000-000034040000}"/>
    <cellStyle name="Millares 43" xfId="2776" xr:uid="{00000000-0005-0000-0000-000035040000}"/>
    <cellStyle name="Millares 44" xfId="2778" xr:uid="{00000000-0005-0000-0000-000036040000}"/>
    <cellStyle name="Millares 45" xfId="2780" xr:uid="{00000000-0005-0000-0000-000037040000}"/>
    <cellStyle name="Millares 46" xfId="2782" xr:uid="{00000000-0005-0000-0000-000038040000}"/>
    <cellStyle name="Millares 46 2" xfId="2853" xr:uid="{00000000-0005-0000-0000-000039040000}"/>
    <cellStyle name="Millares 47" xfId="2784" xr:uid="{00000000-0005-0000-0000-00003A040000}"/>
    <cellStyle name="Millares 48" xfId="2792" xr:uid="{00000000-0005-0000-0000-00003B040000}"/>
    <cellStyle name="Millares 49" xfId="2873" xr:uid="{00000000-0005-0000-0000-00003C040000}"/>
    <cellStyle name="Millares 5" xfId="88" xr:uid="{00000000-0005-0000-0000-00003D040000}"/>
    <cellStyle name="Millares 5 2" xfId="1062" xr:uid="{00000000-0005-0000-0000-00003E040000}"/>
    <cellStyle name="Millares 5 2 2" xfId="1063" xr:uid="{00000000-0005-0000-0000-00003F040000}"/>
    <cellStyle name="Millares 5 3" xfId="1064" xr:uid="{00000000-0005-0000-0000-000040040000}"/>
    <cellStyle name="Millares 5 3 2" xfId="1065" xr:uid="{00000000-0005-0000-0000-000041040000}"/>
    <cellStyle name="Millares 5 4" xfId="1066" xr:uid="{00000000-0005-0000-0000-000042040000}"/>
    <cellStyle name="Millares 5 5" xfId="1067" xr:uid="{00000000-0005-0000-0000-000043040000}"/>
    <cellStyle name="Millares 5 6" xfId="2793" xr:uid="{00000000-0005-0000-0000-000044040000}"/>
    <cellStyle name="Millares 50" xfId="2876" xr:uid="{00000000-0005-0000-0000-000045040000}"/>
    <cellStyle name="Millares 51" xfId="2879" xr:uid="{00000000-0005-0000-0000-000046040000}"/>
    <cellStyle name="Millares 52" xfId="2882" xr:uid="{00000000-0005-0000-0000-000047040000}"/>
    <cellStyle name="Millares 53" xfId="2885" xr:uid="{00000000-0005-0000-0000-000048040000}"/>
    <cellStyle name="Millares 54" xfId="2888" xr:uid="{00000000-0005-0000-0000-000049040000}"/>
    <cellStyle name="Millares 55" xfId="2891" xr:uid="{00000000-0005-0000-0000-00004A040000}"/>
    <cellStyle name="Millares 56" xfId="2894" xr:uid="{00000000-0005-0000-0000-00004B040000}"/>
    <cellStyle name="Millares 57" xfId="2897" xr:uid="{00000000-0005-0000-0000-00004C040000}"/>
    <cellStyle name="Millares 58" xfId="2900" xr:uid="{00000000-0005-0000-0000-00004D040000}"/>
    <cellStyle name="Millares 59" xfId="2903" xr:uid="{00000000-0005-0000-0000-00004E040000}"/>
    <cellStyle name="Millares 6" xfId="1068" xr:uid="{00000000-0005-0000-0000-00004F040000}"/>
    <cellStyle name="Millares 6 2" xfId="1069" xr:uid="{00000000-0005-0000-0000-000050040000}"/>
    <cellStyle name="Millares 6 3" xfId="1070" xr:uid="{00000000-0005-0000-0000-000051040000}"/>
    <cellStyle name="Millares 60" xfId="2906" xr:uid="{00000000-0005-0000-0000-000052040000}"/>
    <cellStyle name="Millares 61" xfId="2909" xr:uid="{00000000-0005-0000-0000-000053040000}"/>
    <cellStyle name="Millares 62" xfId="2770" xr:uid="{00000000-0005-0000-0000-000054040000}"/>
    <cellStyle name="Millares 62 2" xfId="2773" xr:uid="{00000000-0005-0000-0000-000055040000}"/>
    <cellStyle name="Millares 62 3" xfId="2854" xr:uid="{00000000-0005-0000-0000-000056040000}"/>
    <cellStyle name="Millares 63" xfId="2911" xr:uid="{00000000-0005-0000-0000-000057040000}"/>
    <cellStyle name="Millares 64" xfId="2915" xr:uid="{00000000-0005-0000-0000-000058040000}"/>
    <cellStyle name="Millares 7" xfId="1071" xr:uid="{00000000-0005-0000-0000-000059040000}"/>
    <cellStyle name="Millares 7 2" xfId="1072" xr:uid="{00000000-0005-0000-0000-00005A040000}"/>
    <cellStyle name="Millares 7 2 2" xfId="1073" xr:uid="{00000000-0005-0000-0000-00005B040000}"/>
    <cellStyle name="Millares 7 3" xfId="1074" xr:uid="{00000000-0005-0000-0000-00005C040000}"/>
    <cellStyle name="Millares 8" xfId="1075" xr:uid="{00000000-0005-0000-0000-00005D040000}"/>
    <cellStyle name="Millares 8 2" xfId="1076" xr:uid="{00000000-0005-0000-0000-00005E040000}"/>
    <cellStyle name="Millares 8 2 2" xfId="1077" xr:uid="{00000000-0005-0000-0000-00005F040000}"/>
    <cellStyle name="Millares 8 2 3" xfId="1078" xr:uid="{00000000-0005-0000-0000-000060040000}"/>
    <cellStyle name="Millares 8 3" xfId="1079" xr:uid="{00000000-0005-0000-0000-000061040000}"/>
    <cellStyle name="Millares 8 4" xfId="1080" xr:uid="{00000000-0005-0000-0000-000062040000}"/>
    <cellStyle name="Millares 9" xfId="1081" xr:uid="{00000000-0005-0000-0000-000063040000}"/>
    <cellStyle name="Millares 9 2" xfId="1082" xr:uid="{00000000-0005-0000-0000-000064040000}"/>
    <cellStyle name="Millares 9 2 2" xfId="1083" xr:uid="{00000000-0005-0000-0000-000065040000}"/>
    <cellStyle name="Millares 9 2 3" xfId="1084" xr:uid="{00000000-0005-0000-0000-000066040000}"/>
    <cellStyle name="Millares 9 3" xfId="1085" xr:uid="{00000000-0005-0000-0000-000067040000}"/>
    <cellStyle name="Millares 9 3 2" xfId="1086" xr:uid="{00000000-0005-0000-0000-000068040000}"/>
    <cellStyle name="Millares 9 3 3" xfId="1087" xr:uid="{00000000-0005-0000-0000-000069040000}"/>
    <cellStyle name="Millares 9 4" xfId="1088" xr:uid="{00000000-0005-0000-0000-00006A040000}"/>
    <cellStyle name="Moneda" xfId="2" builtinId="4"/>
    <cellStyle name="Moneda [0] 2" xfId="2863" xr:uid="{00000000-0005-0000-0000-00006C040000}"/>
    <cellStyle name="Moneda [0] 3" xfId="2869" xr:uid="{00000000-0005-0000-0000-00006D040000}"/>
    <cellStyle name="Moneda [0] 4" xfId="2867" xr:uid="{00000000-0005-0000-0000-00006E040000}"/>
    <cellStyle name="Moneda 10" xfId="1089" xr:uid="{00000000-0005-0000-0000-00006F040000}"/>
    <cellStyle name="Moneda 10 2" xfId="1090" xr:uid="{00000000-0005-0000-0000-000070040000}"/>
    <cellStyle name="Moneda 11" xfId="1091" xr:uid="{00000000-0005-0000-0000-000071040000}"/>
    <cellStyle name="Moneda 12" xfId="2774" xr:uid="{00000000-0005-0000-0000-000072040000}"/>
    <cellStyle name="Moneda 13" xfId="2785" xr:uid="{00000000-0005-0000-0000-000073040000}"/>
    <cellStyle name="Moneda 14" xfId="2847" xr:uid="{00000000-0005-0000-0000-000074040000}"/>
    <cellStyle name="Moneda 15" xfId="2872" xr:uid="{00000000-0005-0000-0000-000075040000}"/>
    <cellStyle name="Moneda 16" xfId="2875" xr:uid="{00000000-0005-0000-0000-000076040000}"/>
    <cellStyle name="Moneda 17" xfId="2880" xr:uid="{00000000-0005-0000-0000-000077040000}"/>
    <cellStyle name="Moneda 18" xfId="2883" xr:uid="{00000000-0005-0000-0000-000078040000}"/>
    <cellStyle name="Moneda 19" xfId="2886" xr:uid="{00000000-0005-0000-0000-000079040000}"/>
    <cellStyle name="Moneda 2" xfId="54" xr:uid="{00000000-0005-0000-0000-00007A040000}"/>
    <cellStyle name="Moneda 2 10" xfId="1092" xr:uid="{00000000-0005-0000-0000-00007B040000}"/>
    <cellStyle name="Moneda 2 10 2" xfId="1093" xr:uid="{00000000-0005-0000-0000-00007C040000}"/>
    <cellStyle name="Moneda 2 11" xfId="1094" xr:uid="{00000000-0005-0000-0000-00007D040000}"/>
    <cellStyle name="Moneda 2 11 2" xfId="1095" xr:uid="{00000000-0005-0000-0000-00007E040000}"/>
    <cellStyle name="Moneda 2 12" xfId="1096" xr:uid="{00000000-0005-0000-0000-00007F040000}"/>
    <cellStyle name="Moneda 2 12 2" xfId="1097" xr:uid="{00000000-0005-0000-0000-000080040000}"/>
    <cellStyle name="Moneda 2 13" xfId="1098" xr:uid="{00000000-0005-0000-0000-000081040000}"/>
    <cellStyle name="Moneda 2 13 2" xfId="1099" xr:uid="{00000000-0005-0000-0000-000082040000}"/>
    <cellStyle name="Moneda 2 14" xfId="1100" xr:uid="{00000000-0005-0000-0000-000083040000}"/>
    <cellStyle name="Moneda 2 14 2" xfId="1101" xr:uid="{00000000-0005-0000-0000-000084040000}"/>
    <cellStyle name="Moneda 2 15" xfId="1102" xr:uid="{00000000-0005-0000-0000-000085040000}"/>
    <cellStyle name="Moneda 2 15 2" xfId="1103" xr:uid="{00000000-0005-0000-0000-000086040000}"/>
    <cellStyle name="Moneda 2 16" xfId="1104" xr:uid="{00000000-0005-0000-0000-000087040000}"/>
    <cellStyle name="Moneda 2 16 2" xfId="1105" xr:uid="{00000000-0005-0000-0000-000088040000}"/>
    <cellStyle name="Moneda 2 17" xfId="1106" xr:uid="{00000000-0005-0000-0000-000089040000}"/>
    <cellStyle name="Moneda 2 17 2" xfId="1107" xr:uid="{00000000-0005-0000-0000-00008A040000}"/>
    <cellStyle name="Moneda 2 18" xfId="1108" xr:uid="{00000000-0005-0000-0000-00008B040000}"/>
    <cellStyle name="Moneda 2 18 2" xfId="1109" xr:uid="{00000000-0005-0000-0000-00008C040000}"/>
    <cellStyle name="Moneda 2 19" xfId="1110" xr:uid="{00000000-0005-0000-0000-00008D040000}"/>
    <cellStyle name="Moneda 2 19 2" xfId="1111" xr:uid="{00000000-0005-0000-0000-00008E040000}"/>
    <cellStyle name="Moneda 2 2" xfId="55" xr:uid="{00000000-0005-0000-0000-00008F040000}"/>
    <cellStyle name="Moneda 2 2 10" xfId="1112" xr:uid="{00000000-0005-0000-0000-000090040000}"/>
    <cellStyle name="Moneda 2 2 10 2" xfId="1113" xr:uid="{00000000-0005-0000-0000-000091040000}"/>
    <cellStyle name="Moneda 2 2 11" xfId="1114" xr:uid="{00000000-0005-0000-0000-000092040000}"/>
    <cellStyle name="Moneda 2 2 11 2" xfId="1115" xr:uid="{00000000-0005-0000-0000-000093040000}"/>
    <cellStyle name="Moneda 2 2 12" xfId="1116" xr:uid="{00000000-0005-0000-0000-000094040000}"/>
    <cellStyle name="Moneda 2 2 12 2" xfId="1117" xr:uid="{00000000-0005-0000-0000-000095040000}"/>
    <cellStyle name="Moneda 2 2 13" xfId="1118" xr:uid="{00000000-0005-0000-0000-000096040000}"/>
    <cellStyle name="Moneda 2 2 13 2" xfId="1119" xr:uid="{00000000-0005-0000-0000-000097040000}"/>
    <cellStyle name="Moneda 2 2 14" xfId="1120" xr:uid="{00000000-0005-0000-0000-000098040000}"/>
    <cellStyle name="Moneda 2 2 14 2" xfId="1121" xr:uid="{00000000-0005-0000-0000-000099040000}"/>
    <cellStyle name="Moneda 2 2 15" xfId="1122" xr:uid="{00000000-0005-0000-0000-00009A040000}"/>
    <cellStyle name="Moneda 2 2 15 2" xfId="1123" xr:uid="{00000000-0005-0000-0000-00009B040000}"/>
    <cellStyle name="Moneda 2 2 16" xfId="1124" xr:uid="{00000000-0005-0000-0000-00009C040000}"/>
    <cellStyle name="Moneda 2 2 16 2" xfId="1125" xr:uid="{00000000-0005-0000-0000-00009D040000}"/>
    <cellStyle name="Moneda 2 2 17" xfId="1126" xr:uid="{00000000-0005-0000-0000-00009E040000}"/>
    <cellStyle name="Moneda 2 2 17 2" xfId="1127" xr:uid="{00000000-0005-0000-0000-00009F040000}"/>
    <cellStyle name="Moneda 2 2 18" xfId="1128" xr:uid="{00000000-0005-0000-0000-0000A0040000}"/>
    <cellStyle name="Moneda 2 2 18 2" xfId="1129" xr:uid="{00000000-0005-0000-0000-0000A1040000}"/>
    <cellStyle name="Moneda 2 2 19" xfId="1130" xr:uid="{00000000-0005-0000-0000-0000A2040000}"/>
    <cellStyle name="Moneda 2 2 19 2" xfId="1131" xr:uid="{00000000-0005-0000-0000-0000A3040000}"/>
    <cellStyle name="Moneda 2 2 2" xfId="1132" xr:uid="{00000000-0005-0000-0000-0000A4040000}"/>
    <cellStyle name="Moneda 2 2 2 2" xfId="1133" xr:uid="{00000000-0005-0000-0000-0000A5040000}"/>
    <cellStyle name="Moneda 2 2 2 2 2" xfId="1134" xr:uid="{00000000-0005-0000-0000-0000A6040000}"/>
    <cellStyle name="Moneda 2 2 2 3" xfId="1135" xr:uid="{00000000-0005-0000-0000-0000A7040000}"/>
    <cellStyle name="Moneda 2 2 2 3 2" xfId="1136" xr:uid="{00000000-0005-0000-0000-0000A8040000}"/>
    <cellStyle name="Moneda 2 2 2 4" xfId="1137" xr:uid="{00000000-0005-0000-0000-0000A9040000}"/>
    <cellStyle name="Moneda 2 2 20" xfId="1138" xr:uid="{00000000-0005-0000-0000-0000AA040000}"/>
    <cellStyle name="Moneda 2 2 20 2" xfId="1139" xr:uid="{00000000-0005-0000-0000-0000AB040000}"/>
    <cellStyle name="Moneda 2 2 21" xfId="1140" xr:uid="{00000000-0005-0000-0000-0000AC040000}"/>
    <cellStyle name="Moneda 2 2 21 2" xfId="1141" xr:uid="{00000000-0005-0000-0000-0000AD040000}"/>
    <cellStyle name="Moneda 2 2 22" xfId="1142" xr:uid="{00000000-0005-0000-0000-0000AE040000}"/>
    <cellStyle name="Moneda 2 2 22 2" xfId="1143" xr:uid="{00000000-0005-0000-0000-0000AF040000}"/>
    <cellStyle name="Moneda 2 2 23" xfId="1144" xr:uid="{00000000-0005-0000-0000-0000B0040000}"/>
    <cellStyle name="Moneda 2 2 23 2" xfId="1145" xr:uid="{00000000-0005-0000-0000-0000B1040000}"/>
    <cellStyle name="Moneda 2 2 24" xfId="1146" xr:uid="{00000000-0005-0000-0000-0000B2040000}"/>
    <cellStyle name="Moneda 2 2 24 2" xfId="1147" xr:uid="{00000000-0005-0000-0000-0000B3040000}"/>
    <cellStyle name="Moneda 2 2 25" xfId="1148" xr:uid="{00000000-0005-0000-0000-0000B4040000}"/>
    <cellStyle name="Moneda 2 2 25 2" xfId="1149" xr:uid="{00000000-0005-0000-0000-0000B5040000}"/>
    <cellStyle name="Moneda 2 2 26" xfId="1150" xr:uid="{00000000-0005-0000-0000-0000B6040000}"/>
    <cellStyle name="Moneda 2 2 26 2" xfId="1151" xr:uid="{00000000-0005-0000-0000-0000B7040000}"/>
    <cellStyle name="Moneda 2 2 27" xfId="1152" xr:uid="{00000000-0005-0000-0000-0000B8040000}"/>
    <cellStyle name="Moneda 2 2 27 2" xfId="1153" xr:uid="{00000000-0005-0000-0000-0000B9040000}"/>
    <cellStyle name="Moneda 2 2 28" xfId="1154" xr:uid="{00000000-0005-0000-0000-0000BA040000}"/>
    <cellStyle name="Moneda 2 2 28 2" xfId="1155" xr:uid="{00000000-0005-0000-0000-0000BB040000}"/>
    <cellStyle name="Moneda 2 2 29" xfId="1156" xr:uid="{00000000-0005-0000-0000-0000BC040000}"/>
    <cellStyle name="Moneda 2 2 29 2" xfId="1157" xr:uid="{00000000-0005-0000-0000-0000BD040000}"/>
    <cellStyle name="Moneda 2 2 3" xfId="1158" xr:uid="{00000000-0005-0000-0000-0000BE040000}"/>
    <cellStyle name="Moneda 2 2 3 2" xfId="1159" xr:uid="{00000000-0005-0000-0000-0000BF040000}"/>
    <cellStyle name="Moneda 2 2 30" xfId="1160" xr:uid="{00000000-0005-0000-0000-0000C0040000}"/>
    <cellStyle name="Moneda 2 2 30 2" xfId="1161" xr:uid="{00000000-0005-0000-0000-0000C1040000}"/>
    <cellStyle name="Moneda 2 2 31" xfId="1162" xr:uid="{00000000-0005-0000-0000-0000C2040000}"/>
    <cellStyle name="Moneda 2 2 31 2" xfId="1163" xr:uid="{00000000-0005-0000-0000-0000C3040000}"/>
    <cellStyle name="Moneda 2 2 32" xfId="1164" xr:uid="{00000000-0005-0000-0000-0000C4040000}"/>
    <cellStyle name="Moneda 2 2 32 2" xfId="1165" xr:uid="{00000000-0005-0000-0000-0000C5040000}"/>
    <cellStyle name="Moneda 2 2 33" xfId="1166" xr:uid="{00000000-0005-0000-0000-0000C6040000}"/>
    <cellStyle name="Moneda 2 2 33 2" xfId="1167" xr:uid="{00000000-0005-0000-0000-0000C7040000}"/>
    <cellStyle name="Moneda 2 2 33 2 2" xfId="1168" xr:uid="{00000000-0005-0000-0000-0000C8040000}"/>
    <cellStyle name="Moneda 2 2 33 3" xfId="1169" xr:uid="{00000000-0005-0000-0000-0000C9040000}"/>
    <cellStyle name="Moneda 2 2 34" xfId="1170" xr:uid="{00000000-0005-0000-0000-0000CA040000}"/>
    <cellStyle name="Moneda 2 2 35" xfId="1171" xr:uid="{00000000-0005-0000-0000-0000CB040000}"/>
    <cellStyle name="Moneda 2 2 36" xfId="1172" xr:uid="{00000000-0005-0000-0000-0000CC040000}"/>
    <cellStyle name="Moneda 2 2 37" xfId="1173" xr:uid="{00000000-0005-0000-0000-0000CD040000}"/>
    <cellStyle name="Moneda 2 2 38" xfId="1174" xr:uid="{00000000-0005-0000-0000-0000CE040000}"/>
    <cellStyle name="Moneda 2 2 39" xfId="1175" xr:uid="{00000000-0005-0000-0000-0000CF040000}"/>
    <cellStyle name="Moneda 2 2 4" xfId="1176" xr:uid="{00000000-0005-0000-0000-0000D0040000}"/>
    <cellStyle name="Moneda 2 2 4 2" xfId="1177" xr:uid="{00000000-0005-0000-0000-0000D1040000}"/>
    <cellStyle name="Moneda 2 2 40" xfId="1178" xr:uid="{00000000-0005-0000-0000-0000D2040000}"/>
    <cellStyle name="Moneda 2 2 41" xfId="1179" xr:uid="{00000000-0005-0000-0000-0000D3040000}"/>
    <cellStyle name="Moneda 2 2 42" xfId="1180" xr:uid="{00000000-0005-0000-0000-0000D4040000}"/>
    <cellStyle name="Moneda 2 2 43" xfId="1181" xr:uid="{00000000-0005-0000-0000-0000D5040000}"/>
    <cellStyle name="Moneda 2 2 44" xfId="1182" xr:uid="{00000000-0005-0000-0000-0000D6040000}"/>
    <cellStyle name="Moneda 2 2 45" xfId="1183" xr:uid="{00000000-0005-0000-0000-0000D7040000}"/>
    <cellStyle name="Moneda 2 2 46" xfId="1184" xr:uid="{00000000-0005-0000-0000-0000D8040000}"/>
    <cellStyle name="Moneda 2 2 47" xfId="1185" xr:uid="{00000000-0005-0000-0000-0000D9040000}"/>
    <cellStyle name="Moneda 2 2 48" xfId="1186" xr:uid="{00000000-0005-0000-0000-0000DA040000}"/>
    <cellStyle name="Moneda 2 2 49" xfId="1187" xr:uid="{00000000-0005-0000-0000-0000DB040000}"/>
    <cellStyle name="Moneda 2 2 5" xfId="1188" xr:uid="{00000000-0005-0000-0000-0000DC040000}"/>
    <cellStyle name="Moneda 2 2 5 2" xfId="1189" xr:uid="{00000000-0005-0000-0000-0000DD040000}"/>
    <cellStyle name="Moneda 2 2 50" xfId="1190" xr:uid="{00000000-0005-0000-0000-0000DE040000}"/>
    <cellStyle name="Moneda 2 2 51" xfId="1191" xr:uid="{00000000-0005-0000-0000-0000DF040000}"/>
    <cellStyle name="Moneda 2 2 52" xfId="1192" xr:uid="{00000000-0005-0000-0000-0000E0040000}"/>
    <cellStyle name="Moneda 2 2 53" xfId="1193" xr:uid="{00000000-0005-0000-0000-0000E1040000}"/>
    <cellStyle name="Moneda 2 2 54" xfId="1194" xr:uid="{00000000-0005-0000-0000-0000E2040000}"/>
    <cellStyle name="Moneda 2 2 55" xfId="1195" xr:uid="{00000000-0005-0000-0000-0000E3040000}"/>
    <cellStyle name="Moneda 2 2 56" xfId="1196" xr:uid="{00000000-0005-0000-0000-0000E4040000}"/>
    <cellStyle name="Moneda 2 2 57" xfId="1197" xr:uid="{00000000-0005-0000-0000-0000E5040000}"/>
    <cellStyle name="Moneda 2 2 58" xfId="1198" xr:uid="{00000000-0005-0000-0000-0000E6040000}"/>
    <cellStyle name="Moneda 2 2 59" xfId="1199" xr:uid="{00000000-0005-0000-0000-0000E7040000}"/>
    <cellStyle name="Moneda 2 2 6" xfId="1200" xr:uid="{00000000-0005-0000-0000-0000E8040000}"/>
    <cellStyle name="Moneda 2 2 6 2" xfId="1201" xr:uid="{00000000-0005-0000-0000-0000E9040000}"/>
    <cellStyle name="Moneda 2 2 60" xfId="1202" xr:uid="{00000000-0005-0000-0000-0000EA040000}"/>
    <cellStyle name="Moneda 2 2 61" xfId="1203" xr:uid="{00000000-0005-0000-0000-0000EB040000}"/>
    <cellStyle name="Moneda 2 2 62" xfId="1204" xr:uid="{00000000-0005-0000-0000-0000EC040000}"/>
    <cellStyle name="Moneda 2 2 63" xfId="1205" xr:uid="{00000000-0005-0000-0000-0000ED040000}"/>
    <cellStyle name="Moneda 2 2 64" xfId="1206" xr:uid="{00000000-0005-0000-0000-0000EE040000}"/>
    <cellStyle name="Moneda 2 2 65" xfId="1207" xr:uid="{00000000-0005-0000-0000-0000EF040000}"/>
    <cellStyle name="Moneda 2 2 65 2" xfId="1208" xr:uid="{00000000-0005-0000-0000-0000F0040000}"/>
    <cellStyle name="Moneda 2 2 66" xfId="1209" xr:uid="{00000000-0005-0000-0000-0000F1040000}"/>
    <cellStyle name="Moneda 2 2 7" xfId="1210" xr:uid="{00000000-0005-0000-0000-0000F2040000}"/>
    <cellStyle name="Moneda 2 2 7 2" xfId="1211" xr:uid="{00000000-0005-0000-0000-0000F3040000}"/>
    <cellStyle name="Moneda 2 2 8" xfId="1212" xr:uid="{00000000-0005-0000-0000-0000F4040000}"/>
    <cellStyle name="Moneda 2 2 8 2" xfId="1213" xr:uid="{00000000-0005-0000-0000-0000F5040000}"/>
    <cellStyle name="Moneda 2 2 9" xfId="1214" xr:uid="{00000000-0005-0000-0000-0000F6040000}"/>
    <cellStyle name="Moneda 2 2 9 2" xfId="1215" xr:uid="{00000000-0005-0000-0000-0000F7040000}"/>
    <cellStyle name="Moneda 2 20" xfId="1216" xr:uid="{00000000-0005-0000-0000-0000F8040000}"/>
    <cellStyle name="Moneda 2 20 2" xfId="1217" xr:uid="{00000000-0005-0000-0000-0000F9040000}"/>
    <cellStyle name="Moneda 2 21" xfId="1218" xr:uid="{00000000-0005-0000-0000-0000FA040000}"/>
    <cellStyle name="Moneda 2 21 2" xfId="1219" xr:uid="{00000000-0005-0000-0000-0000FB040000}"/>
    <cellStyle name="Moneda 2 22" xfId="1220" xr:uid="{00000000-0005-0000-0000-0000FC040000}"/>
    <cellStyle name="Moneda 2 22 2" xfId="1221" xr:uid="{00000000-0005-0000-0000-0000FD040000}"/>
    <cellStyle name="Moneda 2 23" xfId="1222" xr:uid="{00000000-0005-0000-0000-0000FE040000}"/>
    <cellStyle name="Moneda 2 23 2" xfId="1223" xr:uid="{00000000-0005-0000-0000-0000FF040000}"/>
    <cellStyle name="Moneda 2 24" xfId="1224" xr:uid="{00000000-0005-0000-0000-000000050000}"/>
    <cellStyle name="Moneda 2 24 2" xfId="1225" xr:uid="{00000000-0005-0000-0000-000001050000}"/>
    <cellStyle name="Moneda 2 25" xfId="1226" xr:uid="{00000000-0005-0000-0000-000002050000}"/>
    <cellStyle name="Moneda 2 25 2" xfId="1227" xr:uid="{00000000-0005-0000-0000-000003050000}"/>
    <cellStyle name="Moneda 2 26" xfId="1228" xr:uid="{00000000-0005-0000-0000-000004050000}"/>
    <cellStyle name="Moneda 2 26 2" xfId="1229" xr:uid="{00000000-0005-0000-0000-000005050000}"/>
    <cellStyle name="Moneda 2 27" xfId="1230" xr:uid="{00000000-0005-0000-0000-000006050000}"/>
    <cellStyle name="Moneda 2 27 2" xfId="1231" xr:uid="{00000000-0005-0000-0000-000007050000}"/>
    <cellStyle name="Moneda 2 28" xfId="1232" xr:uid="{00000000-0005-0000-0000-000008050000}"/>
    <cellStyle name="Moneda 2 28 2" xfId="1233" xr:uid="{00000000-0005-0000-0000-000009050000}"/>
    <cellStyle name="Moneda 2 29" xfId="1234" xr:uid="{00000000-0005-0000-0000-00000A050000}"/>
    <cellStyle name="Moneda 2 29 2" xfId="1235" xr:uid="{00000000-0005-0000-0000-00000B050000}"/>
    <cellStyle name="Moneda 2 3" xfId="56" xr:uid="{00000000-0005-0000-0000-00000C050000}"/>
    <cellStyle name="Moneda 2 3 10" xfId="1236" xr:uid="{00000000-0005-0000-0000-00000D050000}"/>
    <cellStyle name="Moneda 2 3 11" xfId="1237" xr:uid="{00000000-0005-0000-0000-00000E050000}"/>
    <cellStyle name="Moneda 2 3 12" xfId="1238" xr:uid="{00000000-0005-0000-0000-00000F050000}"/>
    <cellStyle name="Moneda 2 3 13" xfId="1239" xr:uid="{00000000-0005-0000-0000-000010050000}"/>
    <cellStyle name="Moneda 2 3 14" xfId="1240" xr:uid="{00000000-0005-0000-0000-000011050000}"/>
    <cellStyle name="Moneda 2 3 15" xfId="1241" xr:uid="{00000000-0005-0000-0000-000012050000}"/>
    <cellStyle name="Moneda 2 3 16" xfId="1242" xr:uid="{00000000-0005-0000-0000-000013050000}"/>
    <cellStyle name="Moneda 2 3 17" xfId="1243" xr:uid="{00000000-0005-0000-0000-000014050000}"/>
    <cellStyle name="Moneda 2 3 18" xfId="1244" xr:uid="{00000000-0005-0000-0000-000015050000}"/>
    <cellStyle name="Moneda 2 3 19" xfId="1245" xr:uid="{00000000-0005-0000-0000-000016050000}"/>
    <cellStyle name="Moneda 2 3 2" xfId="1246" xr:uid="{00000000-0005-0000-0000-000017050000}"/>
    <cellStyle name="Moneda 2 3 2 2" xfId="1247" xr:uid="{00000000-0005-0000-0000-000018050000}"/>
    <cellStyle name="Moneda 2 3 20" xfId="1248" xr:uid="{00000000-0005-0000-0000-000019050000}"/>
    <cellStyle name="Moneda 2 3 21" xfId="1249" xr:uid="{00000000-0005-0000-0000-00001A050000}"/>
    <cellStyle name="Moneda 2 3 22" xfId="1250" xr:uid="{00000000-0005-0000-0000-00001B050000}"/>
    <cellStyle name="Moneda 2 3 23" xfId="1251" xr:uid="{00000000-0005-0000-0000-00001C050000}"/>
    <cellStyle name="Moneda 2 3 24" xfId="1252" xr:uid="{00000000-0005-0000-0000-00001D050000}"/>
    <cellStyle name="Moneda 2 3 25" xfId="1253" xr:uid="{00000000-0005-0000-0000-00001E050000}"/>
    <cellStyle name="Moneda 2 3 26" xfId="1254" xr:uid="{00000000-0005-0000-0000-00001F050000}"/>
    <cellStyle name="Moneda 2 3 27" xfId="1255" xr:uid="{00000000-0005-0000-0000-000020050000}"/>
    <cellStyle name="Moneda 2 3 28" xfId="1256" xr:uid="{00000000-0005-0000-0000-000021050000}"/>
    <cellStyle name="Moneda 2 3 29" xfId="1257" xr:uid="{00000000-0005-0000-0000-000022050000}"/>
    <cellStyle name="Moneda 2 3 3" xfId="1258" xr:uid="{00000000-0005-0000-0000-000023050000}"/>
    <cellStyle name="Moneda 2 3 30" xfId="1259" xr:uid="{00000000-0005-0000-0000-000024050000}"/>
    <cellStyle name="Moneda 2 3 31" xfId="1260" xr:uid="{00000000-0005-0000-0000-000025050000}"/>
    <cellStyle name="Moneda 2 3 32" xfId="1261" xr:uid="{00000000-0005-0000-0000-000026050000}"/>
    <cellStyle name="Moneda 2 3 33" xfId="1262" xr:uid="{00000000-0005-0000-0000-000027050000}"/>
    <cellStyle name="Moneda 2 3 4" xfId="1263" xr:uid="{00000000-0005-0000-0000-000028050000}"/>
    <cellStyle name="Moneda 2 3 5" xfId="1264" xr:uid="{00000000-0005-0000-0000-000029050000}"/>
    <cellStyle name="Moneda 2 3 6" xfId="1265" xr:uid="{00000000-0005-0000-0000-00002A050000}"/>
    <cellStyle name="Moneda 2 3 7" xfId="1266" xr:uid="{00000000-0005-0000-0000-00002B050000}"/>
    <cellStyle name="Moneda 2 3 8" xfId="1267" xr:uid="{00000000-0005-0000-0000-00002C050000}"/>
    <cellStyle name="Moneda 2 3 9" xfId="1268" xr:uid="{00000000-0005-0000-0000-00002D050000}"/>
    <cellStyle name="Moneda 2 30" xfId="1269" xr:uid="{00000000-0005-0000-0000-00002E050000}"/>
    <cellStyle name="Moneda 2 30 2" xfId="1270" xr:uid="{00000000-0005-0000-0000-00002F050000}"/>
    <cellStyle name="Moneda 2 31" xfId="1271" xr:uid="{00000000-0005-0000-0000-000030050000}"/>
    <cellStyle name="Moneda 2 31 2" xfId="1272" xr:uid="{00000000-0005-0000-0000-000031050000}"/>
    <cellStyle name="Moneda 2 32" xfId="1273" xr:uid="{00000000-0005-0000-0000-000032050000}"/>
    <cellStyle name="Moneda 2 32 2" xfId="1274" xr:uid="{00000000-0005-0000-0000-000033050000}"/>
    <cellStyle name="Moneda 2 33" xfId="1275" xr:uid="{00000000-0005-0000-0000-000034050000}"/>
    <cellStyle name="Moneda 2 33 2" xfId="1276" xr:uid="{00000000-0005-0000-0000-000035050000}"/>
    <cellStyle name="Moneda 2 34" xfId="1277" xr:uid="{00000000-0005-0000-0000-000036050000}"/>
    <cellStyle name="Moneda 2 34 2" xfId="1278" xr:uid="{00000000-0005-0000-0000-000037050000}"/>
    <cellStyle name="Moneda 2 35" xfId="1279" xr:uid="{00000000-0005-0000-0000-000038050000}"/>
    <cellStyle name="Moneda 2 35 2" xfId="1280" xr:uid="{00000000-0005-0000-0000-000039050000}"/>
    <cellStyle name="Moneda 2 36" xfId="1281" xr:uid="{00000000-0005-0000-0000-00003A050000}"/>
    <cellStyle name="Moneda 2 36 2" xfId="1282" xr:uid="{00000000-0005-0000-0000-00003B050000}"/>
    <cellStyle name="Moneda 2 37" xfId="1283" xr:uid="{00000000-0005-0000-0000-00003C050000}"/>
    <cellStyle name="Moneda 2 38" xfId="1284" xr:uid="{00000000-0005-0000-0000-00003D050000}"/>
    <cellStyle name="Moneda 2 39" xfId="1285" xr:uid="{00000000-0005-0000-0000-00003E050000}"/>
    <cellStyle name="Moneda 2 4" xfId="57" xr:uid="{00000000-0005-0000-0000-00003F050000}"/>
    <cellStyle name="Moneda 2 4 10" xfId="1286" xr:uid="{00000000-0005-0000-0000-000040050000}"/>
    <cellStyle name="Moneda 2 4 11" xfId="1287" xr:uid="{00000000-0005-0000-0000-000041050000}"/>
    <cellStyle name="Moneda 2 4 12" xfId="1288" xr:uid="{00000000-0005-0000-0000-000042050000}"/>
    <cellStyle name="Moneda 2 4 13" xfId="1289" xr:uid="{00000000-0005-0000-0000-000043050000}"/>
    <cellStyle name="Moneda 2 4 14" xfId="1290" xr:uid="{00000000-0005-0000-0000-000044050000}"/>
    <cellStyle name="Moneda 2 4 15" xfId="1291" xr:uid="{00000000-0005-0000-0000-000045050000}"/>
    <cellStyle name="Moneda 2 4 16" xfId="1292" xr:uid="{00000000-0005-0000-0000-000046050000}"/>
    <cellStyle name="Moneda 2 4 17" xfId="1293" xr:uid="{00000000-0005-0000-0000-000047050000}"/>
    <cellStyle name="Moneda 2 4 18" xfId="1294" xr:uid="{00000000-0005-0000-0000-000048050000}"/>
    <cellStyle name="Moneda 2 4 19" xfId="1295" xr:uid="{00000000-0005-0000-0000-000049050000}"/>
    <cellStyle name="Moneda 2 4 2" xfId="1296" xr:uid="{00000000-0005-0000-0000-00004A050000}"/>
    <cellStyle name="Moneda 2 4 2 2" xfId="1297" xr:uid="{00000000-0005-0000-0000-00004B050000}"/>
    <cellStyle name="Moneda 2 4 20" xfId="1298" xr:uid="{00000000-0005-0000-0000-00004C050000}"/>
    <cellStyle name="Moneda 2 4 21" xfId="1299" xr:uid="{00000000-0005-0000-0000-00004D050000}"/>
    <cellStyle name="Moneda 2 4 22" xfId="1300" xr:uid="{00000000-0005-0000-0000-00004E050000}"/>
    <cellStyle name="Moneda 2 4 23" xfId="1301" xr:uid="{00000000-0005-0000-0000-00004F050000}"/>
    <cellStyle name="Moneda 2 4 24" xfId="1302" xr:uid="{00000000-0005-0000-0000-000050050000}"/>
    <cellStyle name="Moneda 2 4 25" xfId="1303" xr:uid="{00000000-0005-0000-0000-000051050000}"/>
    <cellStyle name="Moneda 2 4 26" xfId="1304" xr:uid="{00000000-0005-0000-0000-000052050000}"/>
    <cellStyle name="Moneda 2 4 27" xfId="1305" xr:uid="{00000000-0005-0000-0000-000053050000}"/>
    <cellStyle name="Moneda 2 4 28" xfId="1306" xr:uid="{00000000-0005-0000-0000-000054050000}"/>
    <cellStyle name="Moneda 2 4 29" xfId="1307" xr:uid="{00000000-0005-0000-0000-000055050000}"/>
    <cellStyle name="Moneda 2 4 3" xfId="1308" xr:uid="{00000000-0005-0000-0000-000056050000}"/>
    <cellStyle name="Moneda 2 4 30" xfId="1309" xr:uid="{00000000-0005-0000-0000-000057050000}"/>
    <cellStyle name="Moneda 2 4 31" xfId="1310" xr:uid="{00000000-0005-0000-0000-000058050000}"/>
    <cellStyle name="Moneda 2 4 32" xfId="1311" xr:uid="{00000000-0005-0000-0000-000059050000}"/>
    <cellStyle name="Moneda 2 4 33" xfId="1312" xr:uid="{00000000-0005-0000-0000-00005A050000}"/>
    <cellStyle name="Moneda 2 4 4" xfId="1313" xr:uid="{00000000-0005-0000-0000-00005B050000}"/>
    <cellStyle name="Moneda 2 4 5" xfId="1314" xr:uid="{00000000-0005-0000-0000-00005C050000}"/>
    <cellStyle name="Moneda 2 4 6" xfId="1315" xr:uid="{00000000-0005-0000-0000-00005D050000}"/>
    <cellStyle name="Moneda 2 4 7" xfId="1316" xr:uid="{00000000-0005-0000-0000-00005E050000}"/>
    <cellStyle name="Moneda 2 4 8" xfId="1317" xr:uid="{00000000-0005-0000-0000-00005F050000}"/>
    <cellStyle name="Moneda 2 4 9" xfId="1318" xr:uid="{00000000-0005-0000-0000-000060050000}"/>
    <cellStyle name="Moneda 2 40" xfId="1319" xr:uid="{00000000-0005-0000-0000-000061050000}"/>
    <cellStyle name="Moneda 2 41" xfId="1320" xr:uid="{00000000-0005-0000-0000-000062050000}"/>
    <cellStyle name="Moneda 2 42" xfId="1321" xr:uid="{00000000-0005-0000-0000-000063050000}"/>
    <cellStyle name="Moneda 2 43" xfId="1322" xr:uid="{00000000-0005-0000-0000-000064050000}"/>
    <cellStyle name="Moneda 2 44" xfId="1323" xr:uid="{00000000-0005-0000-0000-000065050000}"/>
    <cellStyle name="Moneda 2 45" xfId="1324" xr:uid="{00000000-0005-0000-0000-000066050000}"/>
    <cellStyle name="Moneda 2 46" xfId="1325" xr:uid="{00000000-0005-0000-0000-000067050000}"/>
    <cellStyle name="Moneda 2 47" xfId="1326" xr:uid="{00000000-0005-0000-0000-000068050000}"/>
    <cellStyle name="Moneda 2 48" xfId="1327" xr:uid="{00000000-0005-0000-0000-000069050000}"/>
    <cellStyle name="Moneda 2 49" xfId="1328" xr:uid="{00000000-0005-0000-0000-00006A050000}"/>
    <cellStyle name="Moneda 2 5" xfId="58" xr:uid="{00000000-0005-0000-0000-00006B050000}"/>
    <cellStyle name="Moneda 2 5 10" xfId="1329" xr:uid="{00000000-0005-0000-0000-00006C050000}"/>
    <cellStyle name="Moneda 2 5 11" xfId="1330" xr:uid="{00000000-0005-0000-0000-00006D050000}"/>
    <cellStyle name="Moneda 2 5 12" xfId="1331" xr:uid="{00000000-0005-0000-0000-00006E050000}"/>
    <cellStyle name="Moneda 2 5 13" xfId="1332" xr:uid="{00000000-0005-0000-0000-00006F050000}"/>
    <cellStyle name="Moneda 2 5 14" xfId="1333" xr:uid="{00000000-0005-0000-0000-000070050000}"/>
    <cellStyle name="Moneda 2 5 15" xfId="1334" xr:uid="{00000000-0005-0000-0000-000071050000}"/>
    <cellStyle name="Moneda 2 5 16" xfId="1335" xr:uid="{00000000-0005-0000-0000-000072050000}"/>
    <cellStyle name="Moneda 2 5 17" xfId="1336" xr:uid="{00000000-0005-0000-0000-000073050000}"/>
    <cellStyle name="Moneda 2 5 18" xfId="1337" xr:uid="{00000000-0005-0000-0000-000074050000}"/>
    <cellStyle name="Moneda 2 5 19" xfId="1338" xr:uid="{00000000-0005-0000-0000-000075050000}"/>
    <cellStyle name="Moneda 2 5 2" xfId="1339" xr:uid="{00000000-0005-0000-0000-000076050000}"/>
    <cellStyle name="Moneda 2 5 2 2" xfId="1340" xr:uid="{00000000-0005-0000-0000-000077050000}"/>
    <cellStyle name="Moneda 2 5 20" xfId="1341" xr:uid="{00000000-0005-0000-0000-000078050000}"/>
    <cellStyle name="Moneda 2 5 21" xfId="1342" xr:uid="{00000000-0005-0000-0000-000079050000}"/>
    <cellStyle name="Moneda 2 5 22" xfId="1343" xr:uid="{00000000-0005-0000-0000-00007A050000}"/>
    <cellStyle name="Moneda 2 5 23" xfId="1344" xr:uid="{00000000-0005-0000-0000-00007B050000}"/>
    <cellStyle name="Moneda 2 5 24" xfId="1345" xr:uid="{00000000-0005-0000-0000-00007C050000}"/>
    <cellStyle name="Moneda 2 5 25" xfId="1346" xr:uid="{00000000-0005-0000-0000-00007D050000}"/>
    <cellStyle name="Moneda 2 5 26" xfId="1347" xr:uid="{00000000-0005-0000-0000-00007E050000}"/>
    <cellStyle name="Moneda 2 5 27" xfId="1348" xr:uid="{00000000-0005-0000-0000-00007F050000}"/>
    <cellStyle name="Moneda 2 5 28" xfId="1349" xr:uid="{00000000-0005-0000-0000-000080050000}"/>
    <cellStyle name="Moneda 2 5 29" xfId="1350" xr:uid="{00000000-0005-0000-0000-000081050000}"/>
    <cellStyle name="Moneda 2 5 3" xfId="1351" xr:uid="{00000000-0005-0000-0000-000082050000}"/>
    <cellStyle name="Moneda 2 5 30" xfId="1352" xr:uid="{00000000-0005-0000-0000-000083050000}"/>
    <cellStyle name="Moneda 2 5 31" xfId="1353" xr:uid="{00000000-0005-0000-0000-000084050000}"/>
    <cellStyle name="Moneda 2 5 32" xfId="1354" xr:uid="{00000000-0005-0000-0000-000085050000}"/>
    <cellStyle name="Moneda 2 5 33" xfId="1355" xr:uid="{00000000-0005-0000-0000-000086050000}"/>
    <cellStyle name="Moneda 2 5 4" xfId="1356" xr:uid="{00000000-0005-0000-0000-000087050000}"/>
    <cellStyle name="Moneda 2 5 5" xfId="1357" xr:uid="{00000000-0005-0000-0000-000088050000}"/>
    <cellStyle name="Moneda 2 5 6" xfId="1358" xr:uid="{00000000-0005-0000-0000-000089050000}"/>
    <cellStyle name="Moneda 2 5 7" xfId="1359" xr:uid="{00000000-0005-0000-0000-00008A050000}"/>
    <cellStyle name="Moneda 2 5 8" xfId="1360" xr:uid="{00000000-0005-0000-0000-00008B050000}"/>
    <cellStyle name="Moneda 2 5 9" xfId="1361" xr:uid="{00000000-0005-0000-0000-00008C050000}"/>
    <cellStyle name="Moneda 2 50" xfId="1362" xr:uid="{00000000-0005-0000-0000-00008D050000}"/>
    <cellStyle name="Moneda 2 51" xfId="1363" xr:uid="{00000000-0005-0000-0000-00008E050000}"/>
    <cellStyle name="Moneda 2 52" xfId="1364" xr:uid="{00000000-0005-0000-0000-00008F050000}"/>
    <cellStyle name="Moneda 2 53" xfId="1365" xr:uid="{00000000-0005-0000-0000-000090050000}"/>
    <cellStyle name="Moneda 2 54" xfId="1366" xr:uid="{00000000-0005-0000-0000-000091050000}"/>
    <cellStyle name="Moneda 2 55" xfId="1367" xr:uid="{00000000-0005-0000-0000-000092050000}"/>
    <cellStyle name="Moneda 2 56" xfId="1368" xr:uid="{00000000-0005-0000-0000-000093050000}"/>
    <cellStyle name="Moneda 2 57" xfId="1369" xr:uid="{00000000-0005-0000-0000-000094050000}"/>
    <cellStyle name="Moneda 2 58" xfId="1370" xr:uid="{00000000-0005-0000-0000-000095050000}"/>
    <cellStyle name="Moneda 2 59" xfId="1371" xr:uid="{00000000-0005-0000-0000-000096050000}"/>
    <cellStyle name="Moneda 2 6" xfId="59" xr:uid="{00000000-0005-0000-0000-000097050000}"/>
    <cellStyle name="Moneda 2 6 2" xfId="1372" xr:uid="{00000000-0005-0000-0000-000098050000}"/>
    <cellStyle name="Moneda 2 6 2 2" xfId="1373" xr:uid="{00000000-0005-0000-0000-000099050000}"/>
    <cellStyle name="Moneda 2 6 3" xfId="1374" xr:uid="{00000000-0005-0000-0000-00009A050000}"/>
    <cellStyle name="Moneda 2 6 4" xfId="1375" xr:uid="{00000000-0005-0000-0000-00009B050000}"/>
    <cellStyle name="Moneda 2 6 5" xfId="2843" xr:uid="{00000000-0005-0000-0000-00009C050000}"/>
    <cellStyle name="Moneda 2 60" xfId="1376" xr:uid="{00000000-0005-0000-0000-00009D050000}"/>
    <cellStyle name="Moneda 2 61" xfId="1377" xr:uid="{00000000-0005-0000-0000-00009E050000}"/>
    <cellStyle name="Moneda 2 62" xfId="1378" xr:uid="{00000000-0005-0000-0000-00009F050000}"/>
    <cellStyle name="Moneda 2 63" xfId="1379" xr:uid="{00000000-0005-0000-0000-0000A0050000}"/>
    <cellStyle name="Moneda 2 64" xfId="1380" xr:uid="{00000000-0005-0000-0000-0000A1050000}"/>
    <cellStyle name="Moneda 2 65" xfId="1381" xr:uid="{00000000-0005-0000-0000-0000A2050000}"/>
    <cellStyle name="Moneda 2 66" xfId="1382" xr:uid="{00000000-0005-0000-0000-0000A3050000}"/>
    <cellStyle name="Moneda 2 67" xfId="1383" xr:uid="{00000000-0005-0000-0000-0000A4050000}"/>
    <cellStyle name="Moneda 2 68" xfId="1384" xr:uid="{00000000-0005-0000-0000-0000A5050000}"/>
    <cellStyle name="Moneda 2 69" xfId="2790" xr:uid="{00000000-0005-0000-0000-0000A6050000}"/>
    <cellStyle name="Moneda 2 7" xfId="1385" xr:uid="{00000000-0005-0000-0000-0000A7050000}"/>
    <cellStyle name="Moneda 2 7 2" xfId="1386" xr:uid="{00000000-0005-0000-0000-0000A8050000}"/>
    <cellStyle name="Moneda 2 8" xfId="1387" xr:uid="{00000000-0005-0000-0000-0000A9050000}"/>
    <cellStyle name="Moneda 2 8 2" xfId="1388" xr:uid="{00000000-0005-0000-0000-0000AA050000}"/>
    <cellStyle name="Moneda 2 9" xfId="1389" xr:uid="{00000000-0005-0000-0000-0000AB050000}"/>
    <cellStyle name="Moneda 2 9 2" xfId="1390" xr:uid="{00000000-0005-0000-0000-0000AC050000}"/>
    <cellStyle name="Moneda 20" xfId="2889" xr:uid="{00000000-0005-0000-0000-0000AD050000}"/>
    <cellStyle name="Moneda 21" xfId="2892" xr:uid="{00000000-0005-0000-0000-0000AE050000}"/>
    <cellStyle name="Moneda 22" xfId="2895" xr:uid="{00000000-0005-0000-0000-0000AF050000}"/>
    <cellStyle name="Moneda 23" xfId="2898" xr:uid="{00000000-0005-0000-0000-0000B0050000}"/>
    <cellStyle name="Moneda 24" xfId="2901" xr:uid="{00000000-0005-0000-0000-0000B1050000}"/>
    <cellStyle name="Moneda 25" xfId="2904" xr:uid="{00000000-0005-0000-0000-0000B2050000}"/>
    <cellStyle name="Moneda 26" xfId="2907" xr:uid="{00000000-0005-0000-0000-0000B3050000}"/>
    <cellStyle name="Moneda 27" xfId="2912" xr:uid="{00000000-0005-0000-0000-0000B4050000}"/>
    <cellStyle name="Moneda 28" xfId="2913" xr:uid="{00000000-0005-0000-0000-0000B5050000}"/>
    <cellStyle name="Moneda 29" xfId="2916" xr:uid="{00000000-0005-0000-0000-0000B6050000}"/>
    <cellStyle name="Moneda 3" xfId="60" xr:uid="{00000000-0005-0000-0000-0000B7050000}"/>
    <cellStyle name="Moneda 3 10" xfId="1391" xr:uid="{00000000-0005-0000-0000-0000B8050000}"/>
    <cellStyle name="Moneda 3 10 2" xfId="1392" xr:uid="{00000000-0005-0000-0000-0000B9050000}"/>
    <cellStyle name="Moneda 3 11" xfId="1393" xr:uid="{00000000-0005-0000-0000-0000BA050000}"/>
    <cellStyle name="Moneda 3 11 2" xfId="1394" xr:uid="{00000000-0005-0000-0000-0000BB050000}"/>
    <cellStyle name="Moneda 3 12" xfId="1395" xr:uid="{00000000-0005-0000-0000-0000BC050000}"/>
    <cellStyle name="Moneda 3 12 2" xfId="1396" xr:uid="{00000000-0005-0000-0000-0000BD050000}"/>
    <cellStyle name="Moneda 3 13" xfId="1397" xr:uid="{00000000-0005-0000-0000-0000BE050000}"/>
    <cellStyle name="Moneda 3 13 2" xfId="1398" xr:uid="{00000000-0005-0000-0000-0000BF050000}"/>
    <cellStyle name="Moneda 3 14" xfId="1399" xr:uid="{00000000-0005-0000-0000-0000C0050000}"/>
    <cellStyle name="Moneda 3 14 2" xfId="1400" xr:uid="{00000000-0005-0000-0000-0000C1050000}"/>
    <cellStyle name="Moneda 3 15" xfId="1401" xr:uid="{00000000-0005-0000-0000-0000C2050000}"/>
    <cellStyle name="Moneda 3 15 2" xfId="1402" xr:uid="{00000000-0005-0000-0000-0000C3050000}"/>
    <cellStyle name="Moneda 3 16" xfId="1403" xr:uid="{00000000-0005-0000-0000-0000C4050000}"/>
    <cellStyle name="Moneda 3 16 2" xfId="1404" xr:uid="{00000000-0005-0000-0000-0000C5050000}"/>
    <cellStyle name="Moneda 3 17" xfId="1405" xr:uid="{00000000-0005-0000-0000-0000C6050000}"/>
    <cellStyle name="Moneda 3 17 2" xfId="1406" xr:uid="{00000000-0005-0000-0000-0000C7050000}"/>
    <cellStyle name="Moneda 3 18" xfId="1407" xr:uid="{00000000-0005-0000-0000-0000C8050000}"/>
    <cellStyle name="Moneda 3 18 2" xfId="1408" xr:uid="{00000000-0005-0000-0000-0000C9050000}"/>
    <cellStyle name="Moneda 3 19" xfId="1409" xr:uid="{00000000-0005-0000-0000-0000CA050000}"/>
    <cellStyle name="Moneda 3 19 2" xfId="1410" xr:uid="{00000000-0005-0000-0000-0000CB050000}"/>
    <cellStyle name="Moneda 3 2" xfId="61" xr:uid="{00000000-0005-0000-0000-0000CC050000}"/>
    <cellStyle name="Moneda 3 2 10" xfId="1411" xr:uid="{00000000-0005-0000-0000-0000CD050000}"/>
    <cellStyle name="Moneda 3 2 10 2" xfId="1412" xr:uid="{00000000-0005-0000-0000-0000CE050000}"/>
    <cellStyle name="Moneda 3 2 11" xfId="1413" xr:uid="{00000000-0005-0000-0000-0000CF050000}"/>
    <cellStyle name="Moneda 3 2 11 2" xfId="1414" xr:uid="{00000000-0005-0000-0000-0000D0050000}"/>
    <cellStyle name="Moneda 3 2 12" xfId="1415" xr:uid="{00000000-0005-0000-0000-0000D1050000}"/>
    <cellStyle name="Moneda 3 2 12 2" xfId="1416" xr:uid="{00000000-0005-0000-0000-0000D2050000}"/>
    <cellStyle name="Moneda 3 2 13" xfId="1417" xr:uid="{00000000-0005-0000-0000-0000D3050000}"/>
    <cellStyle name="Moneda 3 2 13 2" xfId="1418" xr:uid="{00000000-0005-0000-0000-0000D4050000}"/>
    <cellStyle name="Moneda 3 2 14" xfId="1419" xr:uid="{00000000-0005-0000-0000-0000D5050000}"/>
    <cellStyle name="Moneda 3 2 14 2" xfId="1420" xr:uid="{00000000-0005-0000-0000-0000D6050000}"/>
    <cellStyle name="Moneda 3 2 15" xfId="1421" xr:uid="{00000000-0005-0000-0000-0000D7050000}"/>
    <cellStyle name="Moneda 3 2 15 2" xfId="1422" xr:uid="{00000000-0005-0000-0000-0000D8050000}"/>
    <cellStyle name="Moneda 3 2 16" xfId="1423" xr:uid="{00000000-0005-0000-0000-0000D9050000}"/>
    <cellStyle name="Moneda 3 2 16 2" xfId="1424" xr:uid="{00000000-0005-0000-0000-0000DA050000}"/>
    <cellStyle name="Moneda 3 2 17" xfId="1425" xr:uid="{00000000-0005-0000-0000-0000DB050000}"/>
    <cellStyle name="Moneda 3 2 17 2" xfId="1426" xr:uid="{00000000-0005-0000-0000-0000DC050000}"/>
    <cellStyle name="Moneda 3 2 18" xfId="1427" xr:uid="{00000000-0005-0000-0000-0000DD050000}"/>
    <cellStyle name="Moneda 3 2 18 2" xfId="1428" xr:uid="{00000000-0005-0000-0000-0000DE050000}"/>
    <cellStyle name="Moneda 3 2 19" xfId="1429" xr:uid="{00000000-0005-0000-0000-0000DF050000}"/>
    <cellStyle name="Moneda 3 2 19 2" xfId="1430" xr:uid="{00000000-0005-0000-0000-0000E0050000}"/>
    <cellStyle name="Moneda 3 2 2" xfId="1431" xr:uid="{00000000-0005-0000-0000-0000E1050000}"/>
    <cellStyle name="Moneda 3 2 2 2" xfId="1432" xr:uid="{00000000-0005-0000-0000-0000E2050000}"/>
    <cellStyle name="Moneda 3 2 2 2 2" xfId="1433" xr:uid="{00000000-0005-0000-0000-0000E3050000}"/>
    <cellStyle name="Moneda 3 2 2 3" xfId="1434" xr:uid="{00000000-0005-0000-0000-0000E4050000}"/>
    <cellStyle name="Moneda 3 2 2 3 2" xfId="1435" xr:uid="{00000000-0005-0000-0000-0000E5050000}"/>
    <cellStyle name="Moneda 3 2 2 4" xfId="1436" xr:uid="{00000000-0005-0000-0000-0000E6050000}"/>
    <cellStyle name="Moneda 3 2 20" xfId="1437" xr:uid="{00000000-0005-0000-0000-0000E7050000}"/>
    <cellStyle name="Moneda 3 2 20 2" xfId="1438" xr:uid="{00000000-0005-0000-0000-0000E8050000}"/>
    <cellStyle name="Moneda 3 2 21" xfId="1439" xr:uid="{00000000-0005-0000-0000-0000E9050000}"/>
    <cellStyle name="Moneda 3 2 21 2" xfId="1440" xr:uid="{00000000-0005-0000-0000-0000EA050000}"/>
    <cellStyle name="Moneda 3 2 22" xfId="1441" xr:uid="{00000000-0005-0000-0000-0000EB050000}"/>
    <cellStyle name="Moneda 3 2 22 2" xfId="1442" xr:uid="{00000000-0005-0000-0000-0000EC050000}"/>
    <cellStyle name="Moneda 3 2 23" xfId="1443" xr:uid="{00000000-0005-0000-0000-0000ED050000}"/>
    <cellStyle name="Moneda 3 2 23 2" xfId="1444" xr:uid="{00000000-0005-0000-0000-0000EE050000}"/>
    <cellStyle name="Moneda 3 2 24" xfId="1445" xr:uid="{00000000-0005-0000-0000-0000EF050000}"/>
    <cellStyle name="Moneda 3 2 24 2" xfId="1446" xr:uid="{00000000-0005-0000-0000-0000F0050000}"/>
    <cellStyle name="Moneda 3 2 25" xfId="1447" xr:uid="{00000000-0005-0000-0000-0000F1050000}"/>
    <cellStyle name="Moneda 3 2 25 2" xfId="1448" xr:uid="{00000000-0005-0000-0000-0000F2050000}"/>
    <cellStyle name="Moneda 3 2 26" xfId="1449" xr:uid="{00000000-0005-0000-0000-0000F3050000}"/>
    <cellStyle name="Moneda 3 2 26 2" xfId="1450" xr:uid="{00000000-0005-0000-0000-0000F4050000}"/>
    <cellStyle name="Moneda 3 2 27" xfId="1451" xr:uid="{00000000-0005-0000-0000-0000F5050000}"/>
    <cellStyle name="Moneda 3 2 27 2" xfId="1452" xr:uid="{00000000-0005-0000-0000-0000F6050000}"/>
    <cellStyle name="Moneda 3 2 28" xfId="1453" xr:uid="{00000000-0005-0000-0000-0000F7050000}"/>
    <cellStyle name="Moneda 3 2 28 2" xfId="1454" xr:uid="{00000000-0005-0000-0000-0000F8050000}"/>
    <cellStyle name="Moneda 3 2 29" xfId="1455" xr:uid="{00000000-0005-0000-0000-0000F9050000}"/>
    <cellStyle name="Moneda 3 2 29 2" xfId="1456" xr:uid="{00000000-0005-0000-0000-0000FA050000}"/>
    <cellStyle name="Moneda 3 2 3" xfId="1457" xr:uid="{00000000-0005-0000-0000-0000FB050000}"/>
    <cellStyle name="Moneda 3 2 3 2" xfId="1458" xr:uid="{00000000-0005-0000-0000-0000FC050000}"/>
    <cellStyle name="Moneda 3 2 3 2 2" xfId="1459" xr:uid="{00000000-0005-0000-0000-0000FD050000}"/>
    <cellStyle name="Moneda 3 2 3 3" xfId="1460" xr:uid="{00000000-0005-0000-0000-0000FE050000}"/>
    <cellStyle name="Moneda 3 2 3 3 2" xfId="1461" xr:uid="{00000000-0005-0000-0000-0000FF050000}"/>
    <cellStyle name="Moneda 3 2 3 4" xfId="1462" xr:uid="{00000000-0005-0000-0000-000000060000}"/>
    <cellStyle name="Moneda 3 2 30" xfId="1463" xr:uid="{00000000-0005-0000-0000-000001060000}"/>
    <cellStyle name="Moneda 3 2 30 2" xfId="1464" xr:uid="{00000000-0005-0000-0000-000002060000}"/>
    <cellStyle name="Moneda 3 2 31" xfId="1465" xr:uid="{00000000-0005-0000-0000-000003060000}"/>
    <cellStyle name="Moneda 3 2 31 2" xfId="1466" xr:uid="{00000000-0005-0000-0000-000004060000}"/>
    <cellStyle name="Moneda 3 2 32" xfId="1467" xr:uid="{00000000-0005-0000-0000-000005060000}"/>
    <cellStyle name="Moneda 3 2 32 2" xfId="1468" xr:uid="{00000000-0005-0000-0000-000006060000}"/>
    <cellStyle name="Moneda 3 2 33" xfId="1469" xr:uid="{00000000-0005-0000-0000-000007060000}"/>
    <cellStyle name="Moneda 3 2 33 2" xfId="1470" xr:uid="{00000000-0005-0000-0000-000008060000}"/>
    <cellStyle name="Moneda 3 2 34" xfId="1471" xr:uid="{00000000-0005-0000-0000-000009060000}"/>
    <cellStyle name="Moneda 3 2 35" xfId="1472" xr:uid="{00000000-0005-0000-0000-00000A060000}"/>
    <cellStyle name="Moneda 3 2 36" xfId="1473" xr:uid="{00000000-0005-0000-0000-00000B060000}"/>
    <cellStyle name="Moneda 3 2 37" xfId="1474" xr:uid="{00000000-0005-0000-0000-00000C060000}"/>
    <cellStyle name="Moneda 3 2 38" xfId="1475" xr:uid="{00000000-0005-0000-0000-00000D060000}"/>
    <cellStyle name="Moneda 3 2 39" xfId="1476" xr:uid="{00000000-0005-0000-0000-00000E060000}"/>
    <cellStyle name="Moneda 3 2 4" xfId="1477" xr:uid="{00000000-0005-0000-0000-00000F060000}"/>
    <cellStyle name="Moneda 3 2 4 2" xfId="1478" xr:uid="{00000000-0005-0000-0000-000010060000}"/>
    <cellStyle name="Moneda 3 2 4 2 2" xfId="1479" xr:uid="{00000000-0005-0000-0000-000011060000}"/>
    <cellStyle name="Moneda 3 2 4 3" xfId="1480" xr:uid="{00000000-0005-0000-0000-000012060000}"/>
    <cellStyle name="Moneda 3 2 4 3 2" xfId="1481" xr:uid="{00000000-0005-0000-0000-000013060000}"/>
    <cellStyle name="Moneda 3 2 4 4" xfId="1482" xr:uid="{00000000-0005-0000-0000-000014060000}"/>
    <cellStyle name="Moneda 3 2 40" xfId="1483" xr:uid="{00000000-0005-0000-0000-000015060000}"/>
    <cellStyle name="Moneda 3 2 41" xfId="1484" xr:uid="{00000000-0005-0000-0000-000016060000}"/>
    <cellStyle name="Moneda 3 2 42" xfId="1485" xr:uid="{00000000-0005-0000-0000-000017060000}"/>
    <cellStyle name="Moneda 3 2 43" xfId="1486" xr:uid="{00000000-0005-0000-0000-000018060000}"/>
    <cellStyle name="Moneda 3 2 44" xfId="1487" xr:uid="{00000000-0005-0000-0000-000019060000}"/>
    <cellStyle name="Moneda 3 2 45" xfId="1488" xr:uid="{00000000-0005-0000-0000-00001A060000}"/>
    <cellStyle name="Moneda 3 2 46" xfId="1489" xr:uid="{00000000-0005-0000-0000-00001B060000}"/>
    <cellStyle name="Moneda 3 2 47" xfId="1490" xr:uid="{00000000-0005-0000-0000-00001C060000}"/>
    <cellStyle name="Moneda 3 2 48" xfId="1491" xr:uid="{00000000-0005-0000-0000-00001D060000}"/>
    <cellStyle name="Moneda 3 2 49" xfId="1492" xr:uid="{00000000-0005-0000-0000-00001E060000}"/>
    <cellStyle name="Moneda 3 2 5" xfId="1493" xr:uid="{00000000-0005-0000-0000-00001F060000}"/>
    <cellStyle name="Moneda 3 2 5 2" xfId="1494" xr:uid="{00000000-0005-0000-0000-000020060000}"/>
    <cellStyle name="Moneda 3 2 50" xfId="1495" xr:uid="{00000000-0005-0000-0000-000021060000}"/>
    <cellStyle name="Moneda 3 2 51" xfId="1496" xr:uid="{00000000-0005-0000-0000-000022060000}"/>
    <cellStyle name="Moneda 3 2 52" xfId="1497" xr:uid="{00000000-0005-0000-0000-000023060000}"/>
    <cellStyle name="Moneda 3 2 53" xfId="1498" xr:uid="{00000000-0005-0000-0000-000024060000}"/>
    <cellStyle name="Moneda 3 2 54" xfId="1499" xr:uid="{00000000-0005-0000-0000-000025060000}"/>
    <cellStyle name="Moneda 3 2 55" xfId="1500" xr:uid="{00000000-0005-0000-0000-000026060000}"/>
    <cellStyle name="Moneda 3 2 56" xfId="1501" xr:uid="{00000000-0005-0000-0000-000027060000}"/>
    <cellStyle name="Moneda 3 2 57" xfId="1502" xr:uid="{00000000-0005-0000-0000-000028060000}"/>
    <cellStyle name="Moneda 3 2 58" xfId="1503" xr:uid="{00000000-0005-0000-0000-000029060000}"/>
    <cellStyle name="Moneda 3 2 59" xfId="1504" xr:uid="{00000000-0005-0000-0000-00002A060000}"/>
    <cellStyle name="Moneda 3 2 6" xfId="1505" xr:uid="{00000000-0005-0000-0000-00002B060000}"/>
    <cellStyle name="Moneda 3 2 6 2" xfId="1506" xr:uid="{00000000-0005-0000-0000-00002C060000}"/>
    <cellStyle name="Moneda 3 2 60" xfId="1507" xr:uid="{00000000-0005-0000-0000-00002D060000}"/>
    <cellStyle name="Moneda 3 2 61" xfId="1508" xr:uid="{00000000-0005-0000-0000-00002E060000}"/>
    <cellStyle name="Moneda 3 2 62" xfId="1509" xr:uid="{00000000-0005-0000-0000-00002F060000}"/>
    <cellStyle name="Moneda 3 2 63" xfId="1510" xr:uid="{00000000-0005-0000-0000-000030060000}"/>
    <cellStyle name="Moneda 3 2 64" xfId="1511" xr:uid="{00000000-0005-0000-0000-000031060000}"/>
    <cellStyle name="Moneda 3 2 7" xfId="1512" xr:uid="{00000000-0005-0000-0000-000032060000}"/>
    <cellStyle name="Moneda 3 2 7 2" xfId="1513" xr:uid="{00000000-0005-0000-0000-000033060000}"/>
    <cellStyle name="Moneda 3 2 8" xfId="1514" xr:uid="{00000000-0005-0000-0000-000034060000}"/>
    <cellStyle name="Moneda 3 2 8 2" xfId="1515" xr:uid="{00000000-0005-0000-0000-000035060000}"/>
    <cellStyle name="Moneda 3 2 9" xfId="1516" xr:uid="{00000000-0005-0000-0000-000036060000}"/>
    <cellStyle name="Moneda 3 2 9 2" xfId="1517" xr:uid="{00000000-0005-0000-0000-000037060000}"/>
    <cellStyle name="Moneda 3 20" xfId="1518" xr:uid="{00000000-0005-0000-0000-000038060000}"/>
    <cellStyle name="Moneda 3 20 2" xfId="1519" xr:uid="{00000000-0005-0000-0000-000039060000}"/>
    <cellStyle name="Moneda 3 21" xfId="1520" xr:uid="{00000000-0005-0000-0000-00003A060000}"/>
    <cellStyle name="Moneda 3 21 2" xfId="1521" xr:uid="{00000000-0005-0000-0000-00003B060000}"/>
    <cellStyle name="Moneda 3 22" xfId="1522" xr:uid="{00000000-0005-0000-0000-00003C060000}"/>
    <cellStyle name="Moneda 3 22 2" xfId="1523" xr:uid="{00000000-0005-0000-0000-00003D060000}"/>
    <cellStyle name="Moneda 3 23" xfId="1524" xr:uid="{00000000-0005-0000-0000-00003E060000}"/>
    <cellStyle name="Moneda 3 23 2" xfId="1525" xr:uid="{00000000-0005-0000-0000-00003F060000}"/>
    <cellStyle name="Moneda 3 24" xfId="1526" xr:uid="{00000000-0005-0000-0000-000040060000}"/>
    <cellStyle name="Moneda 3 24 2" xfId="1527" xr:uid="{00000000-0005-0000-0000-000041060000}"/>
    <cellStyle name="Moneda 3 25" xfId="1528" xr:uid="{00000000-0005-0000-0000-000042060000}"/>
    <cellStyle name="Moneda 3 25 2" xfId="1529" xr:uid="{00000000-0005-0000-0000-000043060000}"/>
    <cellStyle name="Moneda 3 26" xfId="1530" xr:uid="{00000000-0005-0000-0000-000044060000}"/>
    <cellStyle name="Moneda 3 26 2" xfId="1531" xr:uid="{00000000-0005-0000-0000-000045060000}"/>
    <cellStyle name="Moneda 3 27" xfId="1532" xr:uid="{00000000-0005-0000-0000-000046060000}"/>
    <cellStyle name="Moneda 3 27 2" xfId="1533" xr:uid="{00000000-0005-0000-0000-000047060000}"/>
    <cellStyle name="Moneda 3 28" xfId="1534" xr:uid="{00000000-0005-0000-0000-000048060000}"/>
    <cellStyle name="Moneda 3 28 2" xfId="1535" xr:uid="{00000000-0005-0000-0000-000049060000}"/>
    <cellStyle name="Moneda 3 29" xfId="1536" xr:uid="{00000000-0005-0000-0000-00004A060000}"/>
    <cellStyle name="Moneda 3 29 2" xfId="1537" xr:uid="{00000000-0005-0000-0000-00004B060000}"/>
    <cellStyle name="Moneda 3 3" xfId="62" xr:uid="{00000000-0005-0000-0000-00004C060000}"/>
    <cellStyle name="Moneda 3 3 10" xfId="1538" xr:uid="{00000000-0005-0000-0000-00004D060000}"/>
    <cellStyle name="Moneda 3 3 10 2" xfId="1539" xr:uid="{00000000-0005-0000-0000-00004E060000}"/>
    <cellStyle name="Moneda 3 3 11" xfId="1540" xr:uid="{00000000-0005-0000-0000-00004F060000}"/>
    <cellStyle name="Moneda 3 3 11 2" xfId="1541" xr:uid="{00000000-0005-0000-0000-000050060000}"/>
    <cellStyle name="Moneda 3 3 12" xfId="1542" xr:uid="{00000000-0005-0000-0000-000051060000}"/>
    <cellStyle name="Moneda 3 3 12 2" xfId="1543" xr:uid="{00000000-0005-0000-0000-000052060000}"/>
    <cellStyle name="Moneda 3 3 13" xfId="1544" xr:uid="{00000000-0005-0000-0000-000053060000}"/>
    <cellStyle name="Moneda 3 3 13 2" xfId="1545" xr:uid="{00000000-0005-0000-0000-000054060000}"/>
    <cellStyle name="Moneda 3 3 14" xfId="1546" xr:uid="{00000000-0005-0000-0000-000055060000}"/>
    <cellStyle name="Moneda 3 3 14 2" xfId="1547" xr:uid="{00000000-0005-0000-0000-000056060000}"/>
    <cellStyle name="Moneda 3 3 15" xfId="1548" xr:uid="{00000000-0005-0000-0000-000057060000}"/>
    <cellStyle name="Moneda 3 3 15 2" xfId="1549" xr:uid="{00000000-0005-0000-0000-000058060000}"/>
    <cellStyle name="Moneda 3 3 16" xfId="1550" xr:uid="{00000000-0005-0000-0000-000059060000}"/>
    <cellStyle name="Moneda 3 3 16 2" xfId="1551" xr:uid="{00000000-0005-0000-0000-00005A060000}"/>
    <cellStyle name="Moneda 3 3 17" xfId="1552" xr:uid="{00000000-0005-0000-0000-00005B060000}"/>
    <cellStyle name="Moneda 3 3 17 2" xfId="1553" xr:uid="{00000000-0005-0000-0000-00005C060000}"/>
    <cellStyle name="Moneda 3 3 18" xfId="1554" xr:uid="{00000000-0005-0000-0000-00005D060000}"/>
    <cellStyle name="Moneda 3 3 18 2" xfId="1555" xr:uid="{00000000-0005-0000-0000-00005E060000}"/>
    <cellStyle name="Moneda 3 3 19" xfId="1556" xr:uid="{00000000-0005-0000-0000-00005F060000}"/>
    <cellStyle name="Moneda 3 3 19 2" xfId="1557" xr:uid="{00000000-0005-0000-0000-000060060000}"/>
    <cellStyle name="Moneda 3 3 2" xfId="1558" xr:uid="{00000000-0005-0000-0000-000061060000}"/>
    <cellStyle name="Moneda 3 3 2 2" xfId="1559" xr:uid="{00000000-0005-0000-0000-000062060000}"/>
    <cellStyle name="Moneda 3 3 2 2 2" xfId="1560" xr:uid="{00000000-0005-0000-0000-000063060000}"/>
    <cellStyle name="Moneda 3 3 2 3" xfId="1561" xr:uid="{00000000-0005-0000-0000-000064060000}"/>
    <cellStyle name="Moneda 3 3 2 3 2" xfId="1562" xr:uid="{00000000-0005-0000-0000-000065060000}"/>
    <cellStyle name="Moneda 3 3 2 4" xfId="1563" xr:uid="{00000000-0005-0000-0000-000066060000}"/>
    <cellStyle name="Moneda 3 3 20" xfId="1564" xr:uid="{00000000-0005-0000-0000-000067060000}"/>
    <cellStyle name="Moneda 3 3 20 2" xfId="1565" xr:uid="{00000000-0005-0000-0000-000068060000}"/>
    <cellStyle name="Moneda 3 3 21" xfId="1566" xr:uid="{00000000-0005-0000-0000-000069060000}"/>
    <cellStyle name="Moneda 3 3 21 2" xfId="1567" xr:uid="{00000000-0005-0000-0000-00006A060000}"/>
    <cellStyle name="Moneda 3 3 22" xfId="1568" xr:uid="{00000000-0005-0000-0000-00006B060000}"/>
    <cellStyle name="Moneda 3 3 22 2" xfId="1569" xr:uid="{00000000-0005-0000-0000-00006C060000}"/>
    <cellStyle name="Moneda 3 3 23" xfId="1570" xr:uid="{00000000-0005-0000-0000-00006D060000}"/>
    <cellStyle name="Moneda 3 3 23 2" xfId="1571" xr:uid="{00000000-0005-0000-0000-00006E060000}"/>
    <cellStyle name="Moneda 3 3 24" xfId="1572" xr:uid="{00000000-0005-0000-0000-00006F060000}"/>
    <cellStyle name="Moneda 3 3 24 2" xfId="1573" xr:uid="{00000000-0005-0000-0000-000070060000}"/>
    <cellStyle name="Moneda 3 3 25" xfId="1574" xr:uid="{00000000-0005-0000-0000-000071060000}"/>
    <cellStyle name="Moneda 3 3 25 2" xfId="1575" xr:uid="{00000000-0005-0000-0000-000072060000}"/>
    <cellStyle name="Moneda 3 3 26" xfId="1576" xr:uid="{00000000-0005-0000-0000-000073060000}"/>
    <cellStyle name="Moneda 3 3 26 2" xfId="1577" xr:uid="{00000000-0005-0000-0000-000074060000}"/>
    <cellStyle name="Moneda 3 3 27" xfId="1578" xr:uid="{00000000-0005-0000-0000-000075060000}"/>
    <cellStyle name="Moneda 3 3 27 2" xfId="1579" xr:uid="{00000000-0005-0000-0000-000076060000}"/>
    <cellStyle name="Moneda 3 3 28" xfId="1580" xr:uid="{00000000-0005-0000-0000-000077060000}"/>
    <cellStyle name="Moneda 3 3 28 2" xfId="1581" xr:uid="{00000000-0005-0000-0000-000078060000}"/>
    <cellStyle name="Moneda 3 3 29" xfId="1582" xr:uid="{00000000-0005-0000-0000-000079060000}"/>
    <cellStyle name="Moneda 3 3 29 2" xfId="1583" xr:uid="{00000000-0005-0000-0000-00007A060000}"/>
    <cellStyle name="Moneda 3 3 3" xfId="1584" xr:uid="{00000000-0005-0000-0000-00007B060000}"/>
    <cellStyle name="Moneda 3 3 3 2" xfId="1585" xr:uid="{00000000-0005-0000-0000-00007C060000}"/>
    <cellStyle name="Moneda 3 3 30" xfId="1586" xr:uid="{00000000-0005-0000-0000-00007D060000}"/>
    <cellStyle name="Moneda 3 3 30 2" xfId="1587" xr:uid="{00000000-0005-0000-0000-00007E060000}"/>
    <cellStyle name="Moneda 3 3 31" xfId="1588" xr:uid="{00000000-0005-0000-0000-00007F060000}"/>
    <cellStyle name="Moneda 3 3 31 2" xfId="1589" xr:uid="{00000000-0005-0000-0000-000080060000}"/>
    <cellStyle name="Moneda 3 3 32" xfId="1590" xr:uid="{00000000-0005-0000-0000-000081060000}"/>
    <cellStyle name="Moneda 3 3 32 2" xfId="1591" xr:uid="{00000000-0005-0000-0000-000082060000}"/>
    <cellStyle name="Moneda 3 3 33" xfId="1592" xr:uid="{00000000-0005-0000-0000-000083060000}"/>
    <cellStyle name="Moneda 3 3 33 2" xfId="1593" xr:uid="{00000000-0005-0000-0000-000084060000}"/>
    <cellStyle name="Moneda 3 3 34" xfId="1594" xr:uid="{00000000-0005-0000-0000-000085060000}"/>
    <cellStyle name="Moneda 3 3 35" xfId="1595" xr:uid="{00000000-0005-0000-0000-000086060000}"/>
    <cellStyle name="Moneda 3 3 36" xfId="1596" xr:uid="{00000000-0005-0000-0000-000087060000}"/>
    <cellStyle name="Moneda 3 3 37" xfId="1597" xr:uid="{00000000-0005-0000-0000-000088060000}"/>
    <cellStyle name="Moneda 3 3 38" xfId="1598" xr:uid="{00000000-0005-0000-0000-000089060000}"/>
    <cellStyle name="Moneda 3 3 39" xfId="1599" xr:uid="{00000000-0005-0000-0000-00008A060000}"/>
    <cellStyle name="Moneda 3 3 4" xfId="1600" xr:uid="{00000000-0005-0000-0000-00008B060000}"/>
    <cellStyle name="Moneda 3 3 4 2" xfId="1601" xr:uid="{00000000-0005-0000-0000-00008C060000}"/>
    <cellStyle name="Moneda 3 3 40" xfId="1602" xr:uid="{00000000-0005-0000-0000-00008D060000}"/>
    <cellStyle name="Moneda 3 3 41" xfId="1603" xr:uid="{00000000-0005-0000-0000-00008E060000}"/>
    <cellStyle name="Moneda 3 3 42" xfId="1604" xr:uid="{00000000-0005-0000-0000-00008F060000}"/>
    <cellStyle name="Moneda 3 3 43" xfId="1605" xr:uid="{00000000-0005-0000-0000-000090060000}"/>
    <cellStyle name="Moneda 3 3 44" xfId="1606" xr:uid="{00000000-0005-0000-0000-000091060000}"/>
    <cellStyle name="Moneda 3 3 45" xfId="1607" xr:uid="{00000000-0005-0000-0000-000092060000}"/>
    <cellStyle name="Moneda 3 3 46" xfId="1608" xr:uid="{00000000-0005-0000-0000-000093060000}"/>
    <cellStyle name="Moneda 3 3 47" xfId="1609" xr:uid="{00000000-0005-0000-0000-000094060000}"/>
    <cellStyle name="Moneda 3 3 48" xfId="1610" xr:uid="{00000000-0005-0000-0000-000095060000}"/>
    <cellStyle name="Moneda 3 3 49" xfId="1611" xr:uid="{00000000-0005-0000-0000-000096060000}"/>
    <cellStyle name="Moneda 3 3 5" xfId="1612" xr:uid="{00000000-0005-0000-0000-000097060000}"/>
    <cellStyle name="Moneda 3 3 5 2" xfId="1613" xr:uid="{00000000-0005-0000-0000-000098060000}"/>
    <cellStyle name="Moneda 3 3 50" xfId="1614" xr:uid="{00000000-0005-0000-0000-000099060000}"/>
    <cellStyle name="Moneda 3 3 51" xfId="1615" xr:uid="{00000000-0005-0000-0000-00009A060000}"/>
    <cellStyle name="Moneda 3 3 52" xfId="1616" xr:uid="{00000000-0005-0000-0000-00009B060000}"/>
    <cellStyle name="Moneda 3 3 53" xfId="1617" xr:uid="{00000000-0005-0000-0000-00009C060000}"/>
    <cellStyle name="Moneda 3 3 54" xfId="1618" xr:uid="{00000000-0005-0000-0000-00009D060000}"/>
    <cellStyle name="Moneda 3 3 55" xfId="1619" xr:uid="{00000000-0005-0000-0000-00009E060000}"/>
    <cellStyle name="Moneda 3 3 56" xfId="1620" xr:uid="{00000000-0005-0000-0000-00009F060000}"/>
    <cellStyle name="Moneda 3 3 57" xfId="1621" xr:uid="{00000000-0005-0000-0000-0000A0060000}"/>
    <cellStyle name="Moneda 3 3 58" xfId="1622" xr:uid="{00000000-0005-0000-0000-0000A1060000}"/>
    <cellStyle name="Moneda 3 3 59" xfId="1623" xr:uid="{00000000-0005-0000-0000-0000A2060000}"/>
    <cellStyle name="Moneda 3 3 6" xfId="1624" xr:uid="{00000000-0005-0000-0000-0000A3060000}"/>
    <cellStyle name="Moneda 3 3 6 2" xfId="1625" xr:uid="{00000000-0005-0000-0000-0000A4060000}"/>
    <cellStyle name="Moneda 3 3 60" xfId="1626" xr:uid="{00000000-0005-0000-0000-0000A5060000}"/>
    <cellStyle name="Moneda 3 3 61" xfId="1627" xr:uid="{00000000-0005-0000-0000-0000A6060000}"/>
    <cellStyle name="Moneda 3 3 62" xfId="1628" xr:uid="{00000000-0005-0000-0000-0000A7060000}"/>
    <cellStyle name="Moneda 3 3 63" xfId="1629" xr:uid="{00000000-0005-0000-0000-0000A8060000}"/>
    <cellStyle name="Moneda 3 3 64" xfId="1630" xr:uid="{00000000-0005-0000-0000-0000A9060000}"/>
    <cellStyle name="Moneda 3 3 7" xfId="1631" xr:uid="{00000000-0005-0000-0000-0000AA060000}"/>
    <cellStyle name="Moneda 3 3 7 2" xfId="1632" xr:uid="{00000000-0005-0000-0000-0000AB060000}"/>
    <cellStyle name="Moneda 3 3 8" xfId="1633" xr:uid="{00000000-0005-0000-0000-0000AC060000}"/>
    <cellStyle name="Moneda 3 3 8 2" xfId="1634" xr:uid="{00000000-0005-0000-0000-0000AD060000}"/>
    <cellStyle name="Moneda 3 3 9" xfId="1635" xr:uid="{00000000-0005-0000-0000-0000AE060000}"/>
    <cellStyle name="Moneda 3 3 9 2" xfId="1636" xr:uid="{00000000-0005-0000-0000-0000AF060000}"/>
    <cellStyle name="Moneda 3 30" xfId="1637" xr:uid="{00000000-0005-0000-0000-0000B0060000}"/>
    <cellStyle name="Moneda 3 30 2" xfId="1638" xr:uid="{00000000-0005-0000-0000-0000B1060000}"/>
    <cellStyle name="Moneda 3 31" xfId="1639" xr:uid="{00000000-0005-0000-0000-0000B2060000}"/>
    <cellStyle name="Moneda 3 31 2" xfId="1640" xr:uid="{00000000-0005-0000-0000-0000B3060000}"/>
    <cellStyle name="Moneda 3 32" xfId="1641" xr:uid="{00000000-0005-0000-0000-0000B4060000}"/>
    <cellStyle name="Moneda 3 32 2" xfId="1642" xr:uid="{00000000-0005-0000-0000-0000B5060000}"/>
    <cellStyle name="Moneda 3 33" xfId="1643" xr:uid="{00000000-0005-0000-0000-0000B6060000}"/>
    <cellStyle name="Moneda 3 33 2" xfId="1644" xr:uid="{00000000-0005-0000-0000-0000B7060000}"/>
    <cellStyle name="Moneda 3 34" xfId="1645" xr:uid="{00000000-0005-0000-0000-0000B8060000}"/>
    <cellStyle name="Moneda 3 34 2" xfId="1646" xr:uid="{00000000-0005-0000-0000-0000B9060000}"/>
    <cellStyle name="Moneda 3 35" xfId="1647" xr:uid="{00000000-0005-0000-0000-0000BA060000}"/>
    <cellStyle name="Moneda 3 35 2" xfId="1648" xr:uid="{00000000-0005-0000-0000-0000BB060000}"/>
    <cellStyle name="Moneda 3 36" xfId="1649" xr:uid="{00000000-0005-0000-0000-0000BC060000}"/>
    <cellStyle name="Moneda 3 36 2" xfId="1650" xr:uid="{00000000-0005-0000-0000-0000BD060000}"/>
    <cellStyle name="Moneda 3 36 2 2" xfId="1651" xr:uid="{00000000-0005-0000-0000-0000BE060000}"/>
    <cellStyle name="Moneda 3 36 3" xfId="1652" xr:uid="{00000000-0005-0000-0000-0000BF060000}"/>
    <cellStyle name="Moneda 3 37" xfId="1653" xr:uid="{00000000-0005-0000-0000-0000C0060000}"/>
    <cellStyle name="Moneda 3 38" xfId="1654" xr:uid="{00000000-0005-0000-0000-0000C1060000}"/>
    <cellStyle name="Moneda 3 39" xfId="1655" xr:uid="{00000000-0005-0000-0000-0000C2060000}"/>
    <cellStyle name="Moneda 3 4" xfId="63" xr:uid="{00000000-0005-0000-0000-0000C3060000}"/>
    <cellStyle name="Moneda 3 4 10" xfId="1656" xr:uid="{00000000-0005-0000-0000-0000C4060000}"/>
    <cellStyle name="Moneda 3 4 10 2" xfId="1657" xr:uid="{00000000-0005-0000-0000-0000C5060000}"/>
    <cellStyle name="Moneda 3 4 11" xfId="1658" xr:uid="{00000000-0005-0000-0000-0000C6060000}"/>
    <cellStyle name="Moneda 3 4 11 2" xfId="1659" xr:uid="{00000000-0005-0000-0000-0000C7060000}"/>
    <cellStyle name="Moneda 3 4 12" xfId="1660" xr:uid="{00000000-0005-0000-0000-0000C8060000}"/>
    <cellStyle name="Moneda 3 4 12 2" xfId="1661" xr:uid="{00000000-0005-0000-0000-0000C9060000}"/>
    <cellStyle name="Moneda 3 4 13" xfId="1662" xr:uid="{00000000-0005-0000-0000-0000CA060000}"/>
    <cellStyle name="Moneda 3 4 13 2" xfId="1663" xr:uid="{00000000-0005-0000-0000-0000CB060000}"/>
    <cellStyle name="Moneda 3 4 14" xfId="1664" xr:uid="{00000000-0005-0000-0000-0000CC060000}"/>
    <cellStyle name="Moneda 3 4 14 2" xfId="1665" xr:uid="{00000000-0005-0000-0000-0000CD060000}"/>
    <cellStyle name="Moneda 3 4 15" xfId="1666" xr:uid="{00000000-0005-0000-0000-0000CE060000}"/>
    <cellStyle name="Moneda 3 4 15 2" xfId="1667" xr:uid="{00000000-0005-0000-0000-0000CF060000}"/>
    <cellStyle name="Moneda 3 4 16" xfId="1668" xr:uid="{00000000-0005-0000-0000-0000D0060000}"/>
    <cellStyle name="Moneda 3 4 16 2" xfId="1669" xr:uid="{00000000-0005-0000-0000-0000D1060000}"/>
    <cellStyle name="Moneda 3 4 17" xfId="1670" xr:uid="{00000000-0005-0000-0000-0000D2060000}"/>
    <cellStyle name="Moneda 3 4 17 2" xfId="1671" xr:uid="{00000000-0005-0000-0000-0000D3060000}"/>
    <cellStyle name="Moneda 3 4 18" xfId="1672" xr:uid="{00000000-0005-0000-0000-0000D4060000}"/>
    <cellStyle name="Moneda 3 4 18 2" xfId="1673" xr:uid="{00000000-0005-0000-0000-0000D5060000}"/>
    <cellStyle name="Moneda 3 4 19" xfId="1674" xr:uid="{00000000-0005-0000-0000-0000D6060000}"/>
    <cellStyle name="Moneda 3 4 19 2" xfId="1675" xr:uid="{00000000-0005-0000-0000-0000D7060000}"/>
    <cellStyle name="Moneda 3 4 2" xfId="1676" xr:uid="{00000000-0005-0000-0000-0000D8060000}"/>
    <cellStyle name="Moneda 3 4 2 2" xfId="1677" xr:uid="{00000000-0005-0000-0000-0000D9060000}"/>
    <cellStyle name="Moneda 3 4 20" xfId="1678" xr:uid="{00000000-0005-0000-0000-0000DA060000}"/>
    <cellStyle name="Moneda 3 4 20 2" xfId="1679" xr:uid="{00000000-0005-0000-0000-0000DB060000}"/>
    <cellStyle name="Moneda 3 4 21" xfId="1680" xr:uid="{00000000-0005-0000-0000-0000DC060000}"/>
    <cellStyle name="Moneda 3 4 21 2" xfId="1681" xr:uid="{00000000-0005-0000-0000-0000DD060000}"/>
    <cellStyle name="Moneda 3 4 22" xfId="1682" xr:uid="{00000000-0005-0000-0000-0000DE060000}"/>
    <cellStyle name="Moneda 3 4 22 2" xfId="1683" xr:uid="{00000000-0005-0000-0000-0000DF060000}"/>
    <cellStyle name="Moneda 3 4 23" xfId="1684" xr:uid="{00000000-0005-0000-0000-0000E0060000}"/>
    <cellStyle name="Moneda 3 4 23 2" xfId="1685" xr:uid="{00000000-0005-0000-0000-0000E1060000}"/>
    <cellStyle name="Moneda 3 4 24" xfId="1686" xr:uid="{00000000-0005-0000-0000-0000E2060000}"/>
    <cellStyle name="Moneda 3 4 24 2" xfId="1687" xr:uid="{00000000-0005-0000-0000-0000E3060000}"/>
    <cellStyle name="Moneda 3 4 25" xfId="1688" xr:uid="{00000000-0005-0000-0000-0000E4060000}"/>
    <cellStyle name="Moneda 3 4 25 2" xfId="1689" xr:uid="{00000000-0005-0000-0000-0000E5060000}"/>
    <cellStyle name="Moneda 3 4 26" xfId="1690" xr:uid="{00000000-0005-0000-0000-0000E6060000}"/>
    <cellStyle name="Moneda 3 4 26 2" xfId="1691" xr:uid="{00000000-0005-0000-0000-0000E7060000}"/>
    <cellStyle name="Moneda 3 4 27" xfId="1692" xr:uid="{00000000-0005-0000-0000-0000E8060000}"/>
    <cellStyle name="Moneda 3 4 27 2" xfId="1693" xr:uid="{00000000-0005-0000-0000-0000E9060000}"/>
    <cellStyle name="Moneda 3 4 28" xfId="1694" xr:uid="{00000000-0005-0000-0000-0000EA060000}"/>
    <cellStyle name="Moneda 3 4 28 2" xfId="1695" xr:uid="{00000000-0005-0000-0000-0000EB060000}"/>
    <cellStyle name="Moneda 3 4 29" xfId="1696" xr:uid="{00000000-0005-0000-0000-0000EC060000}"/>
    <cellStyle name="Moneda 3 4 29 2" xfId="1697" xr:uid="{00000000-0005-0000-0000-0000ED060000}"/>
    <cellStyle name="Moneda 3 4 3" xfId="1698" xr:uid="{00000000-0005-0000-0000-0000EE060000}"/>
    <cellStyle name="Moneda 3 4 3 2" xfId="1699" xr:uid="{00000000-0005-0000-0000-0000EF060000}"/>
    <cellStyle name="Moneda 3 4 30" xfId="1700" xr:uid="{00000000-0005-0000-0000-0000F0060000}"/>
    <cellStyle name="Moneda 3 4 30 2" xfId="1701" xr:uid="{00000000-0005-0000-0000-0000F1060000}"/>
    <cellStyle name="Moneda 3 4 31" xfId="1702" xr:uid="{00000000-0005-0000-0000-0000F2060000}"/>
    <cellStyle name="Moneda 3 4 31 2" xfId="1703" xr:uid="{00000000-0005-0000-0000-0000F3060000}"/>
    <cellStyle name="Moneda 3 4 32" xfId="1704" xr:uid="{00000000-0005-0000-0000-0000F4060000}"/>
    <cellStyle name="Moneda 3 4 32 2" xfId="1705" xr:uid="{00000000-0005-0000-0000-0000F5060000}"/>
    <cellStyle name="Moneda 3 4 33" xfId="1706" xr:uid="{00000000-0005-0000-0000-0000F6060000}"/>
    <cellStyle name="Moneda 3 4 33 2" xfId="1707" xr:uid="{00000000-0005-0000-0000-0000F7060000}"/>
    <cellStyle name="Moneda 3 4 34" xfId="1708" xr:uid="{00000000-0005-0000-0000-0000F8060000}"/>
    <cellStyle name="Moneda 3 4 35" xfId="1709" xr:uid="{00000000-0005-0000-0000-0000F9060000}"/>
    <cellStyle name="Moneda 3 4 36" xfId="1710" xr:uid="{00000000-0005-0000-0000-0000FA060000}"/>
    <cellStyle name="Moneda 3 4 37" xfId="1711" xr:uid="{00000000-0005-0000-0000-0000FB060000}"/>
    <cellStyle name="Moneda 3 4 38" xfId="1712" xr:uid="{00000000-0005-0000-0000-0000FC060000}"/>
    <cellStyle name="Moneda 3 4 39" xfId="1713" xr:uid="{00000000-0005-0000-0000-0000FD060000}"/>
    <cellStyle name="Moneda 3 4 4" xfId="1714" xr:uid="{00000000-0005-0000-0000-0000FE060000}"/>
    <cellStyle name="Moneda 3 4 4 2" xfId="1715" xr:uid="{00000000-0005-0000-0000-0000FF060000}"/>
    <cellStyle name="Moneda 3 4 40" xfId="1716" xr:uid="{00000000-0005-0000-0000-000000070000}"/>
    <cellStyle name="Moneda 3 4 41" xfId="1717" xr:uid="{00000000-0005-0000-0000-000001070000}"/>
    <cellStyle name="Moneda 3 4 42" xfId="1718" xr:uid="{00000000-0005-0000-0000-000002070000}"/>
    <cellStyle name="Moneda 3 4 43" xfId="1719" xr:uid="{00000000-0005-0000-0000-000003070000}"/>
    <cellStyle name="Moneda 3 4 44" xfId="1720" xr:uid="{00000000-0005-0000-0000-000004070000}"/>
    <cellStyle name="Moneda 3 4 45" xfId="1721" xr:uid="{00000000-0005-0000-0000-000005070000}"/>
    <cellStyle name="Moneda 3 4 46" xfId="1722" xr:uid="{00000000-0005-0000-0000-000006070000}"/>
    <cellStyle name="Moneda 3 4 47" xfId="1723" xr:uid="{00000000-0005-0000-0000-000007070000}"/>
    <cellStyle name="Moneda 3 4 48" xfId="1724" xr:uid="{00000000-0005-0000-0000-000008070000}"/>
    <cellStyle name="Moneda 3 4 49" xfId="1725" xr:uid="{00000000-0005-0000-0000-000009070000}"/>
    <cellStyle name="Moneda 3 4 5" xfId="1726" xr:uid="{00000000-0005-0000-0000-00000A070000}"/>
    <cellStyle name="Moneda 3 4 5 2" xfId="1727" xr:uid="{00000000-0005-0000-0000-00000B070000}"/>
    <cellStyle name="Moneda 3 4 50" xfId="1728" xr:uid="{00000000-0005-0000-0000-00000C070000}"/>
    <cellStyle name="Moneda 3 4 51" xfId="1729" xr:uid="{00000000-0005-0000-0000-00000D070000}"/>
    <cellStyle name="Moneda 3 4 52" xfId="1730" xr:uid="{00000000-0005-0000-0000-00000E070000}"/>
    <cellStyle name="Moneda 3 4 53" xfId="1731" xr:uid="{00000000-0005-0000-0000-00000F070000}"/>
    <cellStyle name="Moneda 3 4 54" xfId="1732" xr:uid="{00000000-0005-0000-0000-000010070000}"/>
    <cellStyle name="Moneda 3 4 55" xfId="1733" xr:uid="{00000000-0005-0000-0000-000011070000}"/>
    <cellStyle name="Moneda 3 4 56" xfId="1734" xr:uid="{00000000-0005-0000-0000-000012070000}"/>
    <cellStyle name="Moneda 3 4 57" xfId="1735" xr:uid="{00000000-0005-0000-0000-000013070000}"/>
    <cellStyle name="Moneda 3 4 58" xfId="1736" xr:uid="{00000000-0005-0000-0000-000014070000}"/>
    <cellStyle name="Moneda 3 4 59" xfId="1737" xr:uid="{00000000-0005-0000-0000-000015070000}"/>
    <cellStyle name="Moneda 3 4 6" xfId="1738" xr:uid="{00000000-0005-0000-0000-000016070000}"/>
    <cellStyle name="Moneda 3 4 6 2" xfId="1739" xr:uid="{00000000-0005-0000-0000-000017070000}"/>
    <cellStyle name="Moneda 3 4 60" xfId="1740" xr:uid="{00000000-0005-0000-0000-000018070000}"/>
    <cellStyle name="Moneda 3 4 61" xfId="1741" xr:uid="{00000000-0005-0000-0000-000019070000}"/>
    <cellStyle name="Moneda 3 4 62" xfId="1742" xr:uid="{00000000-0005-0000-0000-00001A070000}"/>
    <cellStyle name="Moneda 3 4 63" xfId="1743" xr:uid="{00000000-0005-0000-0000-00001B070000}"/>
    <cellStyle name="Moneda 3 4 64" xfId="1744" xr:uid="{00000000-0005-0000-0000-00001C070000}"/>
    <cellStyle name="Moneda 3 4 7" xfId="1745" xr:uid="{00000000-0005-0000-0000-00001D070000}"/>
    <cellStyle name="Moneda 3 4 7 2" xfId="1746" xr:uid="{00000000-0005-0000-0000-00001E070000}"/>
    <cellStyle name="Moneda 3 4 8" xfId="1747" xr:uid="{00000000-0005-0000-0000-00001F070000}"/>
    <cellStyle name="Moneda 3 4 8 2" xfId="1748" xr:uid="{00000000-0005-0000-0000-000020070000}"/>
    <cellStyle name="Moneda 3 4 9" xfId="1749" xr:uid="{00000000-0005-0000-0000-000021070000}"/>
    <cellStyle name="Moneda 3 4 9 2" xfId="1750" xr:uid="{00000000-0005-0000-0000-000022070000}"/>
    <cellStyle name="Moneda 3 40" xfId="1751" xr:uid="{00000000-0005-0000-0000-000023070000}"/>
    <cellStyle name="Moneda 3 41" xfId="1752" xr:uid="{00000000-0005-0000-0000-000024070000}"/>
    <cellStyle name="Moneda 3 42" xfId="1753" xr:uid="{00000000-0005-0000-0000-000025070000}"/>
    <cellStyle name="Moneda 3 43" xfId="1754" xr:uid="{00000000-0005-0000-0000-000026070000}"/>
    <cellStyle name="Moneda 3 44" xfId="1755" xr:uid="{00000000-0005-0000-0000-000027070000}"/>
    <cellStyle name="Moneda 3 45" xfId="1756" xr:uid="{00000000-0005-0000-0000-000028070000}"/>
    <cellStyle name="Moneda 3 46" xfId="1757" xr:uid="{00000000-0005-0000-0000-000029070000}"/>
    <cellStyle name="Moneda 3 47" xfId="1758" xr:uid="{00000000-0005-0000-0000-00002A070000}"/>
    <cellStyle name="Moneda 3 48" xfId="1759" xr:uid="{00000000-0005-0000-0000-00002B070000}"/>
    <cellStyle name="Moneda 3 49" xfId="1760" xr:uid="{00000000-0005-0000-0000-00002C070000}"/>
    <cellStyle name="Moneda 3 5" xfId="64" xr:uid="{00000000-0005-0000-0000-00002D070000}"/>
    <cellStyle name="Moneda 3 5 10" xfId="1761" xr:uid="{00000000-0005-0000-0000-00002E070000}"/>
    <cellStyle name="Moneda 3 5 11" xfId="1762" xr:uid="{00000000-0005-0000-0000-00002F070000}"/>
    <cellStyle name="Moneda 3 5 12" xfId="1763" xr:uid="{00000000-0005-0000-0000-000030070000}"/>
    <cellStyle name="Moneda 3 5 13" xfId="1764" xr:uid="{00000000-0005-0000-0000-000031070000}"/>
    <cellStyle name="Moneda 3 5 14" xfId="1765" xr:uid="{00000000-0005-0000-0000-000032070000}"/>
    <cellStyle name="Moneda 3 5 15" xfId="1766" xr:uid="{00000000-0005-0000-0000-000033070000}"/>
    <cellStyle name="Moneda 3 5 16" xfId="1767" xr:uid="{00000000-0005-0000-0000-000034070000}"/>
    <cellStyle name="Moneda 3 5 17" xfId="1768" xr:uid="{00000000-0005-0000-0000-000035070000}"/>
    <cellStyle name="Moneda 3 5 18" xfId="1769" xr:uid="{00000000-0005-0000-0000-000036070000}"/>
    <cellStyle name="Moneda 3 5 19" xfId="1770" xr:uid="{00000000-0005-0000-0000-000037070000}"/>
    <cellStyle name="Moneda 3 5 2" xfId="1771" xr:uid="{00000000-0005-0000-0000-000038070000}"/>
    <cellStyle name="Moneda 3 5 2 2" xfId="1772" xr:uid="{00000000-0005-0000-0000-000039070000}"/>
    <cellStyle name="Moneda 3 5 20" xfId="1773" xr:uid="{00000000-0005-0000-0000-00003A070000}"/>
    <cellStyle name="Moneda 3 5 21" xfId="1774" xr:uid="{00000000-0005-0000-0000-00003B070000}"/>
    <cellStyle name="Moneda 3 5 22" xfId="1775" xr:uid="{00000000-0005-0000-0000-00003C070000}"/>
    <cellStyle name="Moneda 3 5 23" xfId="1776" xr:uid="{00000000-0005-0000-0000-00003D070000}"/>
    <cellStyle name="Moneda 3 5 24" xfId="1777" xr:uid="{00000000-0005-0000-0000-00003E070000}"/>
    <cellStyle name="Moneda 3 5 25" xfId="1778" xr:uid="{00000000-0005-0000-0000-00003F070000}"/>
    <cellStyle name="Moneda 3 5 26" xfId="1779" xr:uid="{00000000-0005-0000-0000-000040070000}"/>
    <cellStyle name="Moneda 3 5 27" xfId="1780" xr:uid="{00000000-0005-0000-0000-000041070000}"/>
    <cellStyle name="Moneda 3 5 28" xfId="1781" xr:uid="{00000000-0005-0000-0000-000042070000}"/>
    <cellStyle name="Moneda 3 5 29" xfId="1782" xr:uid="{00000000-0005-0000-0000-000043070000}"/>
    <cellStyle name="Moneda 3 5 3" xfId="1783" xr:uid="{00000000-0005-0000-0000-000044070000}"/>
    <cellStyle name="Moneda 3 5 30" xfId="1784" xr:uid="{00000000-0005-0000-0000-000045070000}"/>
    <cellStyle name="Moneda 3 5 31" xfId="1785" xr:uid="{00000000-0005-0000-0000-000046070000}"/>
    <cellStyle name="Moneda 3 5 32" xfId="1786" xr:uid="{00000000-0005-0000-0000-000047070000}"/>
    <cellStyle name="Moneda 3 5 4" xfId="1787" xr:uid="{00000000-0005-0000-0000-000048070000}"/>
    <cellStyle name="Moneda 3 5 5" xfId="1788" xr:uid="{00000000-0005-0000-0000-000049070000}"/>
    <cellStyle name="Moneda 3 5 6" xfId="1789" xr:uid="{00000000-0005-0000-0000-00004A070000}"/>
    <cellStyle name="Moneda 3 5 7" xfId="1790" xr:uid="{00000000-0005-0000-0000-00004B070000}"/>
    <cellStyle name="Moneda 3 5 8" xfId="1791" xr:uid="{00000000-0005-0000-0000-00004C070000}"/>
    <cellStyle name="Moneda 3 5 9" xfId="1792" xr:uid="{00000000-0005-0000-0000-00004D070000}"/>
    <cellStyle name="Moneda 3 50" xfId="1793" xr:uid="{00000000-0005-0000-0000-00004E070000}"/>
    <cellStyle name="Moneda 3 51" xfId="1794" xr:uid="{00000000-0005-0000-0000-00004F070000}"/>
    <cellStyle name="Moneda 3 52" xfId="1795" xr:uid="{00000000-0005-0000-0000-000050070000}"/>
    <cellStyle name="Moneda 3 53" xfId="1796" xr:uid="{00000000-0005-0000-0000-000051070000}"/>
    <cellStyle name="Moneda 3 54" xfId="1797" xr:uid="{00000000-0005-0000-0000-000052070000}"/>
    <cellStyle name="Moneda 3 55" xfId="1798" xr:uid="{00000000-0005-0000-0000-000053070000}"/>
    <cellStyle name="Moneda 3 56" xfId="1799" xr:uid="{00000000-0005-0000-0000-000054070000}"/>
    <cellStyle name="Moneda 3 57" xfId="1800" xr:uid="{00000000-0005-0000-0000-000055070000}"/>
    <cellStyle name="Moneda 3 58" xfId="1801" xr:uid="{00000000-0005-0000-0000-000056070000}"/>
    <cellStyle name="Moneda 3 59" xfId="1802" xr:uid="{00000000-0005-0000-0000-000057070000}"/>
    <cellStyle name="Moneda 3 6" xfId="1803" xr:uid="{00000000-0005-0000-0000-000058070000}"/>
    <cellStyle name="Moneda 3 6 2" xfId="1804" xr:uid="{00000000-0005-0000-0000-000059070000}"/>
    <cellStyle name="Moneda 3 6 2 2" xfId="1805" xr:uid="{00000000-0005-0000-0000-00005A070000}"/>
    <cellStyle name="Moneda 3 6 3" xfId="1806" xr:uid="{00000000-0005-0000-0000-00005B070000}"/>
    <cellStyle name="Moneda 3 6 3 2" xfId="1807" xr:uid="{00000000-0005-0000-0000-00005C070000}"/>
    <cellStyle name="Moneda 3 6 4" xfId="1808" xr:uid="{00000000-0005-0000-0000-00005D070000}"/>
    <cellStyle name="Moneda 3 6 4 2" xfId="1809" xr:uid="{00000000-0005-0000-0000-00005E070000}"/>
    <cellStyle name="Moneda 3 6 5" xfId="1810" xr:uid="{00000000-0005-0000-0000-00005F070000}"/>
    <cellStyle name="Moneda 3 60" xfId="1811" xr:uid="{00000000-0005-0000-0000-000060070000}"/>
    <cellStyle name="Moneda 3 61" xfId="1812" xr:uid="{00000000-0005-0000-0000-000061070000}"/>
    <cellStyle name="Moneda 3 62" xfId="1813" xr:uid="{00000000-0005-0000-0000-000062070000}"/>
    <cellStyle name="Moneda 3 63" xfId="1814" xr:uid="{00000000-0005-0000-0000-000063070000}"/>
    <cellStyle name="Moneda 3 64" xfId="1815" xr:uid="{00000000-0005-0000-0000-000064070000}"/>
    <cellStyle name="Moneda 3 65" xfId="1816" xr:uid="{00000000-0005-0000-0000-000065070000}"/>
    <cellStyle name="Moneda 3 66" xfId="1817" xr:uid="{00000000-0005-0000-0000-000066070000}"/>
    <cellStyle name="Moneda 3 67" xfId="1818" xr:uid="{00000000-0005-0000-0000-000067070000}"/>
    <cellStyle name="Moneda 3 68" xfId="1819" xr:uid="{00000000-0005-0000-0000-000068070000}"/>
    <cellStyle name="Moneda 3 68 2" xfId="1820" xr:uid="{00000000-0005-0000-0000-000069070000}"/>
    <cellStyle name="Moneda 3 69" xfId="1821" xr:uid="{00000000-0005-0000-0000-00006A070000}"/>
    <cellStyle name="Moneda 3 7" xfId="1822" xr:uid="{00000000-0005-0000-0000-00006B070000}"/>
    <cellStyle name="Moneda 3 7 2" xfId="1823" xr:uid="{00000000-0005-0000-0000-00006C070000}"/>
    <cellStyle name="Moneda 3 7 2 2" xfId="1824" xr:uid="{00000000-0005-0000-0000-00006D070000}"/>
    <cellStyle name="Moneda 3 7 3" xfId="1825" xr:uid="{00000000-0005-0000-0000-00006E070000}"/>
    <cellStyle name="Moneda 3 8" xfId="1826" xr:uid="{00000000-0005-0000-0000-00006F070000}"/>
    <cellStyle name="Moneda 3 8 2" xfId="1827" xr:uid="{00000000-0005-0000-0000-000070070000}"/>
    <cellStyle name="Moneda 3 9" xfId="1828" xr:uid="{00000000-0005-0000-0000-000071070000}"/>
    <cellStyle name="Moneda 3 9 2" xfId="1829" xr:uid="{00000000-0005-0000-0000-000072070000}"/>
    <cellStyle name="Moneda 4" xfId="65" xr:uid="{00000000-0005-0000-0000-000073070000}"/>
    <cellStyle name="Moneda 4 10" xfId="1830" xr:uid="{00000000-0005-0000-0000-000074070000}"/>
    <cellStyle name="Moneda 4 10 2" xfId="1831" xr:uid="{00000000-0005-0000-0000-000075070000}"/>
    <cellStyle name="Moneda 4 11" xfId="1832" xr:uid="{00000000-0005-0000-0000-000076070000}"/>
    <cellStyle name="Moneda 4 11 2" xfId="1833" xr:uid="{00000000-0005-0000-0000-000077070000}"/>
    <cellStyle name="Moneda 4 12" xfId="1834" xr:uid="{00000000-0005-0000-0000-000078070000}"/>
    <cellStyle name="Moneda 4 12 2" xfId="1835" xr:uid="{00000000-0005-0000-0000-000079070000}"/>
    <cellStyle name="Moneda 4 13" xfId="1836" xr:uid="{00000000-0005-0000-0000-00007A070000}"/>
    <cellStyle name="Moneda 4 13 2" xfId="1837" xr:uid="{00000000-0005-0000-0000-00007B070000}"/>
    <cellStyle name="Moneda 4 14" xfId="1838" xr:uid="{00000000-0005-0000-0000-00007C070000}"/>
    <cellStyle name="Moneda 4 14 2" xfId="1839" xr:uid="{00000000-0005-0000-0000-00007D070000}"/>
    <cellStyle name="Moneda 4 15" xfId="1840" xr:uid="{00000000-0005-0000-0000-00007E070000}"/>
    <cellStyle name="Moneda 4 15 2" xfId="1841" xr:uid="{00000000-0005-0000-0000-00007F070000}"/>
    <cellStyle name="Moneda 4 16" xfId="1842" xr:uid="{00000000-0005-0000-0000-000080070000}"/>
    <cellStyle name="Moneda 4 16 2" xfId="1843" xr:uid="{00000000-0005-0000-0000-000081070000}"/>
    <cellStyle name="Moneda 4 17" xfId="1844" xr:uid="{00000000-0005-0000-0000-000082070000}"/>
    <cellStyle name="Moneda 4 17 2" xfId="1845" xr:uid="{00000000-0005-0000-0000-000083070000}"/>
    <cellStyle name="Moneda 4 18" xfId="1846" xr:uid="{00000000-0005-0000-0000-000084070000}"/>
    <cellStyle name="Moneda 4 18 2" xfId="1847" xr:uid="{00000000-0005-0000-0000-000085070000}"/>
    <cellStyle name="Moneda 4 19" xfId="1848" xr:uid="{00000000-0005-0000-0000-000086070000}"/>
    <cellStyle name="Moneda 4 19 2" xfId="1849" xr:uid="{00000000-0005-0000-0000-000087070000}"/>
    <cellStyle name="Moneda 4 2" xfId="66" xr:uid="{00000000-0005-0000-0000-000088070000}"/>
    <cellStyle name="Moneda 4 2 10" xfId="1850" xr:uid="{00000000-0005-0000-0000-000089070000}"/>
    <cellStyle name="Moneda 4 2 10 2" xfId="1851" xr:uid="{00000000-0005-0000-0000-00008A070000}"/>
    <cellStyle name="Moneda 4 2 11" xfId="1852" xr:uid="{00000000-0005-0000-0000-00008B070000}"/>
    <cellStyle name="Moneda 4 2 11 2" xfId="1853" xr:uid="{00000000-0005-0000-0000-00008C070000}"/>
    <cellStyle name="Moneda 4 2 12" xfId="1854" xr:uid="{00000000-0005-0000-0000-00008D070000}"/>
    <cellStyle name="Moneda 4 2 12 2" xfId="1855" xr:uid="{00000000-0005-0000-0000-00008E070000}"/>
    <cellStyle name="Moneda 4 2 13" xfId="1856" xr:uid="{00000000-0005-0000-0000-00008F070000}"/>
    <cellStyle name="Moneda 4 2 13 2" xfId="1857" xr:uid="{00000000-0005-0000-0000-000090070000}"/>
    <cellStyle name="Moneda 4 2 14" xfId="1858" xr:uid="{00000000-0005-0000-0000-000091070000}"/>
    <cellStyle name="Moneda 4 2 14 2" xfId="1859" xr:uid="{00000000-0005-0000-0000-000092070000}"/>
    <cellStyle name="Moneda 4 2 15" xfId="1860" xr:uid="{00000000-0005-0000-0000-000093070000}"/>
    <cellStyle name="Moneda 4 2 15 2" xfId="1861" xr:uid="{00000000-0005-0000-0000-000094070000}"/>
    <cellStyle name="Moneda 4 2 16" xfId="1862" xr:uid="{00000000-0005-0000-0000-000095070000}"/>
    <cellStyle name="Moneda 4 2 16 2" xfId="1863" xr:uid="{00000000-0005-0000-0000-000096070000}"/>
    <cellStyle name="Moneda 4 2 17" xfId="1864" xr:uid="{00000000-0005-0000-0000-000097070000}"/>
    <cellStyle name="Moneda 4 2 17 2" xfId="1865" xr:uid="{00000000-0005-0000-0000-000098070000}"/>
    <cellStyle name="Moneda 4 2 18" xfId="1866" xr:uid="{00000000-0005-0000-0000-000099070000}"/>
    <cellStyle name="Moneda 4 2 18 2" xfId="1867" xr:uid="{00000000-0005-0000-0000-00009A070000}"/>
    <cellStyle name="Moneda 4 2 19" xfId="1868" xr:uid="{00000000-0005-0000-0000-00009B070000}"/>
    <cellStyle name="Moneda 4 2 19 2" xfId="1869" xr:uid="{00000000-0005-0000-0000-00009C070000}"/>
    <cellStyle name="Moneda 4 2 2" xfId="1870" xr:uid="{00000000-0005-0000-0000-00009D070000}"/>
    <cellStyle name="Moneda 4 2 2 2" xfId="1871" xr:uid="{00000000-0005-0000-0000-00009E070000}"/>
    <cellStyle name="Moneda 4 2 20" xfId="1872" xr:uid="{00000000-0005-0000-0000-00009F070000}"/>
    <cellStyle name="Moneda 4 2 20 2" xfId="1873" xr:uid="{00000000-0005-0000-0000-0000A0070000}"/>
    <cellStyle name="Moneda 4 2 21" xfId="1874" xr:uid="{00000000-0005-0000-0000-0000A1070000}"/>
    <cellStyle name="Moneda 4 2 21 2" xfId="1875" xr:uid="{00000000-0005-0000-0000-0000A2070000}"/>
    <cellStyle name="Moneda 4 2 22" xfId="1876" xr:uid="{00000000-0005-0000-0000-0000A3070000}"/>
    <cellStyle name="Moneda 4 2 22 2" xfId="1877" xr:uid="{00000000-0005-0000-0000-0000A4070000}"/>
    <cellStyle name="Moneda 4 2 23" xfId="1878" xr:uid="{00000000-0005-0000-0000-0000A5070000}"/>
    <cellStyle name="Moneda 4 2 23 2" xfId="1879" xr:uid="{00000000-0005-0000-0000-0000A6070000}"/>
    <cellStyle name="Moneda 4 2 24" xfId="1880" xr:uid="{00000000-0005-0000-0000-0000A7070000}"/>
    <cellStyle name="Moneda 4 2 24 2" xfId="1881" xr:uid="{00000000-0005-0000-0000-0000A8070000}"/>
    <cellStyle name="Moneda 4 2 25" xfId="1882" xr:uid="{00000000-0005-0000-0000-0000A9070000}"/>
    <cellStyle name="Moneda 4 2 25 2" xfId="1883" xr:uid="{00000000-0005-0000-0000-0000AA070000}"/>
    <cellStyle name="Moneda 4 2 26" xfId="1884" xr:uid="{00000000-0005-0000-0000-0000AB070000}"/>
    <cellStyle name="Moneda 4 2 26 2" xfId="1885" xr:uid="{00000000-0005-0000-0000-0000AC070000}"/>
    <cellStyle name="Moneda 4 2 27" xfId="1886" xr:uid="{00000000-0005-0000-0000-0000AD070000}"/>
    <cellStyle name="Moneda 4 2 27 2" xfId="1887" xr:uid="{00000000-0005-0000-0000-0000AE070000}"/>
    <cellStyle name="Moneda 4 2 28" xfId="1888" xr:uid="{00000000-0005-0000-0000-0000AF070000}"/>
    <cellStyle name="Moneda 4 2 28 2" xfId="1889" xr:uid="{00000000-0005-0000-0000-0000B0070000}"/>
    <cellStyle name="Moneda 4 2 29" xfId="1890" xr:uid="{00000000-0005-0000-0000-0000B1070000}"/>
    <cellStyle name="Moneda 4 2 29 2" xfId="1891" xr:uid="{00000000-0005-0000-0000-0000B2070000}"/>
    <cellStyle name="Moneda 4 2 3" xfId="1892" xr:uid="{00000000-0005-0000-0000-0000B3070000}"/>
    <cellStyle name="Moneda 4 2 3 2" xfId="1893" xr:uid="{00000000-0005-0000-0000-0000B4070000}"/>
    <cellStyle name="Moneda 4 2 30" xfId="1894" xr:uid="{00000000-0005-0000-0000-0000B5070000}"/>
    <cellStyle name="Moneda 4 2 30 2" xfId="1895" xr:uid="{00000000-0005-0000-0000-0000B6070000}"/>
    <cellStyle name="Moneda 4 2 31" xfId="1896" xr:uid="{00000000-0005-0000-0000-0000B7070000}"/>
    <cellStyle name="Moneda 4 2 31 2" xfId="1897" xr:uid="{00000000-0005-0000-0000-0000B8070000}"/>
    <cellStyle name="Moneda 4 2 32" xfId="1898" xr:uid="{00000000-0005-0000-0000-0000B9070000}"/>
    <cellStyle name="Moneda 4 2 32 2" xfId="1899" xr:uid="{00000000-0005-0000-0000-0000BA070000}"/>
    <cellStyle name="Moneda 4 2 33" xfId="1900" xr:uid="{00000000-0005-0000-0000-0000BB070000}"/>
    <cellStyle name="Moneda 4 2 33 2" xfId="1901" xr:uid="{00000000-0005-0000-0000-0000BC070000}"/>
    <cellStyle name="Moneda 4 2 34" xfId="1902" xr:uid="{00000000-0005-0000-0000-0000BD070000}"/>
    <cellStyle name="Moneda 4 2 35" xfId="1903" xr:uid="{00000000-0005-0000-0000-0000BE070000}"/>
    <cellStyle name="Moneda 4 2 36" xfId="1904" xr:uid="{00000000-0005-0000-0000-0000BF070000}"/>
    <cellStyle name="Moneda 4 2 37" xfId="1905" xr:uid="{00000000-0005-0000-0000-0000C0070000}"/>
    <cellStyle name="Moneda 4 2 38" xfId="1906" xr:uid="{00000000-0005-0000-0000-0000C1070000}"/>
    <cellStyle name="Moneda 4 2 39" xfId="1907" xr:uid="{00000000-0005-0000-0000-0000C2070000}"/>
    <cellStyle name="Moneda 4 2 4" xfId="1908" xr:uid="{00000000-0005-0000-0000-0000C3070000}"/>
    <cellStyle name="Moneda 4 2 4 2" xfId="1909" xr:uid="{00000000-0005-0000-0000-0000C4070000}"/>
    <cellStyle name="Moneda 4 2 40" xfId="1910" xr:uid="{00000000-0005-0000-0000-0000C5070000}"/>
    <cellStyle name="Moneda 4 2 41" xfId="1911" xr:uid="{00000000-0005-0000-0000-0000C6070000}"/>
    <cellStyle name="Moneda 4 2 42" xfId="1912" xr:uid="{00000000-0005-0000-0000-0000C7070000}"/>
    <cellStyle name="Moneda 4 2 43" xfId="1913" xr:uid="{00000000-0005-0000-0000-0000C8070000}"/>
    <cellStyle name="Moneda 4 2 44" xfId="1914" xr:uid="{00000000-0005-0000-0000-0000C9070000}"/>
    <cellStyle name="Moneda 4 2 45" xfId="1915" xr:uid="{00000000-0005-0000-0000-0000CA070000}"/>
    <cellStyle name="Moneda 4 2 46" xfId="1916" xr:uid="{00000000-0005-0000-0000-0000CB070000}"/>
    <cellStyle name="Moneda 4 2 47" xfId="1917" xr:uid="{00000000-0005-0000-0000-0000CC070000}"/>
    <cellStyle name="Moneda 4 2 48" xfId="1918" xr:uid="{00000000-0005-0000-0000-0000CD070000}"/>
    <cellStyle name="Moneda 4 2 49" xfId="1919" xr:uid="{00000000-0005-0000-0000-0000CE070000}"/>
    <cellStyle name="Moneda 4 2 5" xfId="1920" xr:uid="{00000000-0005-0000-0000-0000CF070000}"/>
    <cellStyle name="Moneda 4 2 5 2" xfId="1921" xr:uid="{00000000-0005-0000-0000-0000D0070000}"/>
    <cellStyle name="Moneda 4 2 50" xfId="1922" xr:uid="{00000000-0005-0000-0000-0000D1070000}"/>
    <cellStyle name="Moneda 4 2 51" xfId="1923" xr:uid="{00000000-0005-0000-0000-0000D2070000}"/>
    <cellStyle name="Moneda 4 2 52" xfId="1924" xr:uid="{00000000-0005-0000-0000-0000D3070000}"/>
    <cellStyle name="Moneda 4 2 53" xfId="1925" xr:uid="{00000000-0005-0000-0000-0000D4070000}"/>
    <cellStyle name="Moneda 4 2 54" xfId="1926" xr:uid="{00000000-0005-0000-0000-0000D5070000}"/>
    <cellStyle name="Moneda 4 2 55" xfId="1927" xr:uid="{00000000-0005-0000-0000-0000D6070000}"/>
    <cellStyle name="Moneda 4 2 56" xfId="1928" xr:uid="{00000000-0005-0000-0000-0000D7070000}"/>
    <cellStyle name="Moneda 4 2 57" xfId="1929" xr:uid="{00000000-0005-0000-0000-0000D8070000}"/>
    <cellStyle name="Moneda 4 2 58" xfId="1930" xr:uid="{00000000-0005-0000-0000-0000D9070000}"/>
    <cellStyle name="Moneda 4 2 59" xfId="1931" xr:uid="{00000000-0005-0000-0000-0000DA070000}"/>
    <cellStyle name="Moneda 4 2 6" xfId="1932" xr:uid="{00000000-0005-0000-0000-0000DB070000}"/>
    <cellStyle name="Moneda 4 2 6 2" xfId="1933" xr:uid="{00000000-0005-0000-0000-0000DC070000}"/>
    <cellStyle name="Moneda 4 2 60" xfId="1934" xr:uid="{00000000-0005-0000-0000-0000DD070000}"/>
    <cellStyle name="Moneda 4 2 61" xfId="1935" xr:uid="{00000000-0005-0000-0000-0000DE070000}"/>
    <cellStyle name="Moneda 4 2 62" xfId="1936" xr:uid="{00000000-0005-0000-0000-0000DF070000}"/>
    <cellStyle name="Moneda 4 2 63" xfId="1937" xr:uid="{00000000-0005-0000-0000-0000E0070000}"/>
    <cellStyle name="Moneda 4 2 64" xfId="1938" xr:uid="{00000000-0005-0000-0000-0000E1070000}"/>
    <cellStyle name="Moneda 4 2 7" xfId="1939" xr:uid="{00000000-0005-0000-0000-0000E2070000}"/>
    <cellStyle name="Moneda 4 2 7 2" xfId="1940" xr:uid="{00000000-0005-0000-0000-0000E3070000}"/>
    <cellStyle name="Moneda 4 2 8" xfId="1941" xr:uid="{00000000-0005-0000-0000-0000E4070000}"/>
    <cellStyle name="Moneda 4 2 8 2" xfId="1942" xr:uid="{00000000-0005-0000-0000-0000E5070000}"/>
    <cellStyle name="Moneda 4 2 9" xfId="1943" xr:uid="{00000000-0005-0000-0000-0000E6070000}"/>
    <cellStyle name="Moneda 4 2 9 2" xfId="1944" xr:uid="{00000000-0005-0000-0000-0000E7070000}"/>
    <cellStyle name="Moneda 4 20" xfId="1945" xr:uid="{00000000-0005-0000-0000-0000E8070000}"/>
    <cellStyle name="Moneda 4 20 2" xfId="1946" xr:uid="{00000000-0005-0000-0000-0000E9070000}"/>
    <cellStyle name="Moneda 4 21" xfId="1947" xr:uid="{00000000-0005-0000-0000-0000EA070000}"/>
    <cellStyle name="Moneda 4 21 2" xfId="1948" xr:uid="{00000000-0005-0000-0000-0000EB070000}"/>
    <cellStyle name="Moneda 4 22" xfId="1949" xr:uid="{00000000-0005-0000-0000-0000EC070000}"/>
    <cellStyle name="Moneda 4 22 2" xfId="1950" xr:uid="{00000000-0005-0000-0000-0000ED070000}"/>
    <cellStyle name="Moneda 4 23" xfId="1951" xr:uid="{00000000-0005-0000-0000-0000EE070000}"/>
    <cellStyle name="Moneda 4 23 2" xfId="1952" xr:uid="{00000000-0005-0000-0000-0000EF070000}"/>
    <cellStyle name="Moneda 4 24" xfId="1953" xr:uid="{00000000-0005-0000-0000-0000F0070000}"/>
    <cellStyle name="Moneda 4 24 2" xfId="1954" xr:uid="{00000000-0005-0000-0000-0000F1070000}"/>
    <cellStyle name="Moneda 4 25" xfId="1955" xr:uid="{00000000-0005-0000-0000-0000F2070000}"/>
    <cellStyle name="Moneda 4 25 2" xfId="1956" xr:uid="{00000000-0005-0000-0000-0000F3070000}"/>
    <cellStyle name="Moneda 4 26" xfId="1957" xr:uid="{00000000-0005-0000-0000-0000F4070000}"/>
    <cellStyle name="Moneda 4 26 2" xfId="1958" xr:uid="{00000000-0005-0000-0000-0000F5070000}"/>
    <cellStyle name="Moneda 4 27" xfId="1959" xr:uid="{00000000-0005-0000-0000-0000F6070000}"/>
    <cellStyle name="Moneda 4 27 2" xfId="1960" xr:uid="{00000000-0005-0000-0000-0000F7070000}"/>
    <cellStyle name="Moneda 4 28" xfId="1961" xr:uid="{00000000-0005-0000-0000-0000F8070000}"/>
    <cellStyle name="Moneda 4 28 2" xfId="1962" xr:uid="{00000000-0005-0000-0000-0000F9070000}"/>
    <cellStyle name="Moneda 4 29" xfId="1963" xr:uid="{00000000-0005-0000-0000-0000FA070000}"/>
    <cellStyle name="Moneda 4 29 2" xfId="1964" xr:uid="{00000000-0005-0000-0000-0000FB070000}"/>
    <cellStyle name="Moneda 4 3" xfId="67" xr:uid="{00000000-0005-0000-0000-0000FC070000}"/>
    <cellStyle name="Moneda 4 3 10" xfId="1965" xr:uid="{00000000-0005-0000-0000-0000FD070000}"/>
    <cellStyle name="Moneda 4 3 10 2" xfId="1966" xr:uid="{00000000-0005-0000-0000-0000FE070000}"/>
    <cellStyle name="Moneda 4 3 11" xfId="1967" xr:uid="{00000000-0005-0000-0000-0000FF070000}"/>
    <cellStyle name="Moneda 4 3 11 2" xfId="1968" xr:uid="{00000000-0005-0000-0000-000000080000}"/>
    <cellStyle name="Moneda 4 3 12" xfId="1969" xr:uid="{00000000-0005-0000-0000-000001080000}"/>
    <cellStyle name="Moneda 4 3 12 2" xfId="1970" xr:uid="{00000000-0005-0000-0000-000002080000}"/>
    <cellStyle name="Moneda 4 3 13" xfId="1971" xr:uid="{00000000-0005-0000-0000-000003080000}"/>
    <cellStyle name="Moneda 4 3 13 2" xfId="1972" xr:uid="{00000000-0005-0000-0000-000004080000}"/>
    <cellStyle name="Moneda 4 3 14" xfId="1973" xr:uid="{00000000-0005-0000-0000-000005080000}"/>
    <cellStyle name="Moneda 4 3 14 2" xfId="1974" xr:uid="{00000000-0005-0000-0000-000006080000}"/>
    <cellStyle name="Moneda 4 3 15" xfId="1975" xr:uid="{00000000-0005-0000-0000-000007080000}"/>
    <cellStyle name="Moneda 4 3 15 2" xfId="1976" xr:uid="{00000000-0005-0000-0000-000008080000}"/>
    <cellStyle name="Moneda 4 3 16" xfId="1977" xr:uid="{00000000-0005-0000-0000-000009080000}"/>
    <cellStyle name="Moneda 4 3 16 2" xfId="1978" xr:uid="{00000000-0005-0000-0000-00000A080000}"/>
    <cellStyle name="Moneda 4 3 17" xfId="1979" xr:uid="{00000000-0005-0000-0000-00000B080000}"/>
    <cellStyle name="Moneda 4 3 17 2" xfId="1980" xr:uid="{00000000-0005-0000-0000-00000C080000}"/>
    <cellStyle name="Moneda 4 3 18" xfId="1981" xr:uid="{00000000-0005-0000-0000-00000D080000}"/>
    <cellStyle name="Moneda 4 3 18 2" xfId="1982" xr:uid="{00000000-0005-0000-0000-00000E080000}"/>
    <cellStyle name="Moneda 4 3 19" xfId="1983" xr:uid="{00000000-0005-0000-0000-00000F080000}"/>
    <cellStyle name="Moneda 4 3 19 2" xfId="1984" xr:uid="{00000000-0005-0000-0000-000010080000}"/>
    <cellStyle name="Moneda 4 3 2" xfId="1985" xr:uid="{00000000-0005-0000-0000-000011080000}"/>
    <cellStyle name="Moneda 4 3 2 2" xfId="1986" xr:uid="{00000000-0005-0000-0000-000012080000}"/>
    <cellStyle name="Moneda 4 3 20" xfId="1987" xr:uid="{00000000-0005-0000-0000-000013080000}"/>
    <cellStyle name="Moneda 4 3 20 2" xfId="1988" xr:uid="{00000000-0005-0000-0000-000014080000}"/>
    <cellStyle name="Moneda 4 3 21" xfId="1989" xr:uid="{00000000-0005-0000-0000-000015080000}"/>
    <cellStyle name="Moneda 4 3 21 2" xfId="1990" xr:uid="{00000000-0005-0000-0000-000016080000}"/>
    <cellStyle name="Moneda 4 3 22" xfId="1991" xr:uid="{00000000-0005-0000-0000-000017080000}"/>
    <cellStyle name="Moneda 4 3 22 2" xfId="1992" xr:uid="{00000000-0005-0000-0000-000018080000}"/>
    <cellStyle name="Moneda 4 3 23" xfId="1993" xr:uid="{00000000-0005-0000-0000-000019080000}"/>
    <cellStyle name="Moneda 4 3 23 2" xfId="1994" xr:uid="{00000000-0005-0000-0000-00001A080000}"/>
    <cellStyle name="Moneda 4 3 24" xfId="1995" xr:uid="{00000000-0005-0000-0000-00001B080000}"/>
    <cellStyle name="Moneda 4 3 24 2" xfId="1996" xr:uid="{00000000-0005-0000-0000-00001C080000}"/>
    <cellStyle name="Moneda 4 3 25" xfId="1997" xr:uid="{00000000-0005-0000-0000-00001D080000}"/>
    <cellStyle name="Moneda 4 3 25 2" xfId="1998" xr:uid="{00000000-0005-0000-0000-00001E080000}"/>
    <cellStyle name="Moneda 4 3 26" xfId="1999" xr:uid="{00000000-0005-0000-0000-00001F080000}"/>
    <cellStyle name="Moneda 4 3 26 2" xfId="2000" xr:uid="{00000000-0005-0000-0000-000020080000}"/>
    <cellStyle name="Moneda 4 3 27" xfId="2001" xr:uid="{00000000-0005-0000-0000-000021080000}"/>
    <cellStyle name="Moneda 4 3 27 2" xfId="2002" xr:uid="{00000000-0005-0000-0000-000022080000}"/>
    <cellStyle name="Moneda 4 3 28" xfId="2003" xr:uid="{00000000-0005-0000-0000-000023080000}"/>
    <cellStyle name="Moneda 4 3 28 2" xfId="2004" xr:uid="{00000000-0005-0000-0000-000024080000}"/>
    <cellStyle name="Moneda 4 3 29" xfId="2005" xr:uid="{00000000-0005-0000-0000-000025080000}"/>
    <cellStyle name="Moneda 4 3 29 2" xfId="2006" xr:uid="{00000000-0005-0000-0000-000026080000}"/>
    <cellStyle name="Moneda 4 3 3" xfId="2007" xr:uid="{00000000-0005-0000-0000-000027080000}"/>
    <cellStyle name="Moneda 4 3 3 2" xfId="2008" xr:uid="{00000000-0005-0000-0000-000028080000}"/>
    <cellStyle name="Moneda 4 3 30" xfId="2009" xr:uid="{00000000-0005-0000-0000-000029080000}"/>
    <cellStyle name="Moneda 4 3 30 2" xfId="2010" xr:uid="{00000000-0005-0000-0000-00002A080000}"/>
    <cellStyle name="Moneda 4 3 31" xfId="2011" xr:uid="{00000000-0005-0000-0000-00002B080000}"/>
    <cellStyle name="Moneda 4 3 31 2" xfId="2012" xr:uid="{00000000-0005-0000-0000-00002C080000}"/>
    <cellStyle name="Moneda 4 3 32" xfId="2013" xr:uid="{00000000-0005-0000-0000-00002D080000}"/>
    <cellStyle name="Moneda 4 3 32 2" xfId="2014" xr:uid="{00000000-0005-0000-0000-00002E080000}"/>
    <cellStyle name="Moneda 4 3 33" xfId="2015" xr:uid="{00000000-0005-0000-0000-00002F080000}"/>
    <cellStyle name="Moneda 4 3 33 2" xfId="2016" xr:uid="{00000000-0005-0000-0000-000030080000}"/>
    <cellStyle name="Moneda 4 3 34" xfId="2017" xr:uid="{00000000-0005-0000-0000-000031080000}"/>
    <cellStyle name="Moneda 4 3 35" xfId="2018" xr:uid="{00000000-0005-0000-0000-000032080000}"/>
    <cellStyle name="Moneda 4 3 36" xfId="2019" xr:uid="{00000000-0005-0000-0000-000033080000}"/>
    <cellStyle name="Moneda 4 3 37" xfId="2020" xr:uid="{00000000-0005-0000-0000-000034080000}"/>
    <cellStyle name="Moneda 4 3 38" xfId="2021" xr:uid="{00000000-0005-0000-0000-000035080000}"/>
    <cellStyle name="Moneda 4 3 39" xfId="2022" xr:uid="{00000000-0005-0000-0000-000036080000}"/>
    <cellStyle name="Moneda 4 3 4" xfId="2023" xr:uid="{00000000-0005-0000-0000-000037080000}"/>
    <cellStyle name="Moneda 4 3 4 2" xfId="2024" xr:uid="{00000000-0005-0000-0000-000038080000}"/>
    <cellStyle name="Moneda 4 3 40" xfId="2025" xr:uid="{00000000-0005-0000-0000-000039080000}"/>
    <cellStyle name="Moneda 4 3 41" xfId="2026" xr:uid="{00000000-0005-0000-0000-00003A080000}"/>
    <cellStyle name="Moneda 4 3 42" xfId="2027" xr:uid="{00000000-0005-0000-0000-00003B080000}"/>
    <cellStyle name="Moneda 4 3 43" xfId="2028" xr:uid="{00000000-0005-0000-0000-00003C080000}"/>
    <cellStyle name="Moneda 4 3 44" xfId="2029" xr:uid="{00000000-0005-0000-0000-00003D080000}"/>
    <cellStyle name="Moneda 4 3 45" xfId="2030" xr:uid="{00000000-0005-0000-0000-00003E080000}"/>
    <cellStyle name="Moneda 4 3 46" xfId="2031" xr:uid="{00000000-0005-0000-0000-00003F080000}"/>
    <cellStyle name="Moneda 4 3 47" xfId="2032" xr:uid="{00000000-0005-0000-0000-000040080000}"/>
    <cellStyle name="Moneda 4 3 48" xfId="2033" xr:uid="{00000000-0005-0000-0000-000041080000}"/>
    <cellStyle name="Moneda 4 3 49" xfId="2034" xr:uid="{00000000-0005-0000-0000-000042080000}"/>
    <cellStyle name="Moneda 4 3 5" xfId="2035" xr:uid="{00000000-0005-0000-0000-000043080000}"/>
    <cellStyle name="Moneda 4 3 5 2" xfId="2036" xr:uid="{00000000-0005-0000-0000-000044080000}"/>
    <cellStyle name="Moneda 4 3 50" xfId="2037" xr:uid="{00000000-0005-0000-0000-000045080000}"/>
    <cellStyle name="Moneda 4 3 51" xfId="2038" xr:uid="{00000000-0005-0000-0000-000046080000}"/>
    <cellStyle name="Moneda 4 3 52" xfId="2039" xr:uid="{00000000-0005-0000-0000-000047080000}"/>
    <cellStyle name="Moneda 4 3 53" xfId="2040" xr:uid="{00000000-0005-0000-0000-000048080000}"/>
    <cellStyle name="Moneda 4 3 54" xfId="2041" xr:uid="{00000000-0005-0000-0000-000049080000}"/>
    <cellStyle name="Moneda 4 3 55" xfId="2042" xr:uid="{00000000-0005-0000-0000-00004A080000}"/>
    <cellStyle name="Moneda 4 3 56" xfId="2043" xr:uid="{00000000-0005-0000-0000-00004B080000}"/>
    <cellStyle name="Moneda 4 3 57" xfId="2044" xr:uid="{00000000-0005-0000-0000-00004C080000}"/>
    <cellStyle name="Moneda 4 3 58" xfId="2045" xr:uid="{00000000-0005-0000-0000-00004D080000}"/>
    <cellStyle name="Moneda 4 3 59" xfId="2046" xr:uid="{00000000-0005-0000-0000-00004E080000}"/>
    <cellStyle name="Moneda 4 3 6" xfId="2047" xr:uid="{00000000-0005-0000-0000-00004F080000}"/>
    <cellStyle name="Moneda 4 3 6 2" xfId="2048" xr:uid="{00000000-0005-0000-0000-000050080000}"/>
    <cellStyle name="Moneda 4 3 60" xfId="2049" xr:uid="{00000000-0005-0000-0000-000051080000}"/>
    <cellStyle name="Moneda 4 3 61" xfId="2050" xr:uid="{00000000-0005-0000-0000-000052080000}"/>
    <cellStyle name="Moneda 4 3 62" xfId="2051" xr:uid="{00000000-0005-0000-0000-000053080000}"/>
    <cellStyle name="Moneda 4 3 63" xfId="2052" xr:uid="{00000000-0005-0000-0000-000054080000}"/>
    <cellStyle name="Moneda 4 3 64" xfId="2053" xr:uid="{00000000-0005-0000-0000-000055080000}"/>
    <cellStyle name="Moneda 4 3 7" xfId="2054" xr:uid="{00000000-0005-0000-0000-000056080000}"/>
    <cellStyle name="Moneda 4 3 7 2" xfId="2055" xr:uid="{00000000-0005-0000-0000-000057080000}"/>
    <cellStyle name="Moneda 4 3 8" xfId="2056" xr:uid="{00000000-0005-0000-0000-000058080000}"/>
    <cellStyle name="Moneda 4 3 8 2" xfId="2057" xr:uid="{00000000-0005-0000-0000-000059080000}"/>
    <cellStyle name="Moneda 4 3 9" xfId="2058" xr:uid="{00000000-0005-0000-0000-00005A080000}"/>
    <cellStyle name="Moneda 4 3 9 2" xfId="2059" xr:uid="{00000000-0005-0000-0000-00005B080000}"/>
    <cellStyle name="Moneda 4 30" xfId="2060" xr:uid="{00000000-0005-0000-0000-00005C080000}"/>
    <cellStyle name="Moneda 4 30 2" xfId="2061" xr:uid="{00000000-0005-0000-0000-00005D080000}"/>
    <cellStyle name="Moneda 4 31" xfId="2062" xr:uid="{00000000-0005-0000-0000-00005E080000}"/>
    <cellStyle name="Moneda 4 31 2" xfId="2063" xr:uid="{00000000-0005-0000-0000-00005F080000}"/>
    <cellStyle name="Moneda 4 32" xfId="2064" xr:uid="{00000000-0005-0000-0000-000060080000}"/>
    <cellStyle name="Moneda 4 32 2" xfId="2065" xr:uid="{00000000-0005-0000-0000-000061080000}"/>
    <cellStyle name="Moneda 4 33" xfId="2066" xr:uid="{00000000-0005-0000-0000-000062080000}"/>
    <cellStyle name="Moneda 4 33 2" xfId="2067" xr:uid="{00000000-0005-0000-0000-000063080000}"/>
    <cellStyle name="Moneda 4 34" xfId="2068" xr:uid="{00000000-0005-0000-0000-000064080000}"/>
    <cellStyle name="Moneda 4 34 2" xfId="2069" xr:uid="{00000000-0005-0000-0000-000065080000}"/>
    <cellStyle name="Moneda 4 35" xfId="2070" xr:uid="{00000000-0005-0000-0000-000066080000}"/>
    <cellStyle name="Moneda 4 35 2" xfId="2071" xr:uid="{00000000-0005-0000-0000-000067080000}"/>
    <cellStyle name="Moneda 4 36" xfId="2072" xr:uid="{00000000-0005-0000-0000-000068080000}"/>
    <cellStyle name="Moneda 4 36 2" xfId="2073" xr:uid="{00000000-0005-0000-0000-000069080000}"/>
    <cellStyle name="Moneda 4 37" xfId="2074" xr:uid="{00000000-0005-0000-0000-00006A080000}"/>
    <cellStyle name="Moneda 4 38" xfId="2075" xr:uid="{00000000-0005-0000-0000-00006B080000}"/>
    <cellStyle name="Moneda 4 39" xfId="2076" xr:uid="{00000000-0005-0000-0000-00006C080000}"/>
    <cellStyle name="Moneda 4 4" xfId="68" xr:uid="{00000000-0005-0000-0000-00006D080000}"/>
    <cellStyle name="Moneda 4 4 10" xfId="2077" xr:uid="{00000000-0005-0000-0000-00006E080000}"/>
    <cellStyle name="Moneda 4 4 10 2" xfId="2078" xr:uid="{00000000-0005-0000-0000-00006F080000}"/>
    <cellStyle name="Moneda 4 4 11" xfId="2079" xr:uid="{00000000-0005-0000-0000-000070080000}"/>
    <cellStyle name="Moneda 4 4 11 2" xfId="2080" xr:uid="{00000000-0005-0000-0000-000071080000}"/>
    <cellStyle name="Moneda 4 4 12" xfId="2081" xr:uid="{00000000-0005-0000-0000-000072080000}"/>
    <cellStyle name="Moneda 4 4 12 2" xfId="2082" xr:uid="{00000000-0005-0000-0000-000073080000}"/>
    <cellStyle name="Moneda 4 4 13" xfId="2083" xr:uid="{00000000-0005-0000-0000-000074080000}"/>
    <cellStyle name="Moneda 4 4 13 2" xfId="2084" xr:uid="{00000000-0005-0000-0000-000075080000}"/>
    <cellStyle name="Moneda 4 4 14" xfId="2085" xr:uid="{00000000-0005-0000-0000-000076080000}"/>
    <cellStyle name="Moneda 4 4 14 2" xfId="2086" xr:uid="{00000000-0005-0000-0000-000077080000}"/>
    <cellStyle name="Moneda 4 4 15" xfId="2087" xr:uid="{00000000-0005-0000-0000-000078080000}"/>
    <cellStyle name="Moneda 4 4 15 2" xfId="2088" xr:uid="{00000000-0005-0000-0000-000079080000}"/>
    <cellStyle name="Moneda 4 4 16" xfId="2089" xr:uid="{00000000-0005-0000-0000-00007A080000}"/>
    <cellStyle name="Moneda 4 4 16 2" xfId="2090" xr:uid="{00000000-0005-0000-0000-00007B080000}"/>
    <cellStyle name="Moneda 4 4 17" xfId="2091" xr:uid="{00000000-0005-0000-0000-00007C080000}"/>
    <cellStyle name="Moneda 4 4 17 2" xfId="2092" xr:uid="{00000000-0005-0000-0000-00007D080000}"/>
    <cellStyle name="Moneda 4 4 18" xfId="2093" xr:uid="{00000000-0005-0000-0000-00007E080000}"/>
    <cellStyle name="Moneda 4 4 18 2" xfId="2094" xr:uid="{00000000-0005-0000-0000-00007F080000}"/>
    <cellStyle name="Moneda 4 4 19" xfId="2095" xr:uid="{00000000-0005-0000-0000-000080080000}"/>
    <cellStyle name="Moneda 4 4 19 2" xfId="2096" xr:uid="{00000000-0005-0000-0000-000081080000}"/>
    <cellStyle name="Moneda 4 4 2" xfId="2097" xr:uid="{00000000-0005-0000-0000-000082080000}"/>
    <cellStyle name="Moneda 4 4 2 2" xfId="2098" xr:uid="{00000000-0005-0000-0000-000083080000}"/>
    <cellStyle name="Moneda 4 4 20" xfId="2099" xr:uid="{00000000-0005-0000-0000-000084080000}"/>
    <cellStyle name="Moneda 4 4 20 2" xfId="2100" xr:uid="{00000000-0005-0000-0000-000085080000}"/>
    <cellStyle name="Moneda 4 4 21" xfId="2101" xr:uid="{00000000-0005-0000-0000-000086080000}"/>
    <cellStyle name="Moneda 4 4 21 2" xfId="2102" xr:uid="{00000000-0005-0000-0000-000087080000}"/>
    <cellStyle name="Moneda 4 4 22" xfId="2103" xr:uid="{00000000-0005-0000-0000-000088080000}"/>
    <cellStyle name="Moneda 4 4 22 2" xfId="2104" xr:uid="{00000000-0005-0000-0000-000089080000}"/>
    <cellStyle name="Moneda 4 4 23" xfId="2105" xr:uid="{00000000-0005-0000-0000-00008A080000}"/>
    <cellStyle name="Moneda 4 4 23 2" xfId="2106" xr:uid="{00000000-0005-0000-0000-00008B080000}"/>
    <cellStyle name="Moneda 4 4 24" xfId="2107" xr:uid="{00000000-0005-0000-0000-00008C080000}"/>
    <cellStyle name="Moneda 4 4 24 2" xfId="2108" xr:uid="{00000000-0005-0000-0000-00008D080000}"/>
    <cellStyle name="Moneda 4 4 25" xfId="2109" xr:uid="{00000000-0005-0000-0000-00008E080000}"/>
    <cellStyle name="Moneda 4 4 25 2" xfId="2110" xr:uid="{00000000-0005-0000-0000-00008F080000}"/>
    <cellStyle name="Moneda 4 4 26" xfId="2111" xr:uid="{00000000-0005-0000-0000-000090080000}"/>
    <cellStyle name="Moneda 4 4 26 2" xfId="2112" xr:uid="{00000000-0005-0000-0000-000091080000}"/>
    <cellStyle name="Moneda 4 4 27" xfId="2113" xr:uid="{00000000-0005-0000-0000-000092080000}"/>
    <cellStyle name="Moneda 4 4 27 2" xfId="2114" xr:uid="{00000000-0005-0000-0000-000093080000}"/>
    <cellStyle name="Moneda 4 4 28" xfId="2115" xr:uid="{00000000-0005-0000-0000-000094080000}"/>
    <cellStyle name="Moneda 4 4 28 2" xfId="2116" xr:uid="{00000000-0005-0000-0000-000095080000}"/>
    <cellStyle name="Moneda 4 4 29" xfId="2117" xr:uid="{00000000-0005-0000-0000-000096080000}"/>
    <cellStyle name="Moneda 4 4 29 2" xfId="2118" xr:uid="{00000000-0005-0000-0000-000097080000}"/>
    <cellStyle name="Moneda 4 4 3" xfId="2119" xr:uid="{00000000-0005-0000-0000-000098080000}"/>
    <cellStyle name="Moneda 4 4 3 2" xfId="2120" xr:uid="{00000000-0005-0000-0000-000099080000}"/>
    <cellStyle name="Moneda 4 4 30" xfId="2121" xr:uid="{00000000-0005-0000-0000-00009A080000}"/>
    <cellStyle name="Moneda 4 4 30 2" xfId="2122" xr:uid="{00000000-0005-0000-0000-00009B080000}"/>
    <cellStyle name="Moneda 4 4 31" xfId="2123" xr:uid="{00000000-0005-0000-0000-00009C080000}"/>
    <cellStyle name="Moneda 4 4 31 2" xfId="2124" xr:uid="{00000000-0005-0000-0000-00009D080000}"/>
    <cellStyle name="Moneda 4 4 32" xfId="2125" xr:uid="{00000000-0005-0000-0000-00009E080000}"/>
    <cellStyle name="Moneda 4 4 32 2" xfId="2126" xr:uid="{00000000-0005-0000-0000-00009F080000}"/>
    <cellStyle name="Moneda 4 4 33" xfId="2127" xr:uid="{00000000-0005-0000-0000-0000A0080000}"/>
    <cellStyle name="Moneda 4 4 33 2" xfId="2128" xr:uid="{00000000-0005-0000-0000-0000A1080000}"/>
    <cellStyle name="Moneda 4 4 34" xfId="2129" xr:uid="{00000000-0005-0000-0000-0000A2080000}"/>
    <cellStyle name="Moneda 4 4 35" xfId="2130" xr:uid="{00000000-0005-0000-0000-0000A3080000}"/>
    <cellStyle name="Moneda 4 4 36" xfId="2131" xr:uid="{00000000-0005-0000-0000-0000A4080000}"/>
    <cellStyle name="Moneda 4 4 37" xfId="2132" xr:uid="{00000000-0005-0000-0000-0000A5080000}"/>
    <cellStyle name="Moneda 4 4 38" xfId="2133" xr:uid="{00000000-0005-0000-0000-0000A6080000}"/>
    <cellStyle name="Moneda 4 4 39" xfId="2134" xr:uid="{00000000-0005-0000-0000-0000A7080000}"/>
    <cellStyle name="Moneda 4 4 4" xfId="2135" xr:uid="{00000000-0005-0000-0000-0000A8080000}"/>
    <cellStyle name="Moneda 4 4 4 2" xfId="2136" xr:uid="{00000000-0005-0000-0000-0000A9080000}"/>
    <cellStyle name="Moneda 4 4 40" xfId="2137" xr:uid="{00000000-0005-0000-0000-0000AA080000}"/>
    <cellStyle name="Moneda 4 4 41" xfId="2138" xr:uid="{00000000-0005-0000-0000-0000AB080000}"/>
    <cellStyle name="Moneda 4 4 42" xfId="2139" xr:uid="{00000000-0005-0000-0000-0000AC080000}"/>
    <cellStyle name="Moneda 4 4 43" xfId="2140" xr:uid="{00000000-0005-0000-0000-0000AD080000}"/>
    <cellStyle name="Moneda 4 4 44" xfId="2141" xr:uid="{00000000-0005-0000-0000-0000AE080000}"/>
    <cellStyle name="Moneda 4 4 45" xfId="2142" xr:uid="{00000000-0005-0000-0000-0000AF080000}"/>
    <cellStyle name="Moneda 4 4 46" xfId="2143" xr:uid="{00000000-0005-0000-0000-0000B0080000}"/>
    <cellStyle name="Moneda 4 4 47" xfId="2144" xr:uid="{00000000-0005-0000-0000-0000B1080000}"/>
    <cellStyle name="Moneda 4 4 48" xfId="2145" xr:uid="{00000000-0005-0000-0000-0000B2080000}"/>
    <cellStyle name="Moneda 4 4 49" xfId="2146" xr:uid="{00000000-0005-0000-0000-0000B3080000}"/>
    <cellStyle name="Moneda 4 4 5" xfId="2147" xr:uid="{00000000-0005-0000-0000-0000B4080000}"/>
    <cellStyle name="Moneda 4 4 5 2" xfId="2148" xr:uid="{00000000-0005-0000-0000-0000B5080000}"/>
    <cellStyle name="Moneda 4 4 50" xfId="2149" xr:uid="{00000000-0005-0000-0000-0000B6080000}"/>
    <cellStyle name="Moneda 4 4 51" xfId="2150" xr:uid="{00000000-0005-0000-0000-0000B7080000}"/>
    <cellStyle name="Moneda 4 4 52" xfId="2151" xr:uid="{00000000-0005-0000-0000-0000B8080000}"/>
    <cellStyle name="Moneda 4 4 53" xfId="2152" xr:uid="{00000000-0005-0000-0000-0000B9080000}"/>
    <cellStyle name="Moneda 4 4 54" xfId="2153" xr:uid="{00000000-0005-0000-0000-0000BA080000}"/>
    <cellStyle name="Moneda 4 4 55" xfId="2154" xr:uid="{00000000-0005-0000-0000-0000BB080000}"/>
    <cellStyle name="Moneda 4 4 56" xfId="2155" xr:uid="{00000000-0005-0000-0000-0000BC080000}"/>
    <cellStyle name="Moneda 4 4 57" xfId="2156" xr:uid="{00000000-0005-0000-0000-0000BD080000}"/>
    <cellStyle name="Moneda 4 4 58" xfId="2157" xr:uid="{00000000-0005-0000-0000-0000BE080000}"/>
    <cellStyle name="Moneda 4 4 59" xfId="2158" xr:uid="{00000000-0005-0000-0000-0000BF080000}"/>
    <cellStyle name="Moneda 4 4 6" xfId="2159" xr:uid="{00000000-0005-0000-0000-0000C0080000}"/>
    <cellStyle name="Moneda 4 4 6 2" xfId="2160" xr:uid="{00000000-0005-0000-0000-0000C1080000}"/>
    <cellStyle name="Moneda 4 4 60" xfId="2161" xr:uid="{00000000-0005-0000-0000-0000C2080000}"/>
    <cellStyle name="Moneda 4 4 61" xfId="2162" xr:uid="{00000000-0005-0000-0000-0000C3080000}"/>
    <cellStyle name="Moneda 4 4 62" xfId="2163" xr:uid="{00000000-0005-0000-0000-0000C4080000}"/>
    <cellStyle name="Moneda 4 4 63" xfId="2164" xr:uid="{00000000-0005-0000-0000-0000C5080000}"/>
    <cellStyle name="Moneda 4 4 64" xfId="2165" xr:uid="{00000000-0005-0000-0000-0000C6080000}"/>
    <cellStyle name="Moneda 4 4 7" xfId="2166" xr:uid="{00000000-0005-0000-0000-0000C7080000}"/>
    <cellStyle name="Moneda 4 4 7 2" xfId="2167" xr:uid="{00000000-0005-0000-0000-0000C8080000}"/>
    <cellStyle name="Moneda 4 4 8" xfId="2168" xr:uid="{00000000-0005-0000-0000-0000C9080000}"/>
    <cellStyle name="Moneda 4 4 8 2" xfId="2169" xr:uid="{00000000-0005-0000-0000-0000CA080000}"/>
    <cellStyle name="Moneda 4 4 9" xfId="2170" xr:uid="{00000000-0005-0000-0000-0000CB080000}"/>
    <cellStyle name="Moneda 4 4 9 2" xfId="2171" xr:uid="{00000000-0005-0000-0000-0000CC080000}"/>
    <cellStyle name="Moneda 4 40" xfId="2172" xr:uid="{00000000-0005-0000-0000-0000CD080000}"/>
    <cellStyle name="Moneda 4 41" xfId="2173" xr:uid="{00000000-0005-0000-0000-0000CE080000}"/>
    <cellStyle name="Moneda 4 42" xfId="2174" xr:uid="{00000000-0005-0000-0000-0000CF080000}"/>
    <cellStyle name="Moneda 4 43" xfId="2175" xr:uid="{00000000-0005-0000-0000-0000D0080000}"/>
    <cellStyle name="Moneda 4 44" xfId="2176" xr:uid="{00000000-0005-0000-0000-0000D1080000}"/>
    <cellStyle name="Moneda 4 45" xfId="2177" xr:uid="{00000000-0005-0000-0000-0000D2080000}"/>
    <cellStyle name="Moneda 4 46" xfId="2178" xr:uid="{00000000-0005-0000-0000-0000D3080000}"/>
    <cellStyle name="Moneda 4 47" xfId="2179" xr:uid="{00000000-0005-0000-0000-0000D4080000}"/>
    <cellStyle name="Moneda 4 48" xfId="2180" xr:uid="{00000000-0005-0000-0000-0000D5080000}"/>
    <cellStyle name="Moneda 4 49" xfId="2181" xr:uid="{00000000-0005-0000-0000-0000D6080000}"/>
    <cellStyle name="Moneda 4 5" xfId="69" xr:uid="{00000000-0005-0000-0000-0000D7080000}"/>
    <cellStyle name="Moneda 4 5 10" xfId="2182" xr:uid="{00000000-0005-0000-0000-0000D8080000}"/>
    <cellStyle name="Moneda 4 5 11" xfId="2183" xr:uid="{00000000-0005-0000-0000-0000D9080000}"/>
    <cellStyle name="Moneda 4 5 12" xfId="2184" xr:uid="{00000000-0005-0000-0000-0000DA080000}"/>
    <cellStyle name="Moneda 4 5 13" xfId="2185" xr:uid="{00000000-0005-0000-0000-0000DB080000}"/>
    <cellStyle name="Moneda 4 5 14" xfId="2186" xr:uid="{00000000-0005-0000-0000-0000DC080000}"/>
    <cellStyle name="Moneda 4 5 15" xfId="2187" xr:uid="{00000000-0005-0000-0000-0000DD080000}"/>
    <cellStyle name="Moneda 4 5 16" xfId="2188" xr:uid="{00000000-0005-0000-0000-0000DE080000}"/>
    <cellStyle name="Moneda 4 5 17" xfId="2189" xr:uid="{00000000-0005-0000-0000-0000DF080000}"/>
    <cellStyle name="Moneda 4 5 18" xfId="2190" xr:uid="{00000000-0005-0000-0000-0000E0080000}"/>
    <cellStyle name="Moneda 4 5 19" xfId="2191" xr:uid="{00000000-0005-0000-0000-0000E1080000}"/>
    <cellStyle name="Moneda 4 5 2" xfId="2192" xr:uid="{00000000-0005-0000-0000-0000E2080000}"/>
    <cellStyle name="Moneda 4 5 2 2" xfId="2193" xr:uid="{00000000-0005-0000-0000-0000E3080000}"/>
    <cellStyle name="Moneda 4 5 20" xfId="2194" xr:uid="{00000000-0005-0000-0000-0000E4080000}"/>
    <cellStyle name="Moneda 4 5 21" xfId="2195" xr:uid="{00000000-0005-0000-0000-0000E5080000}"/>
    <cellStyle name="Moneda 4 5 22" xfId="2196" xr:uid="{00000000-0005-0000-0000-0000E6080000}"/>
    <cellStyle name="Moneda 4 5 23" xfId="2197" xr:uid="{00000000-0005-0000-0000-0000E7080000}"/>
    <cellStyle name="Moneda 4 5 24" xfId="2198" xr:uid="{00000000-0005-0000-0000-0000E8080000}"/>
    <cellStyle name="Moneda 4 5 25" xfId="2199" xr:uid="{00000000-0005-0000-0000-0000E9080000}"/>
    <cellStyle name="Moneda 4 5 26" xfId="2200" xr:uid="{00000000-0005-0000-0000-0000EA080000}"/>
    <cellStyle name="Moneda 4 5 27" xfId="2201" xr:uid="{00000000-0005-0000-0000-0000EB080000}"/>
    <cellStyle name="Moneda 4 5 28" xfId="2202" xr:uid="{00000000-0005-0000-0000-0000EC080000}"/>
    <cellStyle name="Moneda 4 5 29" xfId="2203" xr:uid="{00000000-0005-0000-0000-0000ED080000}"/>
    <cellStyle name="Moneda 4 5 3" xfId="2204" xr:uid="{00000000-0005-0000-0000-0000EE080000}"/>
    <cellStyle name="Moneda 4 5 30" xfId="2205" xr:uid="{00000000-0005-0000-0000-0000EF080000}"/>
    <cellStyle name="Moneda 4 5 31" xfId="2206" xr:uid="{00000000-0005-0000-0000-0000F0080000}"/>
    <cellStyle name="Moneda 4 5 32" xfId="2207" xr:uid="{00000000-0005-0000-0000-0000F1080000}"/>
    <cellStyle name="Moneda 4 5 4" xfId="2208" xr:uid="{00000000-0005-0000-0000-0000F2080000}"/>
    <cellStyle name="Moneda 4 5 5" xfId="2209" xr:uid="{00000000-0005-0000-0000-0000F3080000}"/>
    <cellStyle name="Moneda 4 5 6" xfId="2210" xr:uid="{00000000-0005-0000-0000-0000F4080000}"/>
    <cellStyle name="Moneda 4 5 7" xfId="2211" xr:uid="{00000000-0005-0000-0000-0000F5080000}"/>
    <cellStyle name="Moneda 4 5 8" xfId="2212" xr:uid="{00000000-0005-0000-0000-0000F6080000}"/>
    <cellStyle name="Moneda 4 5 9" xfId="2213" xr:uid="{00000000-0005-0000-0000-0000F7080000}"/>
    <cellStyle name="Moneda 4 50" xfId="2214" xr:uid="{00000000-0005-0000-0000-0000F8080000}"/>
    <cellStyle name="Moneda 4 51" xfId="2215" xr:uid="{00000000-0005-0000-0000-0000F9080000}"/>
    <cellStyle name="Moneda 4 52" xfId="2216" xr:uid="{00000000-0005-0000-0000-0000FA080000}"/>
    <cellStyle name="Moneda 4 53" xfId="2217" xr:uid="{00000000-0005-0000-0000-0000FB080000}"/>
    <cellStyle name="Moneda 4 54" xfId="2218" xr:uid="{00000000-0005-0000-0000-0000FC080000}"/>
    <cellStyle name="Moneda 4 55" xfId="2219" xr:uid="{00000000-0005-0000-0000-0000FD080000}"/>
    <cellStyle name="Moneda 4 56" xfId="2220" xr:uid="{00000000-0005-0000-0000-0000FE080000}"/>
    <cellStyle name="Moneda 4 57" xfId="2221" xr:uid="{00000000-0005-0000-0000-0000FF080000}"/>
    <cellStyle name="Moneda 4 58" xfId="2222" xr:uid="{00000000-0005-0000-0000-000000090000}"/>
    <cellStyle name="Moneda 4 59" xfId="2223" xr:uid="{00000000-0005-0000-0000-000001090000}"/>
    <cellStyle name="Moneda 4 6" xfId="2224" xr:uid="{00000000-0005-0000-0000-000002090000}"/>
    <cellStyle name="Moneda 4 6 2" xfId="2225" xr:uid="{00000000-0005-0000-0000-000003090000}"/>
    <cellStyle name="Moneda 4 6 2 2" xfId="2226" xr:uid="{00000000-0005-0000-0000-000004090000}"/>
    <cellStyle name="Moneda 4 6 3" xfId="2227" xr:uid="{00000000-0005-0000-0000-000005090000}"/>
    <cellStyle name="Moneda 4 6 3 2" xfId="2228" xr:uid="{00000000-0005-0000-0000-000006090000}"/>
    <cellStyle name="Moneda 4 6 4" xfId="2229" xr:uid="{00000000-0005-0000-0000-000007090000}"/>
    <cellStyle name="Moneda 4 60" xfId="2230" xr:uid="{00000000-0005-0000-0000-000008090000}"/>
    <cellStyle name="Moneda 4 61" xfId="2231" xr:uid="{00000000-0005-0000-0000-000009090000}"/>
    <cellStyle name="Moneda 4 62" xfId="2232" xr:uid="{00000000-0005-0000-0000-00000A090000}"/>
    <cellStyle name="Moneda 4 63" xfId="2233" xr:uid="{00000000-0005-0000-0000-00000B090000}"/>
    <cellStyle name="Moneda 4 64" xfId="2234" xr:uid="{00000000-0005-0000-0000-00000C090000}"/>
    <cellStyle name="Moneda 4 65" xfId="2235" xr:uid="{00000000-0005-0000-0000-00000D090000}"/>
    <cellStyle name="Moneda 4 66" xfId="2236" xr:uid="{00000000-0005-0000-0000-00000E090000}"/>
    <cellStyle name="Moneda 4 67" xfId="2237" xr:uid="{00000000-0005-0000-0000-00000F090000}"/>
    <cellStyle name="Moneda 4 68" xfId="2238" xr:uid="{00000000-0005-0000-0000-000010090000}"/>
    <cellStyle name="Moneda 4 7" xfId="2239" xr:uid="{00000000-0005-0000-0000-000011090000}"/>
    <cellStyle name="Moneda 4 7 2" xfId="2240" xr:uid="{00000000-0005-0000-0000-000012090000}"/>
    <cellStyle name="Moneda 4 8" xfId="2241" xr:uid="{00000000-0005-0000-0000-000013090000}"/>
    <cellStyle name="Moneda 4 8 2" xfId="2242" xr:uid="{00000000-0005-0000-0000-000014090000}"/>
    <cellStyle name="Moneda 4 9" xfId="2243" xr:uid="{00000000-0005-0000-0000-000015090000}"/>
    <cellStyle name="Moneda 4 9 2" xfId="2244" xr:uid="{00000000-0005-0000-0000-000016090000}"/>
    <cellStyle name="Moneda 5" xfId="78" xr:uid="{00000000-0005-0000-0000-000017090000}"/>
    <cellStyle name="Moneda 5 2" xfId="2245" xr:uid="{00000000-0005-0000-0000-000018090000}"/>
    <cellStyle name="Moneda 5 2 2" xfId="2246" xr:uid="{00000000-0005-0000-0000-000019090000}"/>
    <cellStyle name="Moneda 5 2 2 2" xfId="2247" xr:uid="{00000000-0005-0000-0000-00001A090000}"/>
    <cellStyle name="Moneda 5 2 3" xfId="2248" xr:uid="{00000000-0005-0000-0000-00001B090000}"/>
    <cellStyle name="Moneda 5 3" xfId="2249" xr:uid="{00000000-0005-0000-0000-00001C090000}"/>
    <cellStyle name="Moneda 5 3 2" xfId="2250" xr:uid="{00000000-0005-0000-0000-00001D090000}"/>
    <cellStyle name="Moneda 5 4" xfId="2251" xr:uid="{00000000-0005-0000-0000-00001E090000}"/>
    <cellStyle name="Moneda 5 5" xfId="2252" xr:uid="{00000000-0005-0000-0000-00001F090000}"/>
    <cellStyle name="Moneda 6" xfId="83" xr:uid="{00000000-0005-0000-0000-000020090000}"/>
    <cellStyle name="Moneda 6 2" xfId="2253" xr:uid="{00000000-0005-0000-0000-000021090000}"/>
    <cellStyle name="Moneda 6 2 2" xfId="2254" xr:uid="{00000000-0005-0000-0000-000022090000}"/>
    <cellStyle name="Moneda 6 3" xfId="2255" xr:uid="{00000000-0005-0000-0000-000023090000}"/>
    <cellStyle name="Moneda 6 3 2" xfId="2256" xr:uid="{00000000-0005-0000-0000-000024090000}"/>
    <cellStyle name="Moneda 6 4" xfId="2257" xr:uid="{00000000-0005-0000-0000-000025090000}"/>
    <cellStyle name="Moneda 6 5" xfId="2258" xr:uid="{00000000-0005-0000-0000-000026090000}"/>
    <cellStyle name="Moneda 6 6" xfId="2851" xr:uid="{00000000-0005-0000-0000-000027090000}"/>
    <cellStyle name="Moneda 7" xfId="90" xr:uid="{00000000-0005-0000-0000-000028090000}"/>
    <cellStyle name="Moneda 7 2" xfId="2259" xr:uid="{00000000-0005-0000-0000-000029090000}"/>
    <cellStyle name="Moneda 7 3" xfId="2260" xr:uid="{00000000-0005-0000-0000-00002A090000}"/>
    <cellStyle name="Moneda 7 4" xfId="2852" xr:uid="{00000000-0005-0000-0000-00002B090000}"/>
    <cellStyle name="Moneda 8" xfId="2261" xr:uid="{00000000-0005-0000-0000-00002C090000}"/>
    <cellStyle name="Moneda 8 2" xfId="2262" xr:uid="{00000000-0005-0000-0000-00002D090000}"/>
    <cellStyle name="Moneda 8 3" xfId="2263" xr:uid="{00000000-0005-0000-0000-00002E090000}"/>
    <cellStyle name="Moneda 9" xfId="2264" xr:uid="{00000000-0005-0000-0000-00002F090000}"/>
    <cellStyle name="Moneda 9 2" xfId="2265" xr:uid="{00000000-0005-0000-0000-000030090000}"/>
    <cellStyle name="Moneda 9 3" xfId="2266" xr:uid="{00000000-0005-0000-0000-000031090000}"/>
    <cellStyle name="Neutral 2" xfId="2267" xr:uid="{00000000-0005-0000-0000-000032090000}"/>
    <cellStyle name="Neutral 2 2" xfId="2268" xr:uid="{00000000-0005-0000-0000-000033090000}"/>
    <cellStyle name="Neutral 2 2 2" xfId="2269" xr:uid="{00000000-0005-0000-0000-000034090000}"/>
    <cellStyle name="Neutral 2 3" xfId="2270" xr:uid="{00000000-0005-0000-0000-000035090000}"/>
    <cellStyle name="Neutral 3" xfId="2271" xr:uid="{00000000-0005-0000-0000-000036090000}"/>
    <cellStyle name="Neutral 3 2" xfId="2272" xr:uid="{00000000-0005-0000-0000-000037090000}"/>
    <cellStyle name="Neutral 4" xfId="2273" xr:uid="{00000000-0005-0000-0000-000038090000}"/>
    <cellStyle name="Neutral 4 2" xfId="2274" xr:uid="{00000000-0005-0000-0000-000039090000}"/>
    <cellStyle name="Normal" xfId="0" builtinId="0"/>
    <cellStyle name="Normal 10" xfId="2275" xr:uid="{00000000-0005-0000-0000-00003B090000}"/>
    <cellStyle name="Normal 11" xfId="2276" xr:uid="{00000000-0005-0000-0000-00003C090000}"/>
    <cellStyle name="Normal 11 2" xfId="2277" xr:uid="{00000000-0005-0000-0000-00003D090000}"/>
    <cellStyle name="Normal 12" xfId="2278" xr:uid="{00000000-0005-0000-0000-00003E090000}"/>
    <cellStyle name="Normal 13" xfId="2279" xr:uid="{00000000-0005-0000-0000-00003F090000}"/>
    <cellStyle name="Normal 14" xfId="2280" xr:uid="{00000000-0005-0000-0000-000040090000}"/>
    <cellStyle name="Normal 15" xfId="2281" xr:uid="{00000000-0005-0000-0000-000041090000}"/>
    <cellStyle name="Normal 16" xfId="2282" xr:uid="{00000000-0005-0000-0000-000042090000}"/>
    <cellStyle name="Normal 17" xfId="2283" xr:uid="{00000000-0005-0000-0000-000043090000}"/>
    <cellStyle name="Normal 18" xfId="2284" xr:uid="{00000000-0005-0000-0000-000044090000}"/>
    <cellStyle name="Normal 19" xfId="2285" xr:uid="{00000000-0005-0000-0000-000045090000}"/>
    <cellStyle name="Normal 2" xfId="4" xr:uid="{00000000-0005-0000-0000-000046090000}"/>
    <cellStyle name="Normal 2 10" xfId="5" xr:uid="{00000000-0005-0000-0000-000047090000}"/>
    <cellStyle name="Normal 2 10 2" xfId="2795" xr:uid="{00000000-0005-0000-0000-000048090000}"/>
    <cellStyle name="Normal 2 11" xfId="2286" xr:uid="{00000000-0005-0000-0000-000049090000}"/>
    <cellStyle name="Normal 2 12" xfId="2287" xr:uid="{00000000-0005-0000-0000-00004A090000}"/>
    <cellStyle name="Normal 2 13" xfId="2288" xr:uid="{00000000-0005-0000-0000-00004B090000}"/>
    <cellStyle name="Normal 2 14" xfId="2289" xr:uid="{00000000-0005-0000-0000-00004C090000}"/>
    <cellStyle name="Normal 2 15" xfId="2290" xr:uid="{00000000-0005-0000-0000-00004D090000}"/>
    <cellStyle name="Normal 2 16" xfId="2291" xr:uid="{00000000-0005-0000-0000-00004E090000}"/>
    <cellStyle name="Normal 2 17" xfId="2292" xr:uid="{00000000-0005-0000-0000-00004F090000}"/>
    <cellStyle name="Normal 2 18" xfId="2293" xr:uid="{00000000-0005-0000-0000-000050090000}"/>
    <cellStyle name="Normal 2 19" xfId="2294" xr:uid="{00000000-0005-0000-0000-000051090000}"/>
    <cellStyle name="Normal 2 2" xfId="70" xr:uid="{00000000-0005-0000-0000-000052090000}"/>
    <cellStyle name="Normal 2 2 10" xfId="2295" xr:uid="{00000000-0005-0000-0000-000053090000}"/>
    <cellStyle name="Normal 2 2 11" xfId="2296" xr:uid="{00000000-0005-0000-0000-000054090000}"/>
    <cellStyle name="Normal 2 2 12" xfId="2297" xr:uid="{00000000-0005-0000-0000-000055090000}"/>
    <cellStyle name="Normal 2 2 13" xfId="2298" xr:uid="{00000000-0005-0000-0000-000056090000}"/>
    <cellStyle name="Normal 2 2 14" xfId="2299" xr:uid="{00000000-0005-0000-0000-000057090000}"/>
    <cellStyle name="Normal 2 2 15" xfId="2300" xr:uid="{00000000-0005-0000-0000-000058090000}"/>
    <cellStyle name="Normal 2 2 16" xfId="2301" xr:uid="{00000000-0005-0000-0000-000059090000}"/>
    <cellStyle name="Normal 2 2 17" xfId="2302" xr:uid="{00000000-0005-0000-0000-00005A090000}"/>
    <cellStyle name="Normal 2 2 18" xfId="2303" xr:uid="{00000000-0005-0000-0000-00005B090000}"/>
    <cellStyle name="Normal 2 2 19" xfId="2304" xr:uid="{00000000-0005-0000-0000-00005C090000}"/>
    <cellStyle name="Normal 2 2 2" xfId="84" xr:uid="{00000000-0005-0000-0000-00005D090000}"/>
    <cellStyle name="Normal 2 2 20" xfId="2305" xr:uid="{00000000-0005-0000-0000-00005E090000}"/>
    <cellStyle name="Normal 2 2 21" xfId="2306" xr:uid="{00000000-0005-0000-0000-00005F090000}"/>
    <cellStyle name="Normal 2 2 22" xfId="2307" xr:uid="{00000000-0005-0000-0000-000060090000}"/>
    <cellStyle name="Normal 2 2 23" xfId="2308" xr:uid="{00000000-0005-0000-0000-000061090000}"/>
    <cellStyle name="Normal 2 2 24" xfId="2309" xr:uid="{00000000-0005-0000-0000-000062090000}"/>
    <cellStyle name="Normal 2 2 25" xfId="2310" xr:uid="{00000000-0005-0000-0000-000063090000}"/>
    <cellStyle name="Normal 2 2 26" xfId="2311" xr:uid="{00000000-0005-0000-0000-000064090000}"/>
    <cellStyle name="Normal 2 2 27" xfId="2312" xr:uid="{00000000-0005-0000-0000-000065090000}"/>
    <cellStyle name="Normal 2 2 28" xfId="2313" xr:uid="{00000000-0005-0000-0000-000066090000}"/>
    <cellStyle name="Normal 2 2 29" xfId="2314" xr:uid="{00000000-0005-0000-0000-000067090000}"/>
    <cellStyle name="Normal 2 2 3" xfId="2315" xr:uid="{00000000-0005-0000-0000-000068090000}"/>
    <cellStyle name="Normal 2 2 30" xfId="2316" xr:uid="{00000000-0005-0000-0000-000069090000}"/>
    <cellStyle name="Normal 2 2 31" xfId="2317" xr:uid="{00000000-0005-0000-0000-00006A090000}"/>
    <cellStyle name="Normal 2 2 32" xfId="2318" xr:uid="{00000000-0005-0000-0000-00006B090000}"/>
    <cellStyle name="Normal 2 2 33" xfId="2319" xr:uid="{00000000-0005-0000-0000-00006C090000}"/>
    <cellStyle name="Normal 2 2 34" xfId="2320" xr:uid="{00000000-0005-0000-0000-00006D090000}"/>
    <cellStyle name="Normal 2 2 35" xfId="2321" xr:uid="{00000000-0005-0000-0000-00006E090000}"/>
    <cellStyle name="Normal 2 2 36" xfId="2322" xr:uid="{00000000-0005-0000-0000-00006F090000}"/>
    <cellStyle name="Normal 2 2 37" xfId="2323" xr:uid="{00000000-0005-0000-0000-000070090000}"/>
    <cellStyle name="Normal 2 2 38" xfId="2324" xr:uid="{00000000-0005-0000-0000-000071090000}"/>
    <cellStyle name="Normal 2 2 39" xfId="2325" xr:uid="{00000000-0005-0000-0000-000072090000}"/>
    <cellStyle name="Normal 2 2 4" xfId="2326" xr:uid="{00000000-0005-0000-0000-000073090000}"/>
    <cellStyle name="Normal 2 2 40" xfId="2327" xr:uid="{00000000-0005-0000-0000-000074090000}"/>
    <cellStyle name="Normal 2 2 41" xfId="2328" xr:uid="{00000000-0005-0000-0000-000075090000}"/>
    <cellStyle name="Normal 2 2 42" xfId="2329" xr:uid="{00000000-0005-0000-0000-000076090000}"/>
    <cellStyle name="Normal 2 2 43" xfId="2330" xr:uid="{00000000-0005-0000-0000-000077090000}"/>
    <cellStyle name="Normal 2 2 44" xfId="2331" xr:uid="{00000000-0005-0000-0000-000078090000}"/>
    <cellStyle name="Normal 2 2 45" xfId="2332" xr:uid="{00000000-0005-0000-0000-000079090000}"/>
    <cellStyle name="Normal 2 2 46" xfId="2333" xr:uid="{00000000-0005-0000-0000-00007A090000}"/>
    <cellStyle name="Normal 2 2 47" xfId="2334" xr:uid="{00000000-0005-0000-0000-00007B090000}"/>
    <cellStyle name="Normal 2 2 48" xfId="2335" xr:uid="{00000000-0005-0000-0000-00007C090000}"/>
    <cellStyle name="Normal 2 2 49" xfId="2336" xr:uid="{00000000-0005-0000-0000-00007D090000}"/>
    <cellStyle name="Normal 2 2 5" xfId="2337" xr:uid="{00000000-0005-0000-0000-00007E090000}"/>
    <cellStyle name="Normal 2 2 50" xfId="2338" xr:uid="{00000000-0005-0000-0000-00007F090000}"/>
    <cellStyle name="Normal 2 2 51" xfId="2339" xr:uid="{00000000-0005-0000-0000-000080090000}"/>
    <cellStyle name="Normal 2 2 52" xfId="2340" xr:uid="{00000000-0005-0000-0000-000081090000}"/>
    <cellStyle name="Normal 2 2 53" xfId="2341" xr:uid="{00000000-0005-0000-0000-000082090000}"/>
    <cellStyle name="Normal 2 2 54" xfId="2342" xr:uid="{00000000-0005-0000-0000-000083090000}"/>
    <cellStyle name="Normal 2 2 55" xfId="2343" xr:uid="{00000000-0005-0000-0000-000084090000}"/>
    <cellStyle name="Normal 2 2 56" xfId="2344" xr:uid="{00000000-0005-0000-0000-000085090000}"/>
    <cellStyle name="Normal 2 2 57" xfId="2345" xr:uid="{00000000-0005-0000-0000-000086090000}"/>
    <cellStyle name="Normal 2 2 58" xfId="2346" xr:uid="{00000000-0005-0000-0000-000087090000}"/>
    <cellStyle name="Normal 2 2 59" xfId="2347" xr:uid="{00000000-0005-0000-0000-000088090000}"/>
    <cellStyle name="Normal 2 2 6" xfId="2348" xr:uid="{00000000-0005-0000-0000-000089090000}"/>
    <cellStyle name="Normal 2 2 60" xfId="2349" xr:uid="{00000000-0005-0000-0000-00008A090000}"/>
    <cellStyle name="Normal 2 2 61" xfId="2350" xr:uid="{00000000-0005-0000-0000-00008B090000}"/>
    <cellStyle name="Normal 2 2 62" xfId="2351" xr:uid="{00000000-0005-0000-0000-00008C090000}"/>
    <cellStyle name="Normal 2 2 63" xfId="2352" xr:uid="{00000000-0005-0000-0000-00008D090000}"/>
    <cellStyle name="Normal 2 2 64" xfId="2353" xr:uid="{00000000-0005-0000-0000-00008E090000}"/>
    <cellStyle name="Normal 2 2 7" xfId="2354" xr:uid="{00000000-0005-0000-0000-00008F090000}"/>
    <cellStyle name="Normal 2 2 8" xfId="2355" xr:uid="{00000000-0005-0000-0000-000090090000}"/>
    <cellStyle name="Normal 2 2 9" xfId="2356" xr:uid="{00000000-0005-0000-0000-000091090000}"/>
    <cellStyle name="Normal 2 20" xfId="2357" xr:uid="{00000000-0005-0000-0000-000092090000}"/>
    <cellStyle name="Normal 2 21" xfId="2358" xr:uid="{00000000-0005-0000-0000-000093090000}"/>
    <cellStyle name="Normal 2 22" xfId="2359" xr:uid="{00000000-0005-0000-0000-000094090000}"/>
    <cellStyle name="Normal 2 23" xfId="2360" xr:uid="{00000000-0005-0000-0000-000095090000}"/>
    <cellStyle name="Normal 2 24" xfId="2361" xr:uid="{00000000-0005-0000-0000-000096090000}"/>
    <cellStyle name="Normal 2 25" xfId="2362" xr:uid="{00000000-0005-0000-0000-000097090000}"/>
    <cellStyle name="Normal 2 26" xfId="2363" xr:uid="{00000000-0005-0000-0000-000098090000}"/>
    <cellStyle name="Normal 2 27" xfId="2364" xr:uid="{00000000-0005-0000-0000-000099090000}"/>
    <cellStyle name="Normal 2 28" xfId="2365" xr:uid="{00000000-0005-0000-0000-00009A090000}"/>
    <cellStyle name="Normal 2 29" xfId="2366" xr:uid="{00000000-0005-0000-0000-00009B090000}"/>
    <cellStyle name="Normal 2 3" xfId="71" xr:uid="{00000000-0005-0000-0000-00009C090000}"/>
    <cellStyle name="Normal 2 3 2" xfId="2367" xr:uid="{00000000-0005-0000-0000-00009D090000}"/>
    <cellStyle name="Normal 2 3 3" xfId="2368" xr:uid="{00000000-0005-0000-0000-00009E090000}"/>
    <cellStyle name="Normal 2 3 3 2" xfId="2369" xr:uid="{00000000-0005-0000-0000-00009F090000}"/>
    <cellStyle name="Normal 2 3 4" xfId="2844" xr:uid="{00000000-0005-0000-0000-0000A0090000}"/>
    <cellStyle name="Normal 2 30" xfId="2370" xr:uid="{00000000-0005-0000-0000-0000A1090000}"/>
    <cellStyle name="Normal 2 31" xfId="2371" xr:uid="{00000000-0005-0000-0000-0000A2090000}"/>
    <cellStyle name="Normal 2 32" xfId="2372" xr:uid="{00000000-0005-0000-0000-0000A3090000}"/>
    <cellStyle name="Normal 2 33" xfId="2373" xr:uid="{00000000-0005-0000-0000-0000A4090000}"/>
    <cellStyle name="Normal 2 34" xfId="2374" xr:uid="{00000000-0005-0000-0000-0000A5090000}"/>
    <cellStyle name="Normal 2 35" xfId="2375" xr:uid="{00000000-0005-0000-0000-0000A6090000}"/>
    <cellStyle name="Normal 2 36" xfId="2376" xr:uid="{00000000-0005-0000-0000-0000A7090000}"/>
    <cellStyle name="Normal 2 37" xfId="2377" xr:uid="{00000000-0005-0000-0000-0000A8090000}"/>
    <cellStyle name="Normal 2 38" xfId="2378" xr:uid="{00000000-0005-0000-0000-0000A9090000}"/>
    <cellStyle name="Normal 2 39" xfId="2379" xr:uid="{00000000-0005-0000-0000-0000AA090000}"/>
    <cellStyle name="Normal 2 4" xfId="72" xr:uid="{00000000-0005-0000-0000-0000AB090000}"/>
    <cellStyle name="Normal 2 4 2" xfId="2380" xr:uid="{00000000-0005-0000-0000-0000AC090000}"/>
    <cellStyle name="Normal 2 4 3" xfId="2845" xr:uid="{00000000-0005-0000-0000-0000AD090000}"/>
    <cellStyle name="Normal 2 40" xfId="2381" xr:uid="{00000000-0005-0000-0000-0000AE090000}"/>
    <cellStyle name="Normal 2 41" xfId="2382" xr:uid="{00000000-0005-0000-0000-0000AF090000}"/>
    <cellStyle name="Normal 2 42" xfId="2383" xr:uid="{00000000-0005-0000-0000-0000B0090000}"/>
    <cellStyle name="Normal 2 43" xfId="2384" xr:uid="{00000000-0005-0000-0000-0000B1090000}"/>
    <cellStyle name="Normal 2 44" xfId="2385" xr:uid="{00000000-0005-0000-0000-0000B2090000}"/>
    <cellStyle name="Normal 2 45" xfId="2386" xr:uid="{00000000-0005-0000-0000-0000B3090000}"/>
    <cellStyle name="Normal 2 46" xfId="2387" xr:uid="{00000000-0005-0000-0000-0000B4090000}"/>
    <cellStyle name="Normal 2 47" xfId="2388" xr:uid="{00000000-0005-0000-0000-0000B5090000}"/>
    <cellStyle name="Normal 2 48" xfId="2389" xr:uid="{00000000-0005-0000-0000-0000B6090000}"/>
    <cellStyle name="Normal 2 49" xfId="2390" xr:uid="{00000000-0005-0000-0000-0000B7090000}"/>
    <cellStyle name="Normal 2 5" xfId="2391" xr:uid="{00000000-0005-0000-0000-0000B8090000}"/>
    <cellStyle name="Normal 2 50" xfId="2392" xr:uid="{00000000-0005-0000-0000-0000B9090000}"/>
    <cellStyle name="Normal 2 51" xfId="2393" xr:uid="{00000000-0005-0000-0000-0000BA090000}"/>
    <cellStyle name="Normal 2 52" xfId="2394" xr:uid="{00000000-0005-0000-0000-0000BB090000}"/>
    <cellStyle name="Normal 2 53" xfId="2395" xr:uid="{00000000-0005-0000-0000-0000BC090000}"/>
    <cellStyle name="Normal 2 54" xfId="2396" xr:uid="{00000000-0005-0000-0000-0000BD090000}"/>
    <cellStyle name="Normal 2 55" xfId="2397" xr:uid="{00000000-0005-0000-0000-0000BE090000}"/>
    <cellStyle name="Normal 2 56" xfId="2398" xr:uid="{00000000-0005-0000-0000-0000BF090000}"/>
    <cellStyle name="Normal 2 57" xfId="2399" xr:uid="{00000000-0005-0000-0000-0000C0090000}"/>
    <cellStyle name="Normal 2 58" xfId="2400" xr:uid="{00000000-0005-0000-0000-0000C1090000}"/>
    <cellStyle name="Normal 2 59" xfId="2401" xr:uid="{00000000-0005-0000-0000-0000C2090000}"/>
    <cellStyle name="Normal 2 6" xfId="2402" xr:uid="{00000000-0005-0000-0000-0000C3090000}"/>
    <cellStyle name="Normal 2 60" xfId="2403" xr:uid="{00000000-0005-0000-0000-0000C4090000}"/>
    <cellStyle name="Normal 2 61" xfId="2404" xr:uid="{00000000-0005-0000-0000-0000C5090000}"/>
    <cellStyle name="Normal 2 62" xfId="2405" xr:uid="{00000000-0005-0000-0000-0000C6090000}"/>
    <cellStyle name="Normal 2 63" xfId="2406" xr:uid="{00000000-0005-0000-0000-0000C7090000}"/>
    <cellStyle name="Normal 2 64" xfId="2407" xr:uid="{00000000-0005-0000-0000-0000C8090000}"/>
    <cellStyle name="Normal 2 65" xfId="2408" xr:uid="{00000000-0005-0000-0000-0000C9090000}"/>
    <cellStyle name="Normal 2 66" xfId="2409" xr:uid="{00000000-0005-0000-0000-0000CA090000}"/>
    <cellStyle name="Normal 2 67" xfId="2410" xr:uid="{00000000-0005-0000-0000-0000CB090000}"/>
    <cellStyle name="Normal 2 68" xfId="2411" xr:uid="{00000000-0005-0000-0000-0000CC090000}"/>
    <cellStyle name="Normal 2 7" xfId="2412" xr:uid="{00000000-0005-0000-0000-0000CD090000}"/>
    <cellStyle name="Normal 2 8" xfId="2413" xr:uid="{00000000-0005-0000-0000-0000CE090000}"/>
    <cellStyle name="Normal 2 9" xfId="2414" xr:uid="{00000000-0005-0000-0000-0000CF090000}"/>
    <cellStyle name="Normal 2_4. ANEXOS TECNICOS" xfId="2415" xr:uid="{00000000-0005-0000-0000-0000D0090000}"/>
    <cellStyle name="Normal 20" xfId="2416" xr:uid="{00000000-0005-0000-0000-0000D1090000}"/>
    <cellStyle name="Normal 21" xfId="2417" xr:uid="{00000000-0005-0000-0000-0000D2090000}"/>
    <cellStyle name="Normal 22" xfId="73" xr:uid="{00000000-0005-0000-0000-0000D3090000}"/>
    <cellStyle name="Normal 22 2" xfId="2846" xr:uid="{00000000-0005-0000-0000-0000D4090000}"/>
    <cellStyle name="Normal 23" xfId="2418" xr:uid="{00000000-0005-0000-0000-0000D5090000}"/>
    <cellStyle name="Normal 24" xfId="2419" xr:uid="{00000000-0005-0000-0000-0000D6090000}"/>
    <cellStyle name="Normal 24 2" xfId="2420" xr:uid="{00000000-0005-0000-0000-0000D7090000}"/>
    <cellStyle name="Normal 25" xfId="2421" xr:uid="{00000000-0005-0000-0000-0000D8090000}"/>
    <cellStyle name="Normal 26" xfId="2422" xr:uid="{00000000-0005-0000-0000-0000D9090000}"/>
    <cellStyle name="Normal 27" xfId="2423" xr:uid="{00000000-0005-0000-0000-0000DA090000}"/>
    <cellStyle name="Normal 28" xfId="2424" xr:uid="{00000000-0005-0000-0000-0000DB090000}"/>
    <cellStyle name="Normal 29" xfId="2425" xr:uid="{00000000-0005-0000-0000-0000DC090000}"/>
    <cellStyle name="Normal 3" xfId="74" xr:uid="{00000000-0005-0000-0000-0000DD090000}"/>
    <cellStyle name="Normal 3 10" xfId="2426" xr:uid="{00000000-0005-0000-0000-0000DE090000}"/>
    <cellStyle name="Normal 3 11" xfId="2427" xr:uid="{00000000-0005-0000-0000-0000DF090000}"/>
    <cellStyle name="Normal 3 12" xfId="2428" xr:uid="{00000000-0005-0000-0000-0000E0090000}"/>
    <cellStyle name="Normal 3 13" xfId="2429" xr:uid="{00000000-0005-0000-0000-0000E1090000}"/>
    <cellStyle name="Normal 3 14" xfId="2430" xr:uid="{00000000-0005-0000-0000-0000E2090000}"/>
    <cellStyle name="Normal 3 15" xfId="2431" xr:uid="{00000000-0005-0000-0000-0000E3090000}"/>
    <cellStyle name="Normal 3 16" xfId="2432" xr:uid="{00000000-0005-0000-0000-0000E4090000}"/>
    <cellStyle name="Normal 3 17" xfId="2433" xr:uid="{00000000-0005-0000-0000-0000E5090000}"/>
    <cellStyle name="Normal 3 18" xfId="2434" xr:uid="{00000000-0005-0000-0000-0000E6090000}"/>
    <cellStyle name="Normal 3 19" xfId="2435" xr:uid="{00000000-0005-0000-0000-0000E7090000}"/>
    <cellStyle name="Normal 3 2" xfId="6" xr:uid="{00000000-0005-0000-0000-0000E8090000}"/>
    <cellStyle name="Normal 3 2 2" xfId="2796" xr:uid="{00000000-0005-0000-0000-0000E9090000}"/>
    <cellStyle name="Normal 3 20" xfId="2436" xr:uid="{00000000-0005-0000-0000-0000EA090000}"/>
    <cellStyle name="Normal 3 21" xfId="2437" xr:uid="{00000000-0005-0000-0000-0000EB090000}"/>
    <cellStyle name="Normal 3 22" xfId="2438" xr:uid="{00000000-0005-0000-0000-0000EC090000}"/>
    <cellStyle name="Normal 3 23" xfId="2439" xr:uid="{00000000-0005-0000-0000-0000ED090000}"/>
    <cellStyle name="Normal 3 24" xfId="2440" xr:uid="{00000000-0005-0000-0000-0000EE090000}"/>
    <cellStyle name="Normal 3 25" xfId="2441" xr:uid="{00000000-0005-0000-0000-0000EF090000}"/>
    <cellStyle name="Normal 3 26" xfId="2442" xr:uid="{00000000-0005-0000-0000-0000F0090000}"/>
    <cellStyle name="Normal 3 27" xfId="2443" xr:uid="{00000000-0005-0000-0000-0000F1090000}"/>
    <cellStyle name="Normal 3 28" xfId="2444" xr:uid="{00000000-0005-0000-0000-0000F2090000}"/>
    <cellStyle name="Normal 3 29" xfId="2445" xr:uid="{00000000-0005-0000-0000-0000F3090000}"/>
    <cellStyle name="Normal 3 3" xfId="85" xr:uid="{00000000-0005-0000-0000-0000F4090000}"/>
    <cellStyle name="Normal 3 30" xfId="2446" xr:uid="{00000000-0005-0000-0000-0000F5090000}"/>
    <cellStyle name="Normal 3 31" xfId="2447" xr:uid="{00000000-0005-0000-0000-0000F6090000}"/>
    <cellStyle name="Normal 3 32" xfId="2448" xr:uid="{00000000-0005-0000-0000-0000F7090000}"/>
    <cellStyle name="Normal 3 33" xfId="2449" xr:uid="{00000000-0005-0000-0000-0000F8090000}"/>
    <cellStyle name="Normal 3 34" xfId="2450" xr:uid="{00000000-0005-0000-0000-0000F9090000}"/>
    <cellStyle name="Normal 3 35" xfId="2451" xr:uid="{00000000-0005-0000-0000-0000FA090000}"/>
    <cellStyle name="Normal 3 36" xfId="2452" xr:uid="{00000000-0005-0000-0000-0000FB090000}"/>
    <cellStyle name="Normal 3 37" xfId="2453" xr:uid="{00000000-0005-0000-0000-0000FC090000}"/>
    <cellStyle name="Normal 3 38" xfId="2454" xr:uid="{00000000-0005-0000-0000-0000FD090000}"/>
    <cellStyle name="Normal 3 39" xfId="2455" xr:uid="{00000000-0005-0000-0000-0000FE090000}"/>
    <cellStyle name="Normal 3 4" xfId="2456" xr:uid="{00000000-0005-0000-0000-0000FF090000}"/>
    <cellStyle name="Normal 3 40" xfId="2457" xr:uid="{00000000-0005-0000-0000-0000000A0000}"/>
    <cellStyle name="Normal 3 41" xfId="2458" xr:uid="{00000000-0005-0000-0000-0000010A0000}"/>
    <cellStyle name="Normal 3 42" xfId="2459" xr:uid="{00000000-0005-0000-0000-0000020A0000}"/>
    <cellStyle name="Normal 3 43" xfId="2460" xr:uid="{00000000-0005-0000-0000-0000030A0000}"/>
    <cellStyle name="Normal 3 43 2" xfId="2461" xr:uid="{00000000-0005-0000-0000-0000040A0000}"/>
    <cellStyle name="Normal 3 44" xfId="2462" xr:uid="{00000000-0005-0000-0000-0000050A0000}"/>
    <cellStyle name="Normal 3 44 2" xfId="2463" xr:uid="{00000000-0005-0000-0000-0000060A0000}"/>
    <cellStyle name="Normal 3 45" xfId="2464" xr:uid="{00000000-0005-0000-0000-0000070A0000}"/>
    <cellStyle name="Normal 3 46" xfId="2465" xr:uid="{00000000-0005-0000-0000-0000080A0000}"/>
    <cellStyle name="Normal 3 47" xfId="2466" xr:uid="{00000000-0005-0000-0000-0000090A0000}"/>
    <cellStyle name="Normal 3 48" xfId="2467" xr:uid="{00000000-0005-0000-0000-00000A0A0000}"/>
    <cellStyle name="Normal 3 49" xfId="2468" xr:uid="{00000000-0005-0000-0000-00000B0A0000}"/>
    <cellStyle name="Normal 3 5" xfId="2469" xr:uid="{00000000-0005-0000-0000-00000C0A0000}"/>
    <cellStyle name="Normal 3 50" xfId="2470" xr:uid="{00000000-0005-0000-0000-00000D0A0000}"/>
    <cellStyle name="Normal 3 51" xfId="2471" xr:uid="{00000000-0005-0000-0000-00000E0A0000}"/>
    <cellStyle name="Normal 3 52" xfId="2472" xr:uid="{00000000-0005-0000-0000-00000F0A0000}"/>
    <cellStyle name="Normal 3 53" xfId="2473" xr:uid="{00000000-0005-0000-0000-0000100A0000}"/>
    <cellStyle name="Normal 3 54" xfId="2474" xr:uid="{00000000-0005-0000-0000-0000110A0000}"/>
    <cellStyle name="Normal 3 55" xfId="2475" xr:uid="{00000000-0005-0000-0000-0000120A0000}"/>
    <cellStyle name="Normal 3 56" xfId="2476" xr:uid="{00000000-0005-0000-0000-0000130A0000}"/>
    <cellStyle name="Normal 3 57" xfId="2477" xr:uid="{00000000-0005-0000-0000-0000140A0000}"/>
    <cellStyle name="Normal 3 58" xfId="2478" xr:uid="{00000000-0005-0000-0000-0000150A0000}"/>
    <cellStyle name="Normal 3 59" xfId="2479" xr:uid="{00000000-0005-0000-0000-0000160A0000}"/>
    <cellStyle name="Normal 3 6" xfId="2480" xr:uid="{00000000-0005-0000-0000-0000170A0000}"/>
    <cellStyle name="Normal 3 60" xfId="2481" xr:uid="{00000000-0005-0000-0000-0000180A0000}"/>
    <cellStyle name="Normal 3 61" xfId="2482" xr:uid="{00000000-0005-0000-0000-0000190A0000}"/>
    <cellStyle name="Normal 3 62" xfId="2483" xr:uid="{00000000-0005-0000-0000-00001A0A0000}"/>
    <cellStyle name="Normal 3 63" xfId="2484" xr:uid="{00000000-0005-0000-0000-00001B0A0000}"/>
    <cellStyle name="Normal 3 64" xfId="2485" xr:uid="{00000000-0005-0000-0000-00001C0A0000}"/>
    <cellStyle name="Normal 3 65" xfId="2486" xr:uid="{00000000-0005-0000-0000-00001D0A0000}"/>
    <cellStyle name="Normal 3 66" xfId="2487" xr:uid="{00000000-0005-0000-0000-00001E0A0000}"/>
    <cellStyle name="Normal 3 67" xfId="2488" xr:uid="{00000000-0005-0000-0000-00001F0A0000}"/>
    <cellStyle name="Normal 3 68" xfId="2489" xr:uid="{00000000-0005-0000-0000-0000200A0000}"/>
    <cellStyle name="Normal 3 69" xfId="2490" xr:uid="{00000000-0005-0000-0000-0000210A0000}"/>
    <cellStyle name="Normal 3 7" xfId="2491" xr:uid="{00000000-0005-0000-0000-0000220A0000}"/>
    <cellStyle name="Normal 3 70" xfId="2492" xr:uid="{00000000-0005-0000-0000-0000230A0000}"/>
    <cellStyle name="Normal 3 71" xfId="2493" xr:uid="{00000000-0005-0000-0000-0000240A0000}"/>
    <cellStyle name="Normal 3 72" xfId="2494" xr:uid="{00000000-0005-0000-0000-0000250A0000}"/>
    <cellStyle name="Normal 3 73" xfId="2495" xr:uid="{00000000-0005-0000-0000-0000260A0000}"/>
    <cellStyle name="Normal 3 74" xfId="2496" xr:uid="{00000000-0005-0000-0000-0000270A0000}"/>
    <cellStyle name="Normal 3 75" xfId="2497" xr:uid="{00000000-0005-0000-0000-0000280A0000}"/>
    <cellStyle name="Normal 3 76" xfId="2498" xr:uid="{00000000-0005-0000-0000-0000290A0000}"/>
    <cellStyle name="Normal 3 76 2" xfId="2499" xr:uid="{00000000-0005-0000-0000-00002A0A0000}"/>
    <cellStyle name="Normal 3 8" xfId="2500" xr:uid="{00000000-0005-0000-0000-00002B0A0000}"/>
    <cellStyle name="Normal 3 9" xfId="2501" xr:uid="{00000000-0005-0000-0000-00002C0A0000}"/>
    <cellStyle name="Normal 3_4. ANEXOS TECNICOS" xfId="2502" xr:uid="{00000000-0005-0000-0000-00002D0A0000}"/>
    <cellStyle name="Normal 30" xfId="2503" xr:uid="{00000000-0005-0000-0000-00002E0A0000}"/>
    <cellStyle name="Normal 31" xfId="2504" xr:uid="{00000000-0005-0000-0000-00002F0A0000}"/>
    <cellStyle name="Normal 32" xfId="2505" xr:uid="{00000000-0005-0000-0000-0000300A0000}"/>
    <cellStyle name="Normal 33" xfId="2506" xr:uid="{00000000-0005-0000-0000-0000310A0000}"/>
    <cellStyle name="Normal 34" xfId="2507" xr:uid="{00000000-0005-0000-0000-0000320A0000}"/>
    <cellStyle name="Normal 35" xfId="2508" xr:uid="{00000000-0005-0000-0000-0000330A0000}"/>
    <cellStyle name="Normal 36" xfId="2509" xr:uid="{00000000-0005-0000-0000-0000340A0000}"/>
    <cellStyle name="Normal 37" xfId="2510" xr:uid="{00000000-0005-0000-0000-0000350A0000}"/>
    <cellStyle name="Normal 38" xfId="2511" xr:uid="{00000000-0005-0000-0000-0000360A0000}"/>
    <cellStyle name="Normal 39" xfId="2512" xr:uid="{00000000-0005-0000-0000-0000370A0000}"/>
    <cellStyle name="Normal 39 2" xfId="2513" xr:uid="{00000000-0005-0000-0000-0000380A0000}"/>
    <cellStyle name="Normal 39 2 2" xfId="2514" xr:uid="{00000000-0005-0000-0000-0000390A0000}"/>
    <cellStyle name="Normal 39 3" xfId="2515" xr:uid="{00000000-0005-0000-0000-00003A0A0000}"/>
    <cellStyle name="Normal 4" xfId="75" xr:uid="{00000000-0005-0000-0000-00003B0A0000}"/>
    <cellStyle name="Normal 4 2" xfId="2516" xr:uid="{00000000-0005-0000-0000-00003C0A0000}"/>
    <cellStyle name="Normal 4 2 2" xfId="2517" xr:uid="{00000000-0005-0000-0000-00003D0A0000}"/>
    <cellStyle name="Normal 4 2 2 2" xfId="2518" xr:uid="{00000000-0005-0000-0000-00003E0A0000}"/>
    <cellStyle name="Normal 4 2 2 2 2" xfId="2519" xr:uid="{00000000-0005-0000-0000-00003F0A0000}"/>
    <cellStyle name="Normal 4 2 2 3" xfId="2520" xr:uid="{00000000-0005-0000-0000-0000400A0000}"/>
    <cellStyle name="Normal 4 2 2 3 2" xfId="2521" xr:uid="{00000000-0005-0000-0000-0000410A0000}"/>
    <cellStyle name="Normal 4 2 3" xfId="2522" xr:uid="{00000000-0005-0000-0000-0000420A0000}"/>
    <cellStyle name="Normal 4 2 4" xfId="2523" xr:uid="{00000000-0005-0000-0000-0000430A0000}"/>
    <cellStyle name="Normal 4 2 4 2" xfId="2524" xr:uid="{00000000-0005-0000-0000-0000440A0000}"/>
    <cellStyle name="Normal 4 3" xfId="2525" xr:uid="{00000000-0005-0000-0000-0000450A0000}"/>
    <cellStyle name="Normal 4 3 2" xfId="2526" xr:uid="{00000000-0005-0000-0000-0000460A0000}"/>
    <cellStyle name="Normal 4 4" xfId="2527" xr:uid="{00000000-0005-0000-0000-0000470A0000}"/>
    <cellStyle name="Normal 4 4 2" xfId="2528" xr:uid="{00000000-0005-0000-0000-0000480A0000}"/>
    <cellStyle name="Normal 4 5" xfId="2529" xr:uid="{00000000-0005-0000-0000-0000490A0000}"/>
    <cellStyle name="Normal 4 5 2" xfId="2530" xr:uid="{00000000-0005-0000-0000-00004A0A0000}"/>
    <cellStyle name="Normal 4 6" xfId="2786" xr:uid="{00000000-0005-0000-0000-00004B0A0000}"/>
    <cellStyle name="Normal 40" xfId="2531" xr:uid="{00000000-0005-0000-0000-00004C0A0000}"/>
    <cellStyle name="Normal 40 2" xfId="2532" xr:uid="{00000000-0005-0000-0000-00004D0A0000}"/>
    <cellStyle name="Normal 41" xfId="2533" xr:uid="{00000000-0005-0000-0000-00004E0A0000}"/>
    <cellStyle name="Normal 42" xfId="2534" xr:uid="{00000000-0005-0000-0000-00004F0A0000}"/>
    <cellStyle name="Normal 43" xfId="2535" xr:uid="{00000000-0005-0000-0000-0000500A0000}"/>
    <cellStyle name="Normal 44" xfId="76" xr:uid="{00000000-0005-0000-0000-0000510A0000}"/>
    <cellStyle name="Normal 44 10" xfId="2536" xr:uid="{00000000-0005-0000-0000-0000520A0000}"/>
    <cellStyle name="Normal 44 11" xfId="2537" xr:uid="{00000000-0005-0000-0000-0000530A0000}"/>
    <cellStyle name="Normal 44 12" xfId="2538" xr:uid="{00000000-0005-0000-0000-0000540A0000}"/>
    <cellStyle name="Normal 44 13" xfId="2539" xr:uid="{00000000-0005-0000-0000-0000550A0000}"/>
    <cellStyle name="Normal 44 14" xfId="2540" xr:uid="{00000000-0005-0000-0000-0000560A0000}"/>
    <cellStyle name="Normal 44 15" xfId="2541" xr:uid="{00000000-0005-0000-0000-0000570A0000}"/>
    <cellStyle name="Normal 44 16" xfId="2542" xr:uid="{00000000-0005-0000-0000-0000580A0000}"/>
    <cellStyle name="Normal 44 17" xfId="2543" xr:uid="{00000000-0005-0000-0000-0000590A0000}"/>
    <cellStyle name="Normal 44 18" xfId="2544" xr:uid="{00000000-0005-0000-0000-00005A0A0000}"/>
    <cellStyle name="Normal 44 19" xfId="2545" xr:uid="{00000000-0005-0000-0000-00005B0A0000}"/>
    <cellStyle name="Normal 44 2" xfId="2546" xr:uid="{00000000-0005-0000-0000-00005C0A0000}"/>
    <cellStyle name="Normal 44 20" xfId="2547" xr:uid="{00000000-0005-0000-0000-00005D0A0000}"/>
    <cellStyle name="Normal 44 21" xfId="2548" xr:uid="{00000000-0005-0000-0000-00005E0A0000}"/>
    <cellStyle name="Normal 44 22" xfId="2549" xr:uid="{00000000-0005-0000-0000-00005F0A0000}"/>
    <cellStyle name="Normal 44 23" xfId="2550" xr:uid="{00000000-0005-0000-0000-0000600A0000}"/>
    <cellStyle name="Normal 44 24" xfId="2551" xr:uid="{00000000-0005-0000-0000-0000610A0000}"/>
    <cellStyle name="Normal 44 25" xfId="2552" xr:uid="{00000000-0005-0000-0000-0000620A0000}"/>
    <cellStyle name="Normal 44 26" xfId="2553" xr:uid="{00000000-0005-0000-0000-0000630A0000}"/>
    <cellStyle name="Normal 44 27" xfId="2554" xr:uid="{00000000-0005-0000-0000-0000640A0000}"/>
    <cellStyle name="Normal 44 28" xfId="2555" xr:uid="{00000000-0005-0000-0000-0000650A0000}"/>
    <cellStyle name="Normal 44 29" xfId="2556" xr:uid="{00000000-0005-0000-0000-0000660A0000}"/>
    <cellStyle name="Normal 44 3" xfId="2557" xr:uid="{00000000-0005-0000-0000-0000670A0000}"/>
    <cellStyle name="Normal 44 30" xfId="2558" xr:uid="{00000000-0005-0000-0000-0000680A0000}"/>
    <cellStyle name="Normal 44 31" xfId="2559" xr:uid="{00000000-0005-0000-0000-0000690A0000}"/>
    <cellStyle name="Normal 44 32" xfId="2560" xr:uid="{00000000-0005-0000-0000-00006A0A0000}"/>
    <cellStyle name="Normal 44 33" xfId="2561" xr:uid="{00000000-0005-0000-0000-00006B0A0000}"/>
    <cellStyle name="Normal 44 34" xfId="2562" xr:uid="{00000000-0005-0000-0000-00006C0A0000}"/>
    <cellStyle name="Normal 44 35" xfId="2563" xr:uid="{00000000-0005-0000-0000-00006D0A0000}"/>
    <cellStyle name="Normal 44 36" xfId="2564" xr:uid="{00000000-0005-0000-0000-00006E0A0000}"/>
    <cellStyle name="Normal 44 37" xfId="2565" xr:uid="{00000000-0005-0000-0000-00006F0A0000}"/>
    <cellStyle name="Normal 44 38" xfId="2566" xr:uid="{00000000-0005-0000-0000-0000700A0000}"/>
    <cellStyle name="Normal 44 39" xfId="2567" xr:uid="{00000000-0005-0000-0000-0000710A0000}"/>
    <cellStyle name="Normal 44 4" xfId="2568" xr:uid="{00000000-0005-0000-0000-0000720A0000}"/>
    <cellStyle name="Normal 44 40" xfId="2569" xr:uid="{00000000-0005-0000-0000-0000730A0000}"/>
    <cellStyle name="Normal 44 41" xfId="2570" xr:uid="{00000000-0005-0000-0000-0000740A0000}"/>
    <cellStyle name="Normal 44 42" xfId="2571" xr:uid="{00000000-0005-0000-0000-0000750A0000}"/>
    <cellStyle name="Normal 44 43" xfId="2572" xr:uid="{00000000-0005-0000-0000-0000760A0000}"/>
    <cellStyle name="Normal 44 44" xfId="2573" xr:uid="{00000000-0005-0000-0000-0000770A0000}"/>
    <cellStyle name="Normal 44 45" xfId="2574" xr:uid="{00000000-0005-0000-0000-0000780A0000}"/>
    <cellStyle name="Normal 44 46" xfId="2575" xr:uid="{00000000-0005-0000-0000-0000790A0000}"/>
    <cellStyle name="Normal 44 47" xfId="2576" xr:uid="{00000000-0005-0000-0000-00007A0A0000}"/>
    <cellStyle name="Normal 44 48" xfId="2577" xr:uid="{00000000-0005-0000-0000-00007B0A0000}"/>
    <cellStyle name="Normal 44 49" xfId="2578" xr:uid="{00000000-0005-0000-0000-00007C0A0000}"/>
    <cellStyle name="Normal 44 5" xfId="2579" xr:uid="{00000000-0005-0000-0000-00007D0A0000}"/>
    <cellStyle name="Normal 44 50" xfId="2580" xr:uid="{00000000-0005-0000-0000-00007E0A0000}"/>
    <cellStyle name="Normal 44 51" xfId="2581" xr:uid="{00000000-0005-0000-0000-00007F0A0000}"/>
    <cellStyle name="Normal 44 52" xfId="2582" xr:uid="{00000000-0005-0000-0000-0000800A0000}"/>
    <cellStyle name="Normal 44 53" xfId="2583" xr:uid="{00000000-0005-0000-0000-0000810A0000}"/>
    <cellStyle name="Normal 44 54" xfId="2584" xr:uid="{00000000-0005-0000-0000-0000820A0000}"/>
    <cellStyle name="Normal 44 55" xfId="2585" xr:uid="{00000000-0005-0000-0000-0000830A0000}"/>
    <cellStyle name="Normal 44 56" xfId="2586" xr:uid="{00000000-0005-0000-0000-0000840A0000}"/>
    <cellStyle name="Normal 44 57" xfId="2587" xr:uid="{00000000-0005-0000-0000-0000850A0000}"/>
    <cellStyle name="Normal 44 58" xfId="2588" xr:uid="{00000000-0005-0000-0000-0000860A0000}"/>
    <cellStyle name="Normal 44 59" xfId="2589" xr:uid="{00000000-0005-0000-0000-0000870A0000}"/>
    <cellStyle name="Normal 44 6" xfId="2590" xr:uid="{00000000-0005-0000-0000-0000880A0000}"/>
    <cellStyle name="Normal 44 60" xfId="2591" xr:uid="{00000000-0005-0000-0000-0000890A0000}"/>
    <cellStyle name="Normal 44 61" xfId="2592" xr:uid="{00000000-0005-0000-0000-00008A0A0000}"/>
    <cellStyle name="Normal 44 62" xfId="2593" xr:uid="{00000000-0005-0000-0000-00008B0A0000}"/>
    <cellStyle name="Normal 44 63" xfId="2594" xr:uid="{00000000-0005-0000-0000-00008C0A0000}"/>
    <cellStyle name="Normal 44 64" xfId="2595" xr:uid="{00000000-0005-0000-0000-00008D0A0000}"/>
    <cellStyle name="Normal 44 65" xfId="2596" xr:uid="{00000000-0005-0000-0000-00008E0A0000}"/>
    <cellStyle name="Normal 44 66" xfId="2597" xr:uid="{00000000-0005-0000-0000-00008F0A0000}"/>
    <cellStyle name="Normal 44 67" xfId="2598" xr:uid="{00000000-0005-0000-0000-0000900A0000}"/>
    <cellStyle name="Normal 44 68" xfId="2599" xr:uid="{00000000-0005-0000-0000-0000910A0000}"/>
    <cellStyle name="Normal 44 69" xfId="2600" xr:uid="{00000000-0005-0000-0000-0000920A0000}"/>
    <cellStyle name="Normal 44 7" xfId="2601" xr:uid="{00000000-0005-0000-0000-0000930A0000}"/>
    <cellStyle name="Normal 44 70" xfId="2602" xr:uid="{00000000-0005-0000-0000-0000940A0000}"/>
    <cellStyle name="Normal 44 71" xfId="2603" xr:uid="{00000000-0005-0000-0000-0000950A0000}"/>
    <cellStyle name="Normal 44 72" xfId="2604" xr:uid="{00000000-0005-0000-0000-0000960A0000}"/>
    <cellStyle name="Normal 44 73" xfId="2605" xr:uid="{00000000-0005-0000-0000-0000970A0000}"/>
    <cellStyle name="Normal 44 74" xfId="2606" xr:uid="{00000000-0005-0000-0000-0000980A0000}"/>
    <cellStyle name="Normal 44 75" xfId="2848" xr:uid="{00000000-0005-0000-0000-0000990A0000}"/>
    <cellStyle name="Normal 44 8" xfId="2607" xr:uid="{00000000-0005-0000-0000-00009A0A0000}"/>
    <cellStyle name="Normal 44 9" xfId="2608" xr:uid="{00000000-0005-0000-0000-00009B0A0000}"/>
    <cellStyle name="Normal 44_INFORME DE EVALUACION TECNICO PRELIMINAR AJUSTADO" xfId="2609" xr:uid="{00000000-0005-0000-0000-00009C0A0000}"/>
    <cellStyle name="Normal 45" xfId="2610" xr:uid="{00000000-0005-0000-0000-00009D0A0000}"/>
    <cellStyle name="Normal 45 2" xfId="2611" xr:uid="{00000000-0005-0000-0000-00009E0A0000}"/>
    <cellStyle name="Normal 46" xfId="2612" xr:uid="{00000000-0005-0000-0000-00009F0A0000}"/>
    <cellStyle name="Normal 46 2" xfId="2613" xr:uid="{00000000-0005-0000-0000-0000A00A0000}"/>
    <cellStyle name="Normal 47" xfId="2614" xr:uid="{00000000-0005-0000-0000-0000A10A0000}"/>
    <cellStyle name="Normal 47 2" xfId="2615" xr:uid="{00000000-0005-0000-0000-0000A20A0000}"/>
    <cellStyle name="Normal 48" xfId="2616" xr:uid="{00000000-0005-0000-0000-0000A30A0000}"/>
    <cellStyle name="Normal 48 2" xfId="2617" xr:uid="{00000000-0005-0000-0000-0000A40A0000}"/>
    <cellStyle name="Normal 49" xfId="2618" xr:uid="{00000000-0005-0000-0000-0000A50A0000}"/>
    <cellStyle name="Normal 49 2" xfId="2619" xr:uid="{00000000-0005-0000-0000-0000A60A0000}"/>
    <cellStyle name="Normal 5" xfId="82" xr:uid="{00000000-0005-0000-0000-0000A70A0000}"/>
    <cellStyle name="Normal 5 2" xfId="2620" xr:uid="{00000000-0005-0000-0000-0000A80A0000}"/>
    <cellStyle name="Normal 5 3" xfId="2621" xr:uid="{00000000-0005-0000-0000-0000A90A0000}"/>
    <cellStyle name="Normal 5 3 2" xfId="2622" xr:uid="{00000000-0005-0000-0000-0000AA0A0000}"/>
    <cellStyle name="Normal 5 4" xfId="2623" xr:uid="{00000000-0005-0000-0000-0000AB0A0000}"/>
    <cellStyle name="Normal 5 5" xfId="2624" xr:uid="{00000000-0005-0000-0000-0000AC0A0000}"/>
    <cellStyle name="Normal 5 5 2" xfId="2625" xr:uid="{00000000-0005-0000-0000-0000AD0A0000}"/>
    <cellStyle name="Normal 5 6" xfId="2626" xr:uid="{00000000-0005-0000-0000-0000AE0A0000}"/>
    <cellStyle name="Normal 5 7" xfId="2850" xr:uid="{00000000-0005-0000-0000-0000AF0A0000}"/>
    <cellStyle name="Normal 50" xfId="2627" xr:uid="{00000000-0005-0000-0000-0000B00A0000}"/>
    <cellStyle name="Normal 50 2" xfId="2628" xr:uid="{00000000-0005-0000-0000-0000B10A0000}"/>
    <cellStyle name="Normal 51" xfId="89" xr:uid="{00000000-0005-0000-0000-0000B20A0000}"/>
    <cellStyle name="Normal 51 2" xfId="2629" xr:uid="{00000000-0005-0000-0000-0000B30A0000}"/>
    <cellStyle name="Normal 52" xfId="2630" xr:uid="{00000000-0005-0000-0000-0000B40A0000}"/>
    <cellStyle name="Normal 53" xfId="2771" xr:uid="{00000000-0005-0000-0000-0000B50A0000}"/>
    <cellStyle name="Normal 53 2" xfId="2856" xr:uid="{00000000-0005-0000-0000-0000B60A0000}"/>
    <cellStyle name="Normal 54" xfId="2631" xr:uid="{00000000-0005-0000-0000-0000B70A0000}"/>
    <cellStyle name="Normal 55" xfId="2775" xr:uid="{00000000-0005-0000-0000-0000B80A0000}"/>
    <cellStyle name="Normal 56" xfId="2777" xr:uid="{00000000-0005-0000-0000-0000B90A0000}"/>
    <cellStyle name="Normal 57" xfId="2779" xr:uid="{00000000-0005-0000-0000-0000BA0A0000}"/>
    <cellStyle name="Normal 58" xfId="2632" xr:uid="{00000000-0005-0000-0000-0000BB0A0000}"/>
    <cellStyle name="Normal 59" xfId="2781" xr:uid="{00000000-0005-0000-0000-0000BC0A0000}"/>
    <cellStyle name="Normal 6" xfId="87" xr:uid="{00000000-0005-0000-0000-0000BD0A0000}"/>
    <cellStyle name="Normal 6 2" xfId="77" xr:uid="{00000000-0005-0000-0000-0000BE0A0000}"/>
    <cellStyle name="Normal 6 2 2" xfId="2849" xr:uid="{00000000-0005-0000-0000-0000BF0A0000}"/>
    <cellStyle name="Normal 6 3" xfId="2633" xr:uid="{00000000-0005-0000-0000-0000C00A0000}"/>
    <cellStyle name="Normal 6 3 2" xfId="2634" xr:uid="{00000000-0005-0000-0000-0000C10A0000}"/>
    <cellStyle name="Normal 6 4" xfId="2635" xr:uid="{00000000-0005-0000-0000-0000C20A0000}"/>
    <cellStyle name="Normal 6 4 2" xfId="2636" xr:uid="{00000000-0005-0000-0000-0000C30A0000}"/>
    <cellStyle name="Normal 6 5" xfId="2861" xr:uid="{00000000-0005-0000-0000-0000C40A0000}"/>
    <cellStyle name="Normal 60" xfId="2783" xr:uid="{00000000-0005-0000-0000-0000C50A0000}"/>
    <cellStyle name="Normal 61" xfId="2637" xr:uid="{00000000-0005-0000-0000-0000C60A0000}"/>
    <cellStyle name="Normal 62" xfId="2638" xr:uid="{00000000-0005-0000-0000-0000C70A0000}"/>
    <cellStyle name="Normal 63" xfId="2791" xr:uid="{00000000-0005-0000-0000-0000C80A0000}"/>
    <cellStyle name="Normal 64" xfId="2874" xr:uid="{00000000-0005-0000-0000-0000C90A0000}"/>
    <cellStyle name="Normal 65" xfId="2877" xr:uid="{00000000-0005-0000-0000-0000CA0A0000}"/>
    <cellStyle name="Normal 66" xfId="2878" xr:uid="{00000000-0005-0000-0000-0000CB0A0000}"/>
    <cellStyle name="Normal 67" xfId="2881" xr:uid="{00000000-0005-0000-0000-0000CC0A0000}"/>
    <cellStyle name="Normal 68" xfId="2884" xr:uid="{00000000-0005-0000-0000-0000CD0A0000}"/>
    <cellStyle name="Normal 69" xfId="2887" xr:uid="{00000000-0005-0000-0000-0000CE0A0000}"/>
    <cellStyle name="Normal 7" xfId="2639" xr:uid="{00000000-0005-0000-0000-0000CF0A0000}"/>
    <cellStyle name="Normal 7 2" xfId="2640" xr:uid="{00000000-0005-0000-0000-0000D00A0000}"/>
    <cellStyle name="Normal 7 3" xfId="2641" xr:uid="{00000000-0005-0000-0000-0000D10A0000}"/>
    <cellStyle name="Normal 7 4" xfId="2642" xr:uid="{00000000-0005-0000-0000-0000D20A0000}"/>
    <cellStyle name="Normal 7 4 2" xfId="2643" xr:uid="{00000000-0005-0000-0000-0000D30A0000}"/>
    <cellStyle name="Normal 7 5" xfId="2862" xr:uid="{00000000-0005-0000-0000-0000D40A0000}"/>
    <cellStyle name="Normal 70" xfId="2890" xr:uid="{00000000-0005-0000-0000-0000D50A0000}"/>
    <cellStyle name="Normal 71" xfId="2893" xr:uid="{00000000-0005-0000-0000-0000D60A0000}"/>
    <cellStyle name="Normal 72" xfId="2896" xr:uid="{00000000-0005-0000-0000-0000D70A0000}"/>
    <cellStyle name="Normal 73" xfId="2899" xr:uid="{00000000-0005-0000-0000-0000D80A0000}"/>
    <cellStyle name="Normal 74" xfId="2902" xr:uid="{00000000-0005-0000-0000-0000D90A0000}"/>
    <cellStyle name="Normal 75" xfId="2905" xr:uid="{00000000-0005-0000-0000-0000DA0A0000}"/>
    <cellStyle name="Normal 76" xfId="2908" xr:uid="{00000000-0005-0000-0000-0000DB0A0000}"/>
    <cellStyle name="Normal 77" xfId="2910" xr:uid="{00000000-0005-0000-0000-0000DC0A0000}"/>
    <cellStyle name="Normal 78" xfId="2914" xr:uid="{00000000-0005-0000-0000-0000DD0A0000}"/>
    <cellStyle name="Normal 79" xfId="2917" xr:uid="{00000000-0005-0000-0000-0000DE0A0000}"/>
    <cellStyle name="Normal 8" xfId="2644" xr:uid="{00000000-0005-0000-0000-0000DF0A0000}"/>
    <cellStyle name="Normal 8 2" xfId="2645" xr:uid="{00000000-0005-0000-0000-0000E00A0000}"/>
    <cellStyle name="Normal 8 2 2" xfId="2646" xr:uid="{00000000-0005-0000-0000-0000E10A0000}"/>
    <cellStyle name="Normal 8 3" xfId="2647" xr:uid="{00000000-0005-0000-0000-0000E20A0000}"/>
    <cellStyle name="Normal 8 4" xfId="2648" xr:uid="{00000000-0005-0000-0000-0000E30A0000}"/>
    <cellStyle name="Normal 8 4 2" xfId="2649" xr:uid="{00000000-0005-0000-0000-0000E40A0000}"/>
    <cellStyle name="Normal 8 5" xfId="2866" xr:uid="{00000000-0005-0000-0000-0000E50A0000}"/>
    <cellStyle name="Normal 80" xfId="2919" xr:uid="{00000000-0005-0000-0000-0000E60A0000}"/>
    <cellStyle name="Normal 81" xfId="2920" xr:uid="{00000000-0005-0000-0000-0000E70A0000}"/>
    <cellStyle name="Normal 87" xfId="2858" xr:uid="{00000000-0005-0000-0000-0000E80A0000}"/>
    <cellStyle name="Normal 88" xfId="2859" xr:uid="{00000000-0005-0000-0000-0000E90A0000}"/>
    <cellStyle name="Normal 9" xfId="2650" xr:uid="{00000000-0005-0000-0000-0000EA0A0000}"/>
    <cellStyle name="Normal 9 2" xfId="2651" xr:uid="{00000000-0005-0000-0000-0000EB0A0000}"/>
    <cellStyle name="Normal 9 2 2" xfId="2652" xr:uid="{00000000-0005-0000-0000-0000EC0A0000}"/>
    <cellStyle name="Normal 9 3" xfId="2653" xr:uid="{00000000-0005-0000-0000-0000ED0A0000}"/>
    <cellStyle name="Normal 9 4" xfId="2868" xr:uid="{00000000-0005-0000-0000-0000EE0A0000}"/>
    <cellStyle name="Normal_Hoja1" xfId="86" xr:uid="{00000000-0005-0000-0000-0000EF0A0000}"/>
    <cellStyle name="Notas 2" xfId="2654" xr:uid="{00000000-0005-0000-0000-0000F00A0000}"/>
    <cellStyle name="Notas 2 2" xfId="2655" xr:uid="{00000000-0005-0000-0000-0000F10A0000}"/>
    <cellStyle name="Notas 2 2 2" xfId="2656" xr:uid="{00000000-0005-0000-0000-0000F20A0000}"/>
    <cellStyle name="Notas 2 3" xfId="2657" xr:uid="{00000000-0005-0000-0000-0000F30A0000}"/>
    <cellStyle name="Notas 3" xfId="2658" xr:uid="{00000000-0005-0000-0000-0000F40A0000}"/>
    <cellStyle name="Notas 3 2" xfId="2659" xr:uid="{00000000-0005-0000-0000-0000F50A0000}"/>
    <cellStyle name="Notas 4" xfId="2660" xr:uid="{00000000-0005-0000-0000-0000F60A0000}"/>
    <cellStyle name="Notas 4 2" xfId="2661" xr:uid="{00000000-0005-0000-0000-0000F70A0000}"/>
    <cellStyle name="Output" xfId="2662" xr:uid="{00000000-0005-0000-0000-0000F80A0000}"/>
    <cellStyle name="Porcentaje" xfId="3" builtinId="5"/>
    <cellStyle name="Porcentaje 2" xfId="79" xr:uid="{00000000-0005-0000-0000-0000FA0A0000}"/>
    <cellStyle name="Porcentaje 2 2" xfId="2663" xr:uid="{00000000-0005-0000-0000-0000FB0A0000}"/>
    <cellStyle name="Porcentaje 3" xfId="2664" xr:uid="{00000000-0005-0000-0000-0000FC0A0000}"/>
    <cellStyle name="Porcentaje 3 2" xfId="2665" xr:uid="{00000000-0005-0000-0000-0000FD0A0000}"/>
    <cellStyle name="Porcentaje 3 3" xfId="2865" xr:uid="{00000000-0005-0000-0000-0000FE0A0000}"/>
    <cellStyle name="Porcentaje 4" xfId="2871" xr:uid="{00000000-0005-0000-0000-0000FF0A0000}"/>
    <cellStyle name="Porcentaje 5" xfId="2794" xr:uid="{00000000-0005-0000-0000-0000000B0000}"/>
    <cellStyle name="Porcentaje 6" xfId="2788" xr:uid="{00000000-0005-0000-0000-0000010B0000}"/>
    <cellStyle name="Porcentual 2" xfId="2666" xr:uid="{00000000-0005-0000-0000-0000020B0000}"/>
    <cellStyle name="Porcentual 2 10" xfId="2667" xr:uid="{00000000-0005-0000-0000-0000030B0000}"/>
    <cellStyle name="Porcentual 2 11" xfId="2668" xr:uid="{00000000-0005-0000-0000-0000040B0000}"/>
    <cellStyle name="Porcentual 2 12" xfId="2669" xr:uid="{00000000-0005-0000-0000-0000050B0000}"/>
    <cellStyle name="Porcentual 2 13" xfId="2670" xr:uid="{00000000-0005-0000-0000-0000060B0000}"/>
    <cellStyle name="Porcentual 2 14" xfId="2671" xr:uid="{00000000-0005-0000-0000-0000070B0000}"/>
    <cellStyle name="Porcentual 2 15" xfId="2672" xr:uid="{00000000-0005-0000-0000-0000080B0000}"/>
    <cellStyle name="Porcentual 2 16" xfId="2673" xr:uid="{00000000-0005-0000-0000-0000090B0000}"/>
    <cellStyle name="Porcentual 2 17" xfId="2674" xr:uid="{00000000-0005-0000-0000-00000A0B0000}"/>
    <cellStyle name="Porcentual 2 18" xfId="2675" xr:uid="{00000000-0005-0000-0000-00000B0B0000}"/>
    <cellStyle name="Porcentual 2 19" xfId="2676" xr:uid="{00000000-0005-0000-0000-00000C0B0000}"/>
    <cellStyle name="Porcentual 2 2" xfId="2677" xr:uid="{00000000-0005-0000-0000-00000D0B0000}"/>
    <cellStyle name="Porcentual 2 2 2" xfId="2678" xr:uid="{00000000-0005-0000-0000-00000E0B0000}"/>
    <cellStyle name="Porcentual 2 20" xfId="2679" xr:uid="{00000000-0005-0000-0000-00000F0B0000}"/>
    <cellStyle name="Porcentual 2 21" xfId="2680" xr:uid="{00000000-0005-0000-0000-0000100B0000}"/>
    <cellStyle name="Porcentual 2 22" xfId="2681" xr:uid="{00000000-0005-0000-0000-0000110B0000}"/>
    <cellStyle name="Porcentual 2 23" xfId="2682" xr:uid="{00000000-0005-0000-0000-0000120B0000}"/>
    <cellStyle name="Porcentual 2 24" xfId="2683" xr:uid="{00000000-0005-0000-0000-0000130B0000}"/>
    <cellStyle name="Porcentual 2 25" xfId="2684" xr:uid="{00000000-0005-0000-0000-0000140B0000}"/>
    <cellStyle name="Porcentual 2 26" xfId="2685" xr:uid="{00000000-0005-0000-0000-0000150B0000}"/>
    <cellStyle name="Porcentual 2 27" xfId="2686" xr:uid="{00000000-0005-0000-0000-0000160B0000}"/>
    <cellStyle name="Porcentual 2 28" xfId="2687" xr:uid="{00000000-0005-0000-0000-0000170B0000}"/>
    <cellStyle name="Porcentual 2 29" xfId="2688" xr:uid="{00000000-0005-0000-0000-0000180B0000}"/>
    <cellStyle name="Porcentual 2 3" xfId="2689" xr:uid="{00000000-0005-0000-0000-0000190B0000}"/>
    <cellStyle name="Porcentual 2 30" xfId="2690" xr:uid="{00000000-0005-0000-0000-00001A0B0000}"/>
    <cellStyle name="Porcentual 2 31" xfId="2691" xr:uid="{00000000-0005-0000-0000-00001B0B0000}"/>
    <cellStyle name="Porcentual 2 32" xfId="2692" xr:uid="{00000000-0005-0000-0000-00001C0B0000}"/>
    <cellStyle name="Porcentual 2 33" xfId="2693" xr:uid="{00000000-0005-0000-0000-00001D0B0000}"/>
    <cellStyle name="Porcentual 2 4" xfId="2694" xr:uid="{00000000-0005-0000-0000-00001E0B0000}"/>
    <cellStyle name="Porcentual 2 5" xfId="2695" xr:uid="{00000000-0005-0000-0000-00001F0B0000}"/>
    <cellStyle name="Porcentual 2 6" xfId="2696" xr:uid="{00000000-0005-0000-0000-0000200B0000}"/>
    <cellStyle name="Porcentual 2 7" xfId="2697" xr:uid="{00000000-0005-0000-0000-0000210B0000}"/>
    <cellStyle name="Porcentual 2 8" xfId="2698" xr:uid="{00000000-0005-0000-0000-0000220B0000}"/>
    <cellStyle name="Porcentual 2 9" xfId="2699" xr:uid="{00000000-0005-0000-0000-0000230B0000}"/>
    <cellStyle name="Porcentual 3" xfId="2700" xr:uid="{00000000-0005-0000-0000-0000240B0000}"/>
    <cellStyle name="Porcentual 3 2" xfId="2701" xr:uid="{00000000-0005-0000-0000-0000250B0000}"/>
    <cellStyle name="Salida 2" xfId="2702" xr:uid="{00000000-0005-0000-0000-0000260B0000}"/>
    <cellStyle name="Salida 2 2" xfId="2703" xr:uid="{00000000-0005-0000-0000-0000270B0000}"/>
    <cellStyle name="Salida 2 2 2" xfId="2704" xr:uid="{00000000-0005-0000-0000-0000280B0000}"/>
    <cellStyle name="Salida 2 3" xfId="2705" xr:uid="{00000000-0005-0000-0000-0000290B0000}"/>
    <cellStyle name="Salida 3" xfId="2706" xr:uid="{00000000-0005-0000-0000-00002A0B0000}"/>
    <cellStyle name="Salida 3 2" xfId="2707" xr:uid="{00000000-0005-0000-0000-00002B0B0000}"/>
    <cellStyle name="Salida 4" xfId="2708" xr:uid="{00000000-0005-0000-0000-00002C0B0000}"/>
    <cellStyle name="Salida 4 2" xfId="2709" xr:uid="{00000000-0005-0000-0000-00002D0B0000}"/>
    <cellStyle name="TableStyleLight1" xfId="2710" xr:uid="{00000000-0005-0000-0000-00002E0B0000}"/>
    <cellStyle name="TableStyleLight1 2" xfId="2711" xr:uid="{00000000-0005-0000-0000-00002F0B0000}"/>
    <cellStyle name="Texto de advertencia 2" xfId="2712" xr:uid="{00000000-0005-0000-0000-0000300B0000}"/>
    <cellStyle name="Texto de advertencia 2 2" xfId="2713" xr:uid="{00000000-0005-0000-0000-0000310B0000}"/>
    <cellStyle name="Texto de advertencia 2 2 2" xfId="2714" xr:uid="{00000000-0005-0000-0000-0000320B0000}"/>
    <cellStyle name="Texto de advertencia 2 3" xfId="2715" xr:uid="{00000000-0005-0000-0000-0000330B0000}"/>
    <cellStyle name="Texto de advertencia 3" xfId="2716" xr:uid="{00000000-0005-0000-0000-0000340B0000}"/>
    <cellStyle name="Texto de advertencia 3 2" xfId="2717" xr:uid="{00000000-0005-0000-0000-0000350B0000}"/>
    <cellStyle name="Texto de advertencia 4" xfId="2718" xr:uid="{00000000-0005-0000-0000-0000360B0000}"/>
    <cellStyle name="Texto de advertencia 4 2" xfId="2719" xr:uid="{00000000-0005-0000-0000-0000370B0000}"/>
    <cellStyle name="Texto explicativo 2" xfId="2720" xr:uid="{00000000-0005-0000-0000-0000380B0000}"/>
    <cellStyle name="Texto explicativo 2 2" xfId="2721" xr:uid="{00000000-0005-0000-0000-0000390B0000}"/>
    <cellStyle name="Texto explicativo 2 2 2" xfId="2722" xr:uid="{00000000-0005-0000-0000-00003A0B0000}"/>
    <cellStyle name="Texto explicativo 2 3" xfId="2723" xr:uid="{00000000-0005-0000-0000-00003B0B0000}"/>
    <cellStyle name="Texto explicativo 3" xfId="2724" xr:uid="{00000000-0005-0000-0000-00003C0B0000}"/>
    <cellStyle name="Texto explicativo 3 2" xfId="2725" xr:uid="{00000000-0005-0000-0000-00003D0B0000}"/>
    <cellStyle name="Texto explicativo 4" xfId="2726" xr:uid="{00000000-0005-0000-0000-00003E0B0000}"/>
    <cellStyle name="Texto explicativo 4 2" xfId="2727" xr:uid="{00000000-0005-0000-0000-00003F0B0000}"/>
    <cellStyle name="Title" xfId="2728" xr:uid="{00000000-0005-0000-0000-0000400B0000}"/>
    <cellStyle name="Título 1 2" xfId="2729" xr:uid="{00000000-0005-0000-0000-0000410B0000}"/>
    <cellStyle name="Título 1 2 2" xfId="2730" xr:uid="{00000000-0005-0000-0000-0000420B0000}"/>
    <cellStyle name="Título 1 2 2 2" xfId="2731" xr:uid="{00000000-0005-0000-0000-0000430B0000}"/>
    <cellStyle name="Título 1 2 3" xfId="2732" xr:uid="{00000000-0005-0000-0000-0000440B0000}"/>
    <cellStyle name="Título 1 3" xfId="2733" xr:uid="{00000000-0005-0000-0000-0000450B0000}"/>
    <cellStyle name="Título 1 3 2" xfId="2734" xr:uid="{00000000-0005-0000-0000-0000460B0000}"/>
    <cellStyle name="Título 1 4" xfId="2735" xr:uid="{00000000-0005-0000-0000-0000470B0000}"/>
    <cellStyle name="Título 1 4 2" xfId="2736" xr:uid="{00000000-0005-0000-0000-0000480B0000}"/>
    <cellStyle name="Título 2 2" xfId="2737" xr:uid="{00000000-0005-0000-0000-0000490B0000}"/>
    <cellStyle name="Título 2 2 2" xfId="2738" xr:uid="{00000000-0005-0000-0000-00004A0B0000}"/>
    <cellStyle name="Título 2 2 2 2" xfId="2739" xr:uid="{00000000-0005-0000-0000-00004B0B0000}"/>
    <cellStyle name="Título 2 2 3" xfId="2740" xr:uid="{00000000-0005-0000-0000-00004C0B0000}"/>
    <cellStyle name="Título 2 3" xfId="2741" xr:uid="{00000000-0005-0000-0000-00004D0B0000}"/>
    <cellStyle name="Título 2 3 2" xfId="2742" xr:uid="{00000000-0005-0000-0000-00004E0B0000}"/>
    <cellStyle name="Título 2 4" xfId="2743" xr:uid="{00000000-0005-0000-0000-00004F0B0000}"/>
    <cellStyle name="Título 2 4 2" xfId="2744" xr:uid="{00000000-0005-0000-0000-0000500B0000}"/>
    <cellStyle name="Título 3 2" xfId="2745" xr:uid="{00000000-0005-0000-0000-0000510B0000}"/>
    <cellStyle name="Título 3 2 2" xfId="2746" xr:uid="{00000000-0005-0000-0000-0000520B0000}"/>
    <cellStyle name="Título 3 2 2 2" xfId="2747" xr:uid="{00000000-0005-0000-0000-0000530B0000}"/>
    <cellStyle name="Título 3 2 3" xfId="2748" xr:uid="{00000000-0005-0000-0000-0000540B0000}"/>
    <cellStyle name="Título 3 3" xfId="2749" xr:uid="{00000000-0005-0000-0000-0000550B0000}"/>
    <cellStyle name="Título 3 3 2" xfId="2750" xr:uid="{00000000-0005-0000-0000-0000560B0000}"/>
    <cellStyle name="Título 3 4" xfId="2751" xr:uid="{00000000-0005-0000-0000-0000570B0000}"/>
    <cellStyle name="Título 3 4 2" xfId="2752" xr:uid="{00000000-0005-0000-0000-0000580B0000}"/>
    <cellStyle name="Título 4" xfId="2753" xr:uid="{00000000-0005-0000-0000-0000590B0000}"/>
    <cellStyle name="Título 4 2" xfId="2754" xr:uid="{00000000-0005-0000-0000-00005A0B0000}"/>
    <cellStyle name="Título 4 2 2" xfId="2755" xr:uid="{00000000-0005-0000-0000-00005B0B0000}"/>
    <cellStyle name="Título 4 3" xfId="2756" xr:uid="{00000000-0005-0000-0000-00005C0B0000}"/>
    <cellStyle name="Título 5" xfId="2757" xr:uid="{00000000-0005-0000-0000-00005D0B0000}"/>
    <cellStyle name="Título 5 2" xfId="2758" xr:uid="{00000000-0005-0000-0000-00005E0B0000}"/>
    <cellStyle name="Título 6" xfId="2759" xr:uid="{00000000-0005-0000-0000-00005F0B0000}"/>
    <cellStyle name="Título 6 2" xfId="2760" xr:uid="{00000000-0005-0000-0000-0000600B0000}"/>
    <cellStyle name="Total 2" xfId="2761" xr:uid="{00000000-0005-0000-0000-0000610B0000}"/>
    <cellStyle name="Total 2 2" xfId="2762" xr:uid="{00000000-0005-0000-0000-0000620B0000}"/>
    <cellStyle name="Total 2 2 2" xfId="2763" xr:uid="{00000000-0005-0000-0000-0000630B0000}"/>
    <cellStyle name="Total 2 3" xfId="2764" xr:uid="{00000000-0005-0000-0000-0000640B0000}"/>
    <cellStyle name="Total 3" xfId="2765" xr:uid="{00000000-0005-0000-0000-0000650B0000}"/>
    <cellStyle name="Total 3 2" xfId="2766" xr:uid="{00000000-0005-0000-0000-0000660B0000}"/>
    <cellStyle name="Total 4" xfId="2767" xr:uid="{00000000-0005-0000-0000-0000670B0000}"/>
    <cellStyle name="Total 4 2" xfId="2768" xr:uid="{00000000-0005-0000-0000-0000680B0000}"/>
  </cellStyles>
  <dxfs count="3">
    <dxf>
      <font>
        <b/>
        <i/>
      </font>
      <fill>
        <patternFill>
          <bgColor rgb="FF7030A0"/>
        </patternFill>
      </fill>
    </dxf>
    <dxf>
      <font>
        <b/>
        <i/>
      </font>
      <fill>
        <patternFill>
          <bgColor rgb="FF7030A0"/>
        </patternFill>
      </fill>
    </dxf>
    <dxf>
      <font>
        <b/>
        <i/>
      </font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0033CC"/>
      <color rgb="FF00FF00"/>
      <color rgb="FFFFCC66"/>
      <color rgb="FF99FF99"/>
      <color rgb="FF99FF66"/>
      <color rgb="FF66FF99"/>
      <color rgb="FF66FFFF"/>
      <color rgb="FFFF330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40217</xdr:colOff>
      <xdr:row>0</xdr:row>
      <xdr:rowOff>125462</xdr:rowOff>
    </xdr:from>
    <xdr:to>
      <xdr:col>0</xdr:col>
      <xdr:colOff>1725084</xdr:colOff>
      <xdr:row>4</xdr:row>
      <xdr:rowOff>71967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3DEF31-01D7-48E3-96B2-2CD359AA6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17" y="125462"/>
          <a:ext cx="1684867" cy="778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40217</xdr:colOff>
      <xdr:row>0</xdr:row>
      <xdr:rowOff>125462</xdr:rowOff>
    </xdr:from>
    <xdr:to>
      <xdr:col>0</xdr:col>
      <xdr:colOff>1725084</xdr:colOff>
      <xdr:row>4</xdr:row>
      <xdr:rowOff>71967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58D2F8-96D5-400E-AC1E-E5694C5EB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17" y="125462"/>
          <a:ext cx="1684867" cy="778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2170042</xdr:colOff>
      <xdr:row>2</xdr:row>
      <xdr:rowOff>24848</xdr:rowOff>
    </xdr:to>
    <xdr:pic>
      <xdr:nvPicPr>
        <xdr:cNvPr id="2" name="Imagen 1" descr="cid:image001.png@01D29830.05D65370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170042" cy="3975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pizanoecheverri.co/" TargetMode="External"/><Relationship Id="rId1" Type="http://schemas.openxmlformats.org/officeDocument/2006/relationships/hyperlink" Target="mailto:asesorprofesional@pizanoecheverri.co" TargetMode="External"/><Relationship Id="rId4" Type="http://schemas.openxmlformats.org/officeDocument/2006/relationships/drawing" Target="../drawings/drawing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4"/>
  <sheetViews>
    <sheetView showGridLines="0" topLeftCell="A85" zoomScaleNormal="100" workbookViewId="0">
      <selection activeCell="G96" sqref="G96"/>
    </sheetView>
  </sheetViews>
  <sheetFormatPr baseColWidth="10" defaultColWidth="11.42578125" defaultRowHeight="12.75"/>
  <cols>
    <col min="1" max="1" width="50.42578125" style="197" customWidth="1"/>
    <col min="2" max="2" width="19" style="197" customWidth="1"/>
    <col min="3" max="3" width="6.85546875" style="197" customWidth="1"/>
    <col min="4" max="4" width="3.7109375" style="197" bestFit="1" customWidth="1"/>
    <col min="5" max="5" width="12.85546875" style="197" customWidth="1"/>
    <col min="6" max="6" width="13.28515625" style="197" customWidth="1"/>
    <col min="7" max="7" width="18.5703125" style="197" customWidth="1"/>
    <col min="8" max="8" width="19.85546875" style="197" bestFit="1" customWidth="1"/>
    <col min="9" max="9" width="11.85546875" style="197" bestFit="1" customWidth="1"/>
    <col min="10" max="10" width="19.7109375" style="197" customWidth="1"/>
    <col min="11" max="16384" width="11.42578125" style="197"/>
  </cols>
  <sheetData>
    <row r="1" spans="1:10">
      <c r="C1" s="314"/>
      <c r="D1" s="313"/>
    </row>
    <row r="2" spans="1:10" ht="22.5" customHeight="1">
      <c r="A2" s="564" t="s">
        <v>0</v>
      </c>
      <c r="B2" s="564"/>
      <c r="C2" s="564"/>
      <c r="D2" s="564"/>
      <c r="E2" s="564"/>
      <c r="F2" s="564"/>
      <c r="G2" s="564"/>
    </row>
    <row r="3" spans="1:10" ht="15" customHeight="1">
      <c r="A3" s="565" t="s">
        <v>76</v>
      </c>
      <c r="B3" s="565"/>
      <c r="C3" s="565"/>
      <c r="D3" s="565"/>
      <c r="E3" s="565"/>
      <c r="F3" s="565"/>
      <c r="G3" s="565"/>
    </row>
    <row r="4" spans="1:10" ht="15" customHeight="1">
      <c r="A4" s="566" t="s">
        <v>77</v>
      </c>
      <c r="B4" s="566"/>
      <c r="C4" s="566"/>
      <c r="D4" s="566"/>
      <c r="E4" s="566"/>
      <c r="F4" s="566"/>
      <c r="G4" s="566"/>
    </row>
    <row r="5" spans="1:10">
      <c r="A5" s="235"/>
      <c r="B5" s="236"/>
      <c r="C5" s="240"/>
      <c r="D5" s="310"/>
      <c r="E5" s="237"/>
      <c r="F5" s="238"/>
      <c r="G5" s="238"/>
    </row>
    <row r="6" spans="1:10" s="199" customFormat="1" ht="25.5">
      <c r="A6" s="299" t="s">
        <v>1</v>
      </c>
      <c r="B6" s="300" t="s">
        <v>2</v>
      </c>
      <c r="C6" s="567" t="s">
        <v>3</v>
      </c>
      <c r="D6" s="568"/>
      <c r="E6" s="301" t="s">
        <v>4</v>
      </c>
      <c r="F6" s="301" t="s">
        <v>5</v>
      </c>
      <c r="G6" s="301" t="s">
        <v>6</v>
      </c>
    </row>
    <row r="7" spans="1:10" ht="26.1" customHeight="1">
      <c r="A7" s="331" t="s">
        <v>7</v>
      </c>
      <c r="B7" s="334"/>
      <c r="C7" s="334"/>
      <c r="D7" s="334"/>
      <c r="E7" s="334"/>
      <c r="F7" s="334"/>
      <c r="G7" s="332"/>
    </row>
    <row r="8" spans="1:10">
      <c r="A8" s="302" t="s">
        <v>8</v>
      </c>
      <c r="B8" s="303"/>
      <c r="C8" s="303"/>
      <c r="D8" s="303"/>
      <c r="E8" s="303"/>
      <c r="F8" s="303"/>
      <c r="G8" s="304"/>
    </row>
    <row r="9" spans="1:10">
      <c r="A9" s="245" t="s">
        <v>9</v>
      </c>
      <c r="B9" s="259">
        <v>11748932411</v>
      </c>
      <c r="C9" s="311">
        <v>1.78</v>
      </c>
      <c r="D9" s="322" t="s">
        <v>10</v>
      </c>
      <c r="E9" s="244">
        <f t="shared" ref="E9:E22" si="0">ROUND((B9*C9/1000)/365*$B$102,0)</f>
        <v>15985630</v>
      </c>
      <c r="F9" s="244">
        <f>+ROUND(E9*19%,0)</f>
        <v>3037270</v>
      </c>
      <c r="G9" s="244">
        <f>ROUND(E9+F9,0)</f>
        <v>19022900</v>
      </c>
      <c r="H9" s="263"/>
      <c r="I9" s="263"/>
      <c r="J9" s="263"/>
    </row>
    <row r="10" spans="1:10">
      <c r="A10" s="245" t="s">
        <v>11</v>
      </c>
      <c r="B10" s="259">
        <v>20000000</v>
      </c>
      <c r="C10" s="311">
        <f>+$C9</f>
        <v>1.78</v>
      </c>
      <c r="D10" s="322" t="s">
        <v>10</v>
      </c>
      <c r="E10" s="244">
        <f t="shared" si="0"/>
        <v>27212</v>
      </c>
      <c r="F10" s="244">
        <f t="shared" ref="F10:F31" si="1">+ROUND(E10*19%,0)</f>
        <v>5170</v>
      </c>
      <c r="G10" s="244">
        <f t="shared" ref="G10:G22" si="2">ROUND(E10+F10,0)</f>
        <v>32382</v>
      </c>
      <c r="H10" s="263"/>
      <c r="I10" s="263"/>
      <c r="J10" s="263"/>
    </row>
    <row r="11" spans="1:10">
      <c r="A11" s="245" t="s">
        <v>12</v>
      </c>
      <c r="B11" s="259">
        <v>87296029</v>
      </c>
      <c r="C11" s="311">
        <f t="shared" ref="C11:C22" si="3">+$C10</f>
        <v>1.78</v>
      </c>
      <c r="D11" s="322" t="s">
        <v>10</v>
      </c>
      <c r="E11" s="244">
        <f t="shared" si="0"/>
        <v>118775</v>
      </c>
      <c r="F11" s="244">
        <f t="shared" si="1"/>
        <v>22567</v>
      </c>
      <c r="G11" s="244">
        <f t="shared" si="2"/>
        <v>141342</v>
      </c>
      <c r="H11" s="263"/>
      <c r="I11" s="263"/>
      <c r="J11" s="263"/>
    </row>
    <row r="12" spans="1:10">
      <c r="A12" s="245" t="s">
        <v>13</v>
      </c>
      <c r="B12" s="259">
        <v>99527101</v>
      </c>
      <c r="C12" s="311">
        <f t="shared" si="3"/>
        <v>1.78</v>
      </c>
      <c r="D12" s="322" t="s">
        <v>10</v>
      </c>
      <c r="E12" s="244">
        <f t="shared" si="0"/>
        <v>135417</v>
      </c>
      <c r="F12" s="244">
        <f t="shared" si="1"/>
        <v>25729</v>
      </c>
      <c r="G12" s="244">
        <f t="shared" si="2"/>
        <v>161146</v>
      </c>
      <c r="H12" s="263"/>
      <c r="I12" s="263"/>
      <c r="J12" s="263"/>
    </row>
    <row r="13" spans="1:10">
      <c r="A13" s="245" t="s">
        <v>14</v>
      </c>
      <c r="B13" s="259">
        <v>17065927</v>
      </c>
      <c r="C13" s="311">
        <f t="shared" si="3"/>
        <v>1.78</v>
      </c>
      <c r="D13" s="322" t="s">
        <v>10</v>
      </c>
      <c r="E13" s="244">
        <f t="shared" si="0"/>
        <v>23220</v>
      </c>
      <c r="F13" s="244">
        <f t="shared" si="1"/>
        <v>4412</v>
      </c>
      <c r="G13" s="244">
        <f t="shared" si="2"/>
        <v>27632</v>
      </c>
      <c r="H13" s="263"/>
      <c r="I13" s="263"/>
      <c r="J13" s="263"/>
    </row>
    <row r="14" spans="1:10" ht="14.25" customHeight="1">
      <c r="A14" s="245" t="s">
        <v>15</v>
      </c>
      <c r="B14" s="259">
        <v>7999598</v>
      </c>
      <c r="C14" s="311">
        <f t="shared" si="3"/>
        <v>1.78</v>
      </c>
      <c r="D14" s="322" t="s">
        <v>10</v>
      </c>
      <c r="E14" s="244">
        <f t="shared" si="0"/>
        <v>10884</v>
      </c>
      <c r="F14" s="244">
        <f t="shared" si="1"/>
        <v>2068</v>
      </c>
      <c r="G14" s="244">
        <f t="shared" si="2"/>
        <v>12952</v>
      </c>
      <c r="H14" s="263"/>
      <c r="I14" s="263"/>
      <c r="J14" s="263"/>
    </row>
    <row r="15" spans="1:10" ht="14.25" customHeight="1">
      <c r="A15" s="245" t="s">
        <v>16</v>
      </c>
      <c r="B15" s="259">
        <v>19449649</v>
      </c>
      <c r="C15" s="311">
        <f t="shared" si="3"/>
        <v>1.78</v>
      </c>
      <c r="D15" s="322" t="s">
        <v>10</v>
      </c>
      <c r="E15" s="244">
        <f t="shared" si="0"/>
        <v>26463</v>
      </c>
      <c r="F15" s="244">
        <f t="shared" si="1"/>
        <v>5028</v>
      </c>
      <c r="G15" s="244">
        <f t="shared" si="2"/>
        <v>31491</v>
      </c>
      <c r="H15" s="263"/>
      <c r="I15" s="263"/>
      <c r="J15" s="263"/>
    </row>
    <row r="16" spans="1:10">
      <c r="A16" s="245" t="s">
        <v>17</v>
      </c>
      <c r="B16" s="259">
        <v>164028299</v>
      </c>
      <c r="C16" s="311">
        <f t="shared" si="3"/>
        <v>1.78</v>
      </c>
      <c r="D16" s="322" t="s">
        <v>10</v>
      </c>
      <c r="E16" s="244">
        <f t="shared" si="0"/>
        <v>223177</v>
      </c>
      <c r="F16" s="244">
        <f t="shared" si="1"/>
        <v>42404</v>
      </c>
      <c r="G16" s="244">
        <f t="shared" si="2"/>
        <v>265581</v>
      </c>
      <c r="H16" s="263"/>
      <c r="I16" s="263"/>
      <c r="J16" s="263"/>
    </row>
    <row r="17" spans="1:10" ht="18" customHeight="1">
      <c r="A17" s="245" t="s">
        <v>18</v>
      </c>
      <c r="B17" s="259">
        <v>82816945</v>
      </c>
      <c r="C17" s="311">
        <f t="shared" si="3"/>
        <v>1.78</v>
      </c>
      <c r="D17" s="322" t="s">
        <v>10</v>
      </c>
      <c r="E17" s="244">
        <f t="shared" si="0"/>
        <v>112681</v>
      </c>
      <c r="F17" s="244">
        <f t="shared" si="1"/>
        <v>21409</v>
      </c>
      <c r="G17" s="244">
        <f t="shared" si="2"/>
        <v>134090</v>
      </c>
      <c r="H17" s="263"/>
      <c r="I17" s="263"/>
      <c r="J17" s="263"/>
    </row>
    <row r="18" spans="1:10" ht="16.5" customHeight="1">
      <c r="A18" s="245" t="s">
        <v>19</v>
      </c>
      <c r="B18" s="259">
        <v>20000000</v>
      </c>
      <c r="C18" s="311">
        <f t="shared" si="3"/>
        <v>1.78</v>
      </c>
      <c r="D18" s="322" t="s">
        <v>10</v>
      </c>
      <c r="E18" s="244">
        <f t="shared" si="0"/>
        <v>27212</v>
      </c>
      <c r="F18" s="244">
        <f t="shared" si="1"/>
        <v>5170</v>
      </c>
      <c r="G18" s="244">
        <f t="shared" si="2"/>
        <v>32382</v>
      </c>
      <c r="H18" s="263"/>
      <c r="I18" s="263"/>
      <c r="J18" s="263"/>
    </row>
    <row r="19" spans="1:10" ht="23.25" customHeight="1">
      <c r="A19" s="245" t="s">
        <v>20</v>
      </c>
      <c r="B19" s="259">
        <v>2000000</v>
      </c>
      <c r="C19" s="311">
        <f t="shared" si="3"/>
        <v>1.78</v>
      </c>
      <c r="D19" s="322" t="s">
        <v>10</v>
      </c>
      <c r="E19" s="244">
        <f t="shared" si="0"/>
        <v>2721</v>
      </c>
      <c r="F19" s="244">
        <f t="shared" si="1"/>
        <v>517</v>
      </c>
      <c r="G19" s="244">
        <f t="shared" si="2"/>
        <v>3238</v>
      </c>
      <c r="H19" s="263"/>
      <c r="I19" s="263"/>
      <c r="J19" s="263"/>
    </row>
    <row r="20" spans="1:10" ht="17.25" customHeight="1">
      <c r="A20" s="245" t="s">
        <v>21</v>
      </c>
      <c r="B20" s="259">
        <v>36300000</v>
      </c>
      <c r="C20" s="311">
        <f t="shared" si="3"/>
        <v>1.78</v>
      </c>
      <c r="D20" s="322" t="s">
        <v>10</v>
      </c>
      <c r="E20" s="244">
        <f t="shared" si="0"/>
        <v>49390</v>
      </c>
      <c r="F20" s="244">
        <f t="shared" si="1"/>
        <v>9384</v>
      </c>
      <c r="G20" s="244">
        <f t="shared" si="2"/>
        <v>58774</v>
      </c>
      <c r="H20" s="263"/>
      <c r="I20" s="263"/>
      <c r="J20" s="263"/>
    </row>
    <row r="21" spans="1:10" ht="15.75" customHeight="1">
      <c r="A21" s="245" t="s">
        <v>22</v>
      </c>
      <c r="B21" s="259">
        <v>500000000</v>
      </c>
      <c r="C21" s="311">
        <f t="shared" si="3"/>
        <v>1.78</v>
      </c>
      <c r="D21" s="322" t="s">
        <v>10</v>
      </c>
      <c r="E21" s="244">
        <f t="shared" si="0"/>
        <v>680301</v>
      </c>
      <c r="F21" s="244">
        <f t="shared" si="1"/>
        <v>129257</v>
      </c>
      <c r="G21" s="244">
        <f t="shared" si="2"/>
        <v>809558</v>
      </c>
      <c r="H21" s="263"/>
      <c r="I21" s="263"/>
      <c r="J21" s="263"/>
    </row>
    <row r="22" spans="1:10" ht="12.75" customHeight="1">
      <c r="A22" s="245" t="s">
        <v>23</v>
      </c>
      <c r="B22" s="259">
        <v>500000000</v>
      </c>
      <c r="C22" s="311">
        <f t="shared" si="3"/>
        <v>1.78</v>
      </c>
      <c r="D22" s="322" t="s">
        <v>10</v>
      </c>
      <c r="E22" s="244">
        <f t="shared" si="0"/>
        <v>680301</v>
      </c>
      <c r="F22" s="244">
        <f t="shared" si="1"/>
        <v>129257</v>
      </c>
      <c r="G22" s="244">
        <f t="shared" si="2"/>
        <v>809558</v>
      </c>
      <c r="H22" s="263"/>
      <c r="I22" s="263"/>
      <c r="J22" s="263"/>
    </row>
    <row r="23" spans="1:10" ht="17.25" customHeight="1">
      <c r="A23" s="305" t="s">
        <v>24</v>
      </c>
      <c r="B23" s="306">
        <f>SUM(B9:B22)</f>
        <v>13305415959</v>
      </c>
      <c r="C23" s="318"/>
      <c r="D23" s="317"/>
      <c r="E23" s="306">
        <f>SUM(E9:E22)</f>
        <v>18103384</v>
      </c>
      <c r="F23" s="306">
        <f>SUM(F9:F22)</f>
        <v>3439642</v>
      </c>
      <c r="G23" s="306">
        <f t="shared" ref="G23" si="4">SUM(G9:G22)</f>
        <v>21543026</v>
      </c>
      <c r="H23" s="263"/>
      <c r="I23" s="263"/>
      <c r="J23" s="263"/>
    </row>
    <row r="24" spans="1:10" ht="17.25" customHeight="1">
      <c r="A24" s="331"/>
      <c r="B24" s="334"/>
      <c r="C24" s="334"/>
      <c r="D24" s="334"/>
      <c r="E24" s="334"/>
      <c r="F24" s="334"/>
      <c r="G24" s="332"/>
      <c r="H24" s="263"/>
      <c r="I24" s="263"/>
      <c r="J24" s="263"/>
    </row>
    <row r="25" spans="1:10" ht="25.5">
      <c r="A25" s="302" t="s">
        <v>25</v>
      </c>
      <c r="B25" s="303"/>
      <c r="C25" s="303"/>
      <c r="D25" s="303"/>
      <c r="E25" s="303"/>
      <c r="F25" s="303"/>
      <c r="G25" s="304"/>
      <c r="H25" s="263"/>
      <c r="I25" s="263"/>
      <c r="J25" s="263"/>
    </row>
    <row r="26" spans="1:10" ht="19.5" customHeight="1">
      <c r="A26" s="245" t="s">
        <v>26</v>
      </c>
      <c r="B26" s="244">
        <v>140542175</v>
      </c>
      <c r="C26" s="311">
        <v>4</v>
      </c>
      <c r="D26" s="322" t="s">
        <v>10</v>
      </c>
      <c r="E26" s="244">
        <f t="shared" ref="E26:E27" si="5">ROUND((B26*C26/1000)/365*$B$102,0)</f>
        <v>429713</v>
      </c>
      <c r="F26" s="244">
        <f t="shared" si="1"/>
        <v>81645</v>
      </c>
      <c r="G26" s="244">
        <f t="shared" ref="G26:G31" si="6">ROUND(E26+F26,0)</f>
        <v>511358</v>
      </c>
      <c r="H26" s="263"/>
      <c r="I26" s="263"/>
      <c r="J26" s="263"/>
    </row>
    <row r="27" spans="1:10" ht="21" customHeight="1">
      <c r="A27" s="245" t="s">
        <v>27</v>
      </c>
      <c r="B27" s="244">
        <v>155354954</v>
      </c>
      <c r="C27" s="311">
        <f>+$C$26</f>
        <v>4</v>
      </c>
      <c r="D27" s="322" t="s">
        <v>10</v>
      </c>
      <c r="E27" s="244">
        <f t="shared" si="5"/>
        <v>475003</v>
      </c>
      <c r="F27" s="244">
        <f t="shared" si="1"/>
        <v>90251</v>
      </c>
      <c r="G27" s="244">
        <f t="shared" si="6"/>
        <v>565254</v>
      </c>
      <c r="H27" s="263"/>
      <c r="I27" s="263"/>
      <c r="J27" s="263"/>
    </row>
    <row r="28" spans="1:10" ht="21" customHeight="1">
      <c r="A28" s="245" t="s">
        <v>13</v>
      </c>
      <c r="B28" s="244">
        <v>70344580</v>
      </c>
      <c r="C28" s="311">
        <f>+$C$26</f>
        <v>4</v>
      </c>
      <c r="D28" s="322" t="s">
        <v>10</v>
      </c>
      <c r="E28" s="244">
        <f>ROUND((B28*C28/1000)/365*$B$102,0)</f>
        <v>215081</v>
      </c>
      <c r="F28" s="244">
        <f t="shared" si="1"/>
        <v>40865</v>
      </c>
      <c r="G28" s="244">
        <f t="shared" si="6"/>
        <v>255946</v>
      </c>
      <c r="H28" s="263"/>
      <c r="I28" s="263"/>
      <c r="J28" s="263"/>
    </row>
    <row r="29" spans="1:10" ht="18.75" customHeight="1">
      <c r="A29" s="245" t="s">
        <v>28</v>
      </c>
      <c r="B29" s="244">
        <v>281439098</v>
      </c>
      <c r="C29" s="311">
        <f>+$C$26</f>
        <v>4</v>
      </c>
      <c r="D29" s="322" t="s">
        <v>10</v>
      </c>
      <c r="E29" s="244">
        <f>ROUND((B29*C29/1000)/365*$B$102,0)</f>
        <v>860510</v>
      </c>
      <c r="F29" s="244">
        <f t="shared" si="1"/>
        <v>163497</v>
      </c>
      <c r="G29" s="244">
        <f t="shared" si="6"/>
        <v>1024007</v>
      </c>
      <c r="H29" s="263"/>
      <c r="I29" s="263"/>
      <c r="J29" s="263"/>
    </row>
    <row r="30" spans="1:10">
      <c r="A30" s="245" t="s">
        <v>29</v>
      </c>
      <c r="B30" s="244">
        <v>250856651</v>
      </c>
      <c r="C30" s="311">
        <f>+$C$26</f>
        <v>4</v>
      </c>
      <c r="D30" s="322" t="s">
        <v>10</v>
      </c>
      <c r="E30" s="244">
        <f>ROUND((B30*C30/1000)/365*$B$102,0)</f>
        <v>767003</v>
      </c>
      <c r="F30" s="244">
        <f t="shared" si="1"/>
        <v>145731</v>
      </c>
      <c r="G30" s="244">
        <f t="shared" si="6"/>
        <v>912734</v>
      </c>
      <c r="H30" s="263"/>
      <c r="I30" s="263"/>
    </row>
    <row r="31" spans="1:10">
      <c r="A31" s="245" t="s">
        <v>30</v>
      </c>
      <c r="B31" s="244">
        <v>139239992</v>
      </c>
      <c r="C31" s="311">
        <v>6</v>
      </c>
      <c r="D31" s="322" t="s">
        <v>10</v>
      </c>
      <c r="E31" s="244">
        <f>ROUND((B31*C31/1000)/365*$B$102,0)</f>
        <v>638597</v>
      </c>
      <c r="F31" s="244">
        <f t="shared" si="1"/>
        <v>121333</v>
      </c>
      <c r="G31" s="244">
        <f t="shared" si="6"/>
        <v>759930</v>
      </c>
      <c r="H31" s="263"/>
      <c r="I31" s="263"/>
    </row>
    <row r="32" spans="1:10">
      <c r="A32" s="305" t="s">
        <v>31</v>
      </c>
      <c r="B32" s="306">
        <f>SUM(B26:B31)</f>
        <v>1037777450</v>
      </c>
      <c r="C32" s="318"/>
      <c r="D32" s="317"/>
      <c r="E32" s="306">
        <f>SUM(E26:E31)</f>
        <v>3385907</v>
      </c>
      <c r="F32" s="306">
        <f t="shared" ref="F32:G32" si="7">SUM(F26:F31)</f>
        <v>643322</v>
      </c>
      <c r="G32" s="306">
        <f t="shared" si="7"/>
        <v>4029229</v>
      </c>
      <c r="H32" s="263"/>
      <c r="I32" s="263"/>
      <c r="J32" s="263"/>
    </row>
    <row r="33" spans="1:10">
      <c r="A33" s="331"/>
      <c r="B33" s="334"/>
      <c r="C33" s="334"/>
      <c r="D33" s="334"/>
      <c r="E33" s="334"/>
      <c r="F33" s="334"/>
      <c r="G33" s="332"/>
      <c r="H33" s="263"/>
      <c r="I33" s="263"/>
    </row>
    <row r="34" spans="1:10">
      <c r="A34" s="302" t="s">
        <v>32</v>
      </c>
      <c r="B34" s="303"/>
      <c r="C34" s="303"/>
      <c r="D34" s="303"/>
      <c r="E34" s="303"/>
      <c r="F34" s="303"/>
      <c r="G34" s="304"/>
      <c r="H34" s="263"/>
      <c r="I34" s="263"/>
    </row>
    <row r="35" spans="1:10">
      <c r="A35" s="245" t="str">
        <f t="shared" ref="A35:B45" si="8">A10</f>
        <v>BODEGA - ALMACEN</v>
      </c>
      <c r="B35" s="244">
        <f t="shared" si="8"/>
        <v>20000000</v>
      </c>
      <c r="C35" s="311">
        <v>0.4</v>
      </c>
      <c r="D35" s="322" t="s">
        <v>33</v>
      </c>
      <c r="E35" s="244">
        <f t="shared" ref="E35:E45" si="9">ROUND((B35*C35/100)/365*$B$102,0)</f>
        <v>61151</v>
      </c>
      <c r="F35" s="244">
        <f t="shared" ref="F35:F45" si="10">+ROUND(E35*19%,0)</f>
        <v>11619</v>
      </c>
      <c r="G35" s="244">
        <f t="shared" ref="G35:G45" si="11">ROUND(E35+F35,0)</f>
        <v>72770</v>
      </c>
    </row>
    <row r="36" spans="1:10">
      <c r="A36" s="245" t="str">
        <f t="shared" si="8"/>
        <v>CONTENIDOS</v>
      </c>
      <c r="B36" s="244">
        <f t="shared" si="8"/>
        <v>87296029</v>
      </c>
      <c r="C36" s="311">
        <f>+$C$35</f>
        <v>0.4</v>
      </c>
      <c r="D36" s="322" t="s">
        <v>33</v>
      </c>
      <c r="E36" s="244">
        <f t="shared" si="9"/>
        <v>266911</v>
      </c>
      <c r="F36" s="244">
        <f t="shared" si="10"/>
        <v>50713</v>
      </c>
      <c r="G36" s="244">
        <f t="shared" si="11"/>
        <v>317624</v>
      </c>
    </row>
    <row r="37" spans="1:10">
      <c r="A37" s="245" t="str">
        <f t="shared" si="8"/>
        <v>EQUIPO MEDICO Y LABORATORIO</v>
      </c>
      <c r="B37" s="244">
        <f t="shared" si="8"/>
        <v>99527101</v>
      </c>
      <c r="C37" s="311">
        <f t="shared" ref="C37:C45" si="12">+$C$35</f>
        <v>0.4</v>
      </c>
      <c r="D37" s="322" t="s">
        <v>33</v>
      </c>
      <c r="E37" s="244">
        <f t="shared" si="9"/>
        <v>304308</v>
      </c>
      <c r="F37" s="244">
        <f t="shared" si="10"/>
        <v>57819</v>
      </c>
      <c r="G37" s="244">
        <f t="shared" si="11"/>
        <v>362127</v>
      </c>
    </row>
    <row r="38" spans="1:10">
      <c r="A38" s="245" t="str">
        <f t="shared" si="8"/>
        <v>HERRAMIENTAS</v>
      </c>
      <c r="B38" s="244">
        <f t="shared" si="8"/>
        <v>17065927</v>
      </c>
      <c r="C38" s="311">
        <f t="shared" si="12"/>
        <v>0.4</v>
      </c>
      <c r="D38" s="322" t="s">
        <v>33</v>
      </c>
      <c r="E38" s="244">
        <f t="shared" si="9"/>
        <v>52180</v>
      </c>
      <c r="F38" s="244">
        <f t="shared" si="10"/>
        <v>9914</v>
      </c>
      <c r="G38" s="244">
        <f t="shared" si="11"/>
        <v>62094</v>
      </c>
    </row>
    <row r="39" spans="1:10">
      <c r="A39" s="245" t="str">
        <f t="shared" si="8"/>
        <v>EQUIPO DE OFICINA</v>
      </c>
      <c r="B39" s="244">
        <f t="shared" si="8"/>
        <v>7999598</v>
      </c>
      <c r="C39" s="311">
        <f t="shared" si="12"/>
        <v>0.4</v>
      </c>
      <c r="D39" s="322" t="s">
        <v>33</v>
      </c>
      <c r="E39" s="244">
        <f t="shared" si="9"/>
        <v>24459</v>
      </c>
      <c r="F39" s="244">
        <f t="shared" si="10"/>
        <v>4647</v>
      </c>
      <c r="G39" s="244">
        <f t="shared" si="11"/>
        <v>29106</v>
      </c>
    </row>
    <row r="40" spans="1:10">
      <c r="A40" s="245" t="str">
        <f t="shared" si="8"/>
        <v>LICENCIAS Y SOFTWARE</v>
      </c>
      <c r="B40" s="244">
        <f t="shared" si="8"/>
        <v>19449649</v>
      </c>
      <c r="C40" s="311">
        <f t="shared" si="12"/>
        <v>0.4</v>
      </c>
      <c r="D40" s="322" t="s">
        <v>33</v>
      </c>
      <c r="E40" s="244">
        <f t="shared" si="9"/>
        <v>59468</v>
      </c>
      <c r="F40" s="244">
        <f t="shared" si="10"/>
        <v>11299</v>
      </c>
      <c r="G40" s="244">
        <f t="shared" si="11"/>
        <v>70767</v>
      </c>
    </row>
    <row r="41" spans="1:10">
      <c r="A41" s="245" t="str">
        <f t="shared" si="8"/>
        <v>MAQUINARIA Y EQUIPO</v>
      </c>
      <c r="B41" s="244">
        <f t="shared" si="8"/>
        <v>164028299</v>
      </c>
      <c r="C41" s="311">
        <f t="shared" si="12"/>
        <v>0.4</v>
      </c>
      <c r="D41" s="322" t="s">
        <v>33</v>
      </c>
      <c r="E41" s="244">
        <f t="shared" si="9"/>
        <v>501522</v>
      </c>
      <c r="F41" s="244">
        <f t="shared" si="10"/>
        <v>95289</v>
      </c>
      <c r="G41" s="244">
        <f t="shared" si="11"/>
        <v>596811</v>
      </c>
    </row>
    <row r="42" spans="1:10">
      <c r="A42" s="245" t="str">
        <f t="shared" si="8"/>
        <v>MUEBLES Y ENSERES</v>
      </c>
      <c r="B42" s="244">
        <f t="shared" si="8"/>
        <v>82816945</v>
      </c>
      <c r="C42" s="311">
        <f t="shared" si="12"/>
        <v>0.4</v>
      </c>
      <c r="D42" s="322" t="s">
        <v>33</v>
      </c>
      <c r="E42" s="244">
        <f t="shared" si="9"/>
        <v>253216</v>
      </c>
      <c r="F42" s="244">
        <f t="shared" si="10"/>
        <v>48111</v>
      </c>
      <c r="G42" s="244">
        <f t="shared" si="11"/>
        <v>301327</v>
      </c>
    </row>
    <row r="43" spans="1:10">
      <c r="A43" s="245" t="str">
        <f t="shared" si="8"/>
        <v>INSTALACIONES ELECTRICAS Y REDES</v>
      </c>
      <c r="B43" s="244">
        <f t="shared" si="8"/>
        <v>20000000</v>
      </c>
      <c r="C43" s="311">
        <f t="shared" si="12"/>
        <v>0.4</v>
      </c>
      <c r="D43" s="322" t="s">
        <v>33</v>
      </c>
      <c r="E43" s="244">
        <f t="shared" si="9"/>
        <v>61151</v>
      </c>
      <c r="F43" s="244">
        <f t="shared" si="10"/>
        <v>11619</v>
      </c>
      <c r="G43" s="244">
        <f t="shared" si="11"/>
        <v>72770</v>
      </c>
    </row>
    <row r="44" spans="1:10">
      <c r="A44" s="245" t="str">
        <f t="shared" si="8"/>
        <v>DINEROS DENTRO Y FUERA DE CAJA FUERTE</v>
      </c>
      <c r="B44" s="244">
        <f t="shared" si="8"/>
        <v>2000000</v>
      </c>
      <c r="C44" s="311">
        <v>1.0433613445371284</v>
      </c>
      <c r="D44" s="322" t="s">
        <v>33</v>
      </c>
      <c r="E44" s="244">
        <f t="shared" si="9"/>
        <v>15951</v>
      </c>
      <c r="F44" s="244">
        <f t="shared" si="10"/>
        <v>3031</v>
      </c>
      <c r="G44" s="244">
        <f t="shared" si="11"/>
        <v>18982</v>
      </c>
      <c r="I44" s="276"/>
      <c r="J44" s="277"/>
    </row>
    <row r="45" spans="1:10">
      <c r="A45" s="245" t="str">
        <f t="shared" si="8"/>
        <v>VEHICULOS EN REPOSO</v>
      </c>
      <c r="B45" s="244">
        <f t="shared" si="8"/>
        <v>36300000</v>
      </c>
      <c r="C45" s="311">
        <f t="shared" si="12"/>
        <v>0.4</v>
      </c>
      <c r="D45" s="322" t="s">
        <v>33</v>
      </c>
      <c r="E45" s="244">
        <f t="shared" si="9"/>
        <v>110988</v>
      </c>
      <c r="F45" s="244">
        <f t="shared" si="10"/>
        <v>21088</v>
      </c>
      <c r="G45" s="244">
        <f t="shared" si="11"/>
        <v>132076</v>
      </c>
      <c r="I45" s="276"/>
      <c r="J45" s="277"/>
    </row>
    <row r="46" spans="1:10">
      <c r="A46" s="247" t="s">
        <v>34</v>
      </c>
      <c r="B46" s="255">
        <f>SUM(B35:B45)</f>
        <v>556483548</v>
      </c>
      <c r="C46" s="311"/>
      <c r="D46" s="322"/>
      <c r="E46" s="255">
        <f>SUM(E35:E45)</f>
        <v>1711305</v>
      </c>
      <c r="F46" s="255">
        <f t="shared" ref="F46:G46" si="13">SUM(F35:F45)</f>
        <v>325149</v>
      </c>
      <c r="G46" s="255">
        <f t="shared" si="13"/>
        <v>2036454</v>
      </c>
      <c r="I46" s="276"/>
      <c r="J46" s="277"/>
    </row>
    <row r="47" spans="1:10">
      <c r="A47" s="247" t="s">
        <v>35</v>
      </c>
      <c r="B47" s="244"/>
      <c r="C47" s="311"/>
      <c r="D47" s="322"/>
      <c r="E47" s="244"/>
      <c r="F47" s="244"/>
      <c r="G47" s="244"/>
    </row>
    <row r="48" spans="1:10" ht="25.5">
      <c r="A48" s="245" t="s">
        <v>36</v>
      </c>
      <c r="B48" s="244">
        <v>60073750</v>
      </c>
      <c r="C48" s="311">
        <v>2</v>
      </c>
      <c r="D48" s="322" t="s">
        <v>33</v>
      </c>
      <c r="E48" s="244">
        <f t="shared" ref="E48" si="14">ROUND((B48*C48/100)/365*$B$102,0)</f>
        <v>918388</v>
      </c>
      <c r="F48" s="244">
        <f t="shared" ref="F48" si="15">+ROUND(E48*19%,0)</f>
        <v>174494</v>
      </c>
      <c r="G48" s="244">
        <f t="shared" ref="G48" si="16">ROUND(E48+F48,0)</f>
        <v>1092882</v>
      </c>
    </row>
    <row r="49" spans="1:10">
      <c r="A49" s="247" t="s">
        <v>37</v>
      </c>
      <c r="B49" s="255">
        <f>B48</f>
        <v>60073750</v>
      </c>
      <c r="C49" s="311"/>
      <c r="D49" s="322"/>
      <c r="E49" s="255">
        <f>SUM(E48)</f>
        <v>918388</v>
      </c>
      <c r="F49" s="255">
        <f t="shared" ref="F49:G49" si="17">SUM(F48)</f>
        <v>174494</v>
      </c>
      <c r="G49" s="255">
        <f t="shared" si="17"/>
        <v>1092882</v>
      </c>
    </row>
    <row r="50" spans="1:10" ht="25.5">
      <c r="A50" s="305" t="s">
        <v>38</v>
      </c>
      <c r="B50" s="306">
        <f>B46+B48</f>
        <v>616557298</v>
      </c>
      <c r="C50" s="318"/>
      <c r="D50" s="317"/>
      <c r="E50" s="306">
        <f>+ROUND(E49+E46,0)</f>
        <v>2629693</v>
      </c>
      <c r="F50" s="306">
        <f t="shared" ref="F50:G50" si="18">+ROUND(F49+F46,0)</f>
        <v>499643</v>
      </c>
      <c r="G50" s="306">
        <f t="shared" si="18"/>
        <v>3129336</v>
      </c>
      <c r="H50" s="263"/>
      <c r="I50" s="263"/>
      <c r="J50" s="263"/>
    </row>
    <row r="51" spans="1:10">
      <c r="A51" s="331"/>
      <c r="B51" s="334"/>
      <c r="C51" s="334"/>
      <c r="D51" s="334"/>
      <c r="E51" s="334"/>
      <c r="F51" s="334"/>
      <c r="G51" s="332"/>
    </row>
    <row r="52" spans="1:10">
      <c r="A52" s="302" t="s">
        <v>39</v>
      </c>
      <c r="B52" s="303"/>
      <c r="C52" s="303"/>
      <c r="D52" s="303"/>
      <c r="E52" s="303"/>
      <c r="F52" s="303"/>
      <c r="G52" s="304"/>
    </row>
    <row r="53" spans="1:10">
      <c r="A53" s="245" t="str">
        <f>A16</f>
        <v>MAQUINARIA Y EQUIPO</v>
      </c>
      <c r="B53" s="244">
        <f>B16</f>
        <v>164028299</v>
      </c>
      <c r="C53" s="311">
        <v>2</v>
      </c>
      <c r="D53" s="322" t="s">
        <v>10</v>
      </c>
      <c r="E53" s="244">
        <f t="shared" ref="E53" si="19">ROUND((B53*C53/1000)/365*$B$102,0)</f>
        <v>250761</v>
      </c>
      <c r="F53" s="244">
        <f t="shared" ref="F53" si="20">+ROUND(E53*19%,0)</f>
        <v>47645</v>
      </c>
      <c r="G53" s="244">
        <f t="shared" ref="G53" si="21">ROUND(E53+F53,0)</f>
        <v>298406</v>
      </c>
    </row>
    <row r="54" spans="1:10">
      <c r="A54" s="305" t="s">
        <v>40</v>
      </c>
      <c r="B54" s="306">
        <f>SUM(B53:B53)</f>
        <v>164028299</v>
      </c>
      <c r="C54" s="318"/>
      <c r="D54" s="317"/>
      <c r="E54" s="306">
        <f>SUM(E53)</f>
        <v>250761</v>
      </c>
      <c r="F54" s="306">
        <f t="shared" ref="F54:G54" si="22">SUM(F53)</f>
        <v>47645</v>
      </c>
      <c r="G54" s="306">
        <f t="shared" si="22"/>
        <v>298406</v>
      </c>
      <c r="H54" s="263"/>
      <c r="I54" s="263"/>
      <c r="J54" s="263"/>
    </row>
    <row r="55" spans="1:10">
      <c r="A55" s="331"/>
      <c r="B55" s="334"/>
      <c r="C55" s="334"/>
      <c r="D55" s="334"/>
      <c r="E55" s="334"/>
      <c r="F55" s="334"/>
      <c r="G55" s="332"/>
    </row>
    <row r="56" spans="1:10">
      <c r="A56" s="305" t="s">
        <v>41</v>
      </c>
      <c r="B56" s="306">
        <f>B23+B32+B49</f>
        <v>14403267159</v>
      </c>
      <c r="C56" s="318"/>
      <c r="D56" s="317"/>
      <c r="E56" s="306">
        <f>+ROUND(E23+E32+E50+E54,0)</f>
        <v>24369745</v>
      </c>
      <c r="F56" s="306">
        <f t="shared" ref="F56:G56" si="23">+ROUND(F23+F32+F50+F54,0)</f>
        <v>4630252</v>
      </c>
      <c r="G56" s="306">
        <f t="shared" si="23"/>
        <v>28999997</v>
      </c>
      <c r="H56" s="263"/>
      <c r="I56" s="263"/>
      <c r="J56" s="263"/>
    </row>
    <row r="57" spans="1:10">
      <c r="A57" s="331"/>
      <c r="B57" s="334"/>
      <c r="C57" s="334"/>
      <c r="D57" s="334"/>
      <c r="E57" s="334"/>
      <c r="F57" s="334"/>
      <c r="G57" s="332"/>
      <c r="H57" s="263"/>
      <c r="I57" s="263"/>
      <c r="J57" s="263"/>
    </row>
    <row r="58" spans="1:10">
      <c r="A58" s="302" t="s">
        <v>42</v>
      </c>
      <c r="B58" s="303"/>
      <c r="C58" s="303"/>
      <c r="D58" s="303"/>
      <c r="E58" s="303"/>
      <c r="F58" s="303"/>
      <c r="G58" s="304"/>
    </row>
    <row r="59" spans="1:10">
      <c r="A59" s="245" t="s">
        <v>43</v>
      </c>
      <c r="B59" s="244">
        <v>1035698741</v>
      </c>
      <c r="C59" s="311">
        <v>4</v>
      </c>
      <c r="D59" s="322" t="s">
        <v>10</v>
      </c>
      <c r="E59" s="244">
        <f t="shared" ref="E59" si="24">ROUND((B59*C59/1000)/365*$B$102,0)</f>
        <v>3166684</v>
      </c>
      <c r="F59" s="244">
        <f t="shared" ref="F59" si="25">+ROUND(E59*19%,0)</f>
        <v>601670</v>
      </c>
      <c r="G59" s="244">
        <f t="shared" ref="G59" si="26">ROUND(E59+F59,0)</f>
        <v>3768354</v>
      </c>
    </row>
    <row r="60" spans="1:10">
      <c r="A60" s="305" t="s">
        <v>44</v>
      </c>
      <c r="B60" s="306">
        <f>B59</f>
        <v>1035698741</v>
      </c>
      <c r="C60" s="318"/>
      <c r="D60" s="317"/>
      <c r="E60" s="306">
        <f>SUM(E59)</f>
        <v>3166684</v>
      </c>
      <c r="F60" s="306">
        <f t="shared" ref="F60:G60" si="27">SUM(F59)</f>
        <v>601670</v>
      </c>
      <c r="G60" s="306">
        <f t="shared" si="27"/>
        <v>3768354</v>
      </c>
      <c r="H60" s="263"/>
      <c r="I60" s="263"/>
      <c r="J60" s="263"/>
    </row>
    <row r="61" spans="1:10">
      <c r="A61" s="331"/>
      <c r="B61" s="334"/>
      <c r="C61" s="334"/>
      <c r="D61" s="334"/>
      <c r="E61" s="334"/>
      <c r="F61" s="334"/>
      <c r="G61" s="332"/>
    </row>
    <row r="62" spans="1:10">
      <c r="A62" s="302" t="s">
        <v>45</v>
      </c>
      <c r="B62" s="303"/>
      <c r="C62" s="303"/>
      <c r="D62" s="303"/>
      <c r="E62" s="303"/>
      <c r="F62" s="303"/>
      <c r="G62" s="304"/>
    </row>
    <row r="63" spans="1:10">
      <c r="A63" s="245" t="s">
        <v>43</v>
      </c>
      <c r="B63" s="244">
        <v>100000000</v>
      </c>
      <c r="C63" s="311">
        <v>5.98</v>
      </c>
      <c r="D63" s="322" t="s">
        <v>33</v>
      </c>
      <c r="E63" s="244">
        <f>ROUND((B63*C63/100)/365*$B$102,0)</f>
        <v>4571014</v>
      </c>
      <c r="F63" s="244">
        <f t="shared" ref="F63" si="28">+ROUND(E63*19%,0)</f>
        <v>868493</v>
      </c>
      <c r="G63" s="244">
        <f t="shared" ref="G63" si="29">ROUND(E63+F63,0)</f>
        <v>5439507</v>
      </c>
    </row>
    <row r="64" spans="1:10">
      <c r="A64" s="305" t="s">
        <v>46</v>
      </c>
      <c r="B64" s="306">
        <f>B63</f>
        <v>100000000</v>
      </c>
      <c r="C64" s="318"/>
      <c r="D64" s="317"/>
      <c r="E64" s="306">
        <f>SUM(E63)</f>
        <v>4571014</v>
      </c>
      <c r="F64" s="306">
        <f t="shared" ref="F64:G64" si="30">SUM(F63)</f>
        <v>868493</v>
      </c>
      <c r="G64" s="306">
        <f t="shared" si="30"/>
        <v>5439507</v>
      </c>
      <c r="H64" s="263"/>
      <c r="I64" s="263"/>
      <c r="J64" s="263"/>
    </row>
    <row r="65" spans="1:10">
      <c r="A65" s="331"/>
      <c r="B65" s="334"/>
      <c r="C65" s="334"/>
      <c r="D65" s="334"/>
      <c r="E65" s="334"/>
      <c r="F65" s="334"/>
      <c r="G65" s="332"/>
      <c r="H65" s="263"/>
      <c r="I65" s="263"/>
      <c r="J65" s="263"/>
    </row>
    <row r="66" spans="1:10">
      <c r="A66" s="302" t="s">
        <v>47</v>
      </c>
      <c r="B66" s="303"/>
      <c r="C66" s="303"/>
      <c r="D66" s="303"/>
      <c r="E66" s="303"/>
      <c r="F66" s="303"/>
      <c r="G66" s="304"/>
    </row>
    <row r="67" spans="1:10">
      <c r="A67" s="245" t="s">
        <v>43</v>
      </c>
      <c r="B67" s="244">
        <v>100000000</v>
      </c>
      <c r="C67" s="311">
        <v>0.2</v>
      </c>
      <c r="D67" s="322" t="s">
        <v>10</v>
      </c>
      <c r="E67" s="244">
        <f>ROUND((B67*C67/100)/365*$B$102,0)</f>
        <v>152877</v>
      </c>
      <c r="F67" s="244">
        <f t="shared" ref="F67" si="31">+ROUND(E67*19%,0)</f>
        <v>29047</v>
      </c>
      <c r="G67" s="244">
        <f t="shared" ref="G67" si="32">ROUND(E67+F67,0)</f>
        <v>181924</v>
      </c>
    </row>
    <row r="68" spans="1:10" ht="25.5">
      <c r="A68" s="305" t="s">
        <v>48</v>
      </c>
      <c r="B68" s="306">
        <f>B67</f>
        <v>100000000</v>
      </c>
      <c r="C68" s="318"/>
      <c r="D68" s="317"/>
      <c r="E68" s="306">
        <f>SUM(E67)</f>
        <v>152877</v>
      </c>
      <c r="F68" s="306">
        <f t="shared" ref="F68:G68" si="33">SUM(F67)</f>
        <v>29047</v>
      </c>
      <c r="G68" s="306">
        <f t="shared" si="33"/>
        <v>181924</v>
      </c>
      <c r="H68" s="263"/>
      <c r="I68" s="263"/>
      <c r="J68" s="263"/>
    </row>
    <row r="69" spans="1:10">
      <c r="A69" s="331"/>
      <c r="B69" s="334"/>
      <c r="C69" s="334"/>
      <c r="D69" s="334"/>
      <c r="E69" s="334"/>
      <c r="F69" s="334"/>
      <c r="G69" s="332"/>
      <c r="H69" s="263"/>
      <c r="I69" s="263"/>
      <c r="J69" s="263"/>
    </row>
    <row r="70" spans="1:10">
      <c r="A70" s="302" t="s">
        <v>49</v>
      </c>
      <c r="B70" s="303"/>
      <c r="C70" s="303"/>
      <c r="D70" s="303"/>
      <c r="E70" s="303"/>
      <c r="F70" s="303"/>
      <c r="G70" s="304"/>
    </row>
    <row r="71" spans="1:10">
      <c r="A71" s="245" t="s">
        <v>50</v>
      </c>
      <c r="B71" s="246">
        <v>1001360000</v>
      </c>
      <c r="C71" s="311">
        <v>3.3</v>
      </c>
      <c r="D71" s="322" t="s">
        <v>10</v>
      </c>
      <c r="E71" s="244">
        <f>ROUND((B71*C71/100)/365*$B$102,0)</f>
        <v>25258963</v>
      </c>
      <c r="F71" s="244">
        <f t="shared" ref="F71" si="34">+ROUND(E71*19%,0)</f>
        <v>4799203</v>
      </c>
      <c r="G71" s="244">
        <f t="shared" ref="G71" si="35">ROUND(E71+F71,0)</f>
        <v>30058166</v>
      </c>
    </row>
    <row r="72" spans="1:10">
      <c r="A72" s="305" t="s">
        <v>51</v>
      </c>
      <c r="B72" s="306">
        <f>SUM(B71:B71)</f>
        <v>1001360000</v>
      </c>
      <c r="C72" s="318"/>
      <c r="D72" s="317"/>
      <c r="E72" s="306">
        <f>SUM(E71)</f>
        <v>25258963</v>
      </c>
      <c r="F72" s="306">
        <f t="shared" ref="F72:G72" si="36">SUM(F71)</f>
        <v>4799203</v>
      </c>
      <c r="G72" s="306">
        <f t="shared" si="36"/>
        <v>30058166</v>
      </c>
      <c r="H72" s="263"/>
      <c r="I72" s="263"/>
      <c r="J72" s="263"/>
    </row>
    <row r="73" spans="1:10">
      <c r="A73" s="331"/>
      <c r="B73" s="334"/>
      <c r="C73" s="334"/>
      <c r="D73" s="334"/>
      <c r="E73" s="334"/>
      <c r="F73" s="334"/>
      <c r="G73" s="332"/>
      <c r="H73" s="263"/>
      <c r="I73" s="263"/>
      <c r="J73" s="263"/>
    </row>
    <row r="74" spans="1:10">
      <c r="A74" s="302" t="s">
        <v>52</v>
      </c>
      <c r="B74" s="303"/>
      <c r="C74" s="303"/>
      <c r="D74" s="303"/>
      <c r="E74" s="303"/>
      <c r="F74" s="303"/>
      <c r="G74" s="304"/>
    </row>
    <row r="75" spans="1:10">
      <c r="A75" s="245" t="s">
        <v>53</v>
      </c>
      <c r="B75" s="244">
        <v>200000000</v>
      </c>
      <c r="C75" s="311">
        <v>3.06</v>
      </c>
      <c r="D75" s="322" t="s">
        <v>10</v>
      </c>
      <c r="E75" s="244">
        <f>ROUND((B75*C75/100)/365*$B$102,0)</f>
        <v>4678027</v>
      </c>
      <c r="F75" s="244">
        <f t="shared" ref="F75" si="37">+ROUND(E75*19%,0)</f>
        <v>888825</v>
      </c>
      <c r="G75" s="244">
        <f t="shared" ref="G75" si="38">ROUND(E75+F75,0)</f>
        <v>5566852</v>
      </c>
    </row>
    <row r="76" spans="1:10" ht="25.5">
      <c r="A76" s="305" t="s">
        <v>54</v>
      </c>
      <c r="B76" s="306">
        <f>B75</f>
        <v>200000000</v>
      </c>
      <c r="C76" s="318"/>
      <c r="D76" s="317"/>
      <c r="E76" s="306">
        <f>SUM(E75)</f>
        <v>4678027</v>
      </c>
      <c r="F76" s="306">
        <f t="shared" ref="F76:G76" si="39">SUM(F75)</f>
        <v>888825</v>
      </c>
      <c r="G76" s="306">
        <f t="shared" si="39"/>
        <v>5566852</v>
      </c>
      <c r="H76" s="263"/>
      <c r="I76" s="263"/>
      <c r="J76" s="263"/>
    </row>
    <row r="77" spans="1:10">
      <c r="A77" s="331"/>
      <c r="B77" s="334"/>
      <c r="C77" s="334"/>
      <c r="D77" s="334"/>
      <c r="E77" s="334"/>
      <c r="F77" s="334"/>
      <c r="G77" s="332"/>
      <c r="H77" s="263"/>
      <c r="I77" s="263"/>
      <c r="J77" s="263"/>
    </row>
    <row r="78" spans="1:10">
      <c r="A78" s="302" t="s">
        <v>55</v>
      </c>
      <c r="B78" s="303"/>
      <c r="C78" s="303"/>
      <c r="D78" s="303"/>
      <c r="E78" s="303"/>
      <c r="F78" s="303"/>
      <c r="G78" s="304"/>
    </row>
    <row r="79" spans="1:10">
      <c r="A79" s="245" t="s">
        <v>43</v>
      </c>
      <c r="B79" s="246" t="s">
        <v>56</v>
      </c>
      <c r="C79" s="311"/>
      <c r="D79" s="322"/>
      <c r="E79" s="244">
        <f>2660000/365*$B$102</f>
        <v>2033260.2739726028</v>
      </c>
      <c r="F79" s="244"/>
      <c r="G79" s="244">
        <f>+E79</f>
        <v>2033260.2739726028</v>
      </c>
    </row>
    <row r="80" spans="1:10">
      <c r="A80" s="247" t="s">
        <v>57</v>
      </c>
      <c r="B80" s="259"/>
      <c r="C80" s="311"/>
      <c r="D80" s="322"/>
      <c r="E80" s="244"/>
      <c r="F80" s="244"/>
      <c r="G80" s="244"/>
      <c r="I80" s="263"/>
    </row>
    <row r="81" spans="1:10">
      <c r="A81" s="305" t="s">
        <v>58</v>
      </c>
      <c r="B81" s="306"/>
      <c r="C81" s="318"/>
      <c r="D81" s="317"/>
      <c r="E81" s="306">
        <f>SUM(E79:E80)</f>
        <v>2033260.2739726028</v>
      </c>
      <c r="F81" s="306">
        <f t="shared" ref="F81:G81" si="40">SUM(F79:F80)</f>
        <v>0</v>
      </c>
      <c r="G81" s="306">
        <f t="shared" si="40"/>
        <v>2033260.2739726028</v>
      </c>
      <c r="H81" s="263"/>
      <c r="I81" s="263"/>
      <c r="J81" s="263"/>
    </row>
    <row r="82" spans="1:10" ht="81" customHeight="1">
      <c r="A82" s="247" t="s">
        <v>59</v>
      </c>
      <c r="B82" s="333">
        <v>3000000</v>
      </c>
      <c r="C82" s="321"/>
      <c r="D82" s="320"/>
      <c r="E82" s="255">
        <f>3000000/1.19</f>
        <v>2521008.4033613447</v>
      </c>
      <c r="F82" s="255">
        <f t="shared" ref="F82" si="41">+ROUND(E82*19%,0)</f>
        <v>478992</v>
      </c>
      <c r="G82" s="255">
        <f t="shared" ref="G82" si="42">ROUND(E82+F82,0)</f>
        <v>3000000</v>
      </c>
    </row>
    <row r="83" spans="1:10">
      <c r="A83" s="331"/>
      <c r="B83" s="334"/>
      <c r="C83" s="334"/>
      <c r="D83" s="334"/>
      <c r="E83" s="334"/>
      <c r="F83" s="334"/>
      <c r="G83" s="332"/>
      <c r="H83" s="263"/>
      <c r="I83" s="263"/>
      <c r="J83" s="263"/>
    </row>
    <row r="84" spans="1:10">
      <c r="A84" s="302" t="s">
        <v>60</v>
      </c>
      <c r="B84" s="303"/>
      <c r="C84" s="303"/>
      <c r="D84" s="303"/>
      <c r="E84" s="303"/>
      <c r="F84" s="303"/>
      <c r="G84" s="304"/>
    </row>
    <row r="85" spans="1:10">
      <c r="A85" s="245" t="s">
        <v>61</v>
      </c>
      <c r="B85" s="264" t="s">
        <v>62</v>
      </c>
      <c r="C85" s="311"/>
      <c r="D85" s="322"/>
      <c r="E85" s="244" t="e">
        <f>+#REF!</f>
        <v>#REF!</v>
      </c>
      <c r="F85" s="244"/>
      <c r="G85" s="244" t="e">
        <f>+E85+F85</f>
        <v>#REF!</v>
      </c>
    </row>
    <row r="86" spans="1:10">
      <c r="A86" s="245" t="s">
        <v>78</v>
      </c>
      <c r="B86" s="264"/>
      <c r="C86" s="311"/>
      <c r="D86" s="322"/>
      <c r="E86" s="244"/>
      <c r="F86" s="244"/>
      <c r="G86" s="244"/>
    </row>
    <row r="87" spans="1:10">
      <c r="A87" s="305" t="s">
        <v>63</v>
      </c>
      <c r="B87" s="306"/>
      <c r="C87" s="318"/>
      <c r="D87" s="317"/>
      <c r="E87" s="306" t="e">
        <f>SUM(E85:E86)</f>
        <v>#REF!</v>
      </c>
      <c r="F87" s="306">
        <f t="shared" ref="F87:G87" si="43">SUM(F85:F86)</f>
        <v>0</v>
      </c>
      <c r="G87" s="306" t="e">
        <f t="shared" si="43"/>
        <v>#REF!</v>
      </c>
      <c r="H87" s="263"/>
      <c r="I87" s="263"/>
      <c r="J87" s="263"/>
    </row>
    <row r="88" spans="1:10">
      <c r="A88" s="331"/>
      <c r="B88" s="334"/>
      <c r="C88" s="334"/>
      <c r="D88" s="334"/>
      <c r="E88" s="334"/>
      <c r="F88" s="334"/>
      <c r="G88" s="332"/>
      <c r="H88" s="263"/>
      <c r="I88" s="263"/>
      <c r="J88" s="263"/>
    </row>
    <row r="89" spans="1:10">
      <c r="A89" s="302" t="s">
        <v>64</v>
      </c>
      <c r="B89" s="303"/>
      <c r="C89" s="303"/>
      <c r="D89" s="303"/>
      <c r="E89" s="303"/>
      <c r="F89" s="303"/>
      <c r="G89" s="304"/>
    </row>
    <row r="90" spans="1:10">
      <c r="A90" s="245" t="s">
        <v>65</v>
      </c>
      <c r="B90" s="246">
        <v>85232800</v>
      </c>
      <c r="C90" s="311"/>
      <c r="D90" s="322"/>
      <c r="E90" s="569">
        <f>3665000/365*$B$102</f>
        <v>2801465.7534246575</v>
      </c>
      <c r="F90" s="569"/>
      <c r="G90" s="569">
        <f>+E90+F90</f>
        <v>2801465.7534246575</v>
      </c>
      <c r="H90" s="263"/>
      <c r="I90" s="263"/>
    </row>
    <row r="91" spans="1:10">
      <c r="A91" s="245" t="s">
        <v>66</v>
      </c>
      <c r="B91" s="246">
        <f>B90</f>
        <v>85232800</v>
      </c>
      <c r="C91" s="311"/>
      <c r="D91" s="322"/>
      <c r="E91" s="570"/>
      <c r="F91" s="570"/>
      <c r="G91" s="570"/>
      <c r="H91" s="263"/>
      <c r="I91" s="263"/>
    </row>
    <row r="92" spans="1:10">
      <c r="A92" s="245" t="s">
        <v>67</v>
      </c>
      <c r="B92" s="246">
        <f>B91*9</f>
        <v>767095200</v>
      </c>
      <c r="C92" s="311"/>
      <c r="D92" s="322"/>
      <c r="E92" s="570"/>
      <c r="F92" s="570"/>
      <c r="G92" s="570"/>
      <c r="H92" s="263"/>
      <c r="I92" s="263"/>
    </row>
    <row r="93" spans="1:10" ht="15.75" customHeight="1">
      <c r="A93" s="245" t="s">
        <v>68</v>
      </c>
      <c r="B93" s="246">
        <f>SUM(B90:B92)</f>
        <v>937560800</v>
      </c>
      <c r="C93" s="315"/>
      <c r="D93" s="322"/>
      <c r="E93" s="571"/>
      <c r="F93" s="571"/>
      <c r="G93" s="571"/>
      <c r="H93" s="263"/>
      <c r="I93" s="263"/>
    </row>
    <row r="94" spans="1:10">
      <c r="A94" s="305" t="s">
        <v>69</v>
      </c>
      <c r="B94" s="306">
        <f>B93</f>
        <v>937560800</v>
      </c>
      <c r="C94" s="318"/>
      <c r="D94" s="317"/>
      <c r="E94" s="306"/>
      <c r="F94" s="306"/>
      <c r="G94" s="306"/>
      <c r="H94" s="263"/>
      <c r="I94" s="263"/>
      <c r="J94" s="263"/>
    </row>
    <row r="95" spans="1:10">
      <c r="A95" s="331"/>
      <c r="B95" s="334"/>
      <c r="C95" s="334"/>
      <c r="D95" s="334"/>
      <c r="E95" s="334"/>
      <c r="F95" s="334"/>
      <c r="G95" s="332"/>
      <c r="H95" s="263"/>
      <c r="I95" s="263"/>
      <c r="J95" s="263"/>
    </row>
    <row r="96" spans="1:10">
      <c r="A96" s="562" t="s">
        <v>6</v>
      </c>
      <c r="B96" s="562"/>
      <c r="C96" s="319"/>
      <c r="D96" s="316"/>
      <c r="E96" s="307" t="e">
        <f>+E56+E60+E63+E67+E71+E75+E79+E82+E85+E86+E90+E91+E92+E93</f>
        <v>#REF!</v>
      </c>
      <c r="F96" s="307">
        <f t="shared" ref="F96:G96" si="44">+F56+F60+F63+F67+F71+F75+F79+F82+F85+F86+F90+F91+F92+F93</f>
        <v>12296482</v>
      </c>
      <c r="G96" s="307" t="e">
        <f t="shared" si="44"/>
        <v>#REF!</v>
      </c>
      <c r="H96" s="266"/>
      <c r="I96" s="263"/>
    </row>
    <row r="97" spans="1:10">
      <c r="A97" s="331"/>
      <c r="B97" s="334"/>
      <c r="C97" s="334"/>
      <c r="D97" s="334"/>
      <c r="E97" s="334"/>
      <c r="F97" s="334"/>
      <c r="G97" s="332"/>
      <c r="H97" s="263"/>
      <c r="I97" s="263"/>
      <c r="J97" s="263"/>
    </row>
    <row r="98" spans="1:10" ht="15">
      <c r="A98" s="248"/>
      <c r="B98" s="248"/>
      <c r="C98" s="249"/>
      <c r="D98" s="250"/>
      <c r="E98" s="251"/>
      <c r="F98" s="251"/>
      <c r="G98" s="251"/>
      <c r="H98" s="265"/>
    </row>
    <row r="99" spans="1:10">
      <c r="A99" s="305" t="s">
        <v>79</v>
      </c>
      <c r="B99" s="305"/>
      <c r="C99" s="239"/>
      <c r="D99" s="239"/>
      <c r="E99" s="239"/>
      <c r="F99" s="239"/>
      <c r="G99" s="260"/>
    </row>
    <row r="100" spans="1:10">
      <c r="A100" s="252" t="s">
        <v>70</v>
      </c>
      <c r="B100" s="253">
        <v>44256</v>
      </c>
      <c r="C100" s="240"/>
      <c r="D100" s="235"/>
      <c r="E100" s="241"/>
      <c r="F100" s="242"/>
      <c r="G100" s="238"/>
    </row>
    <row r="101" spans="1:10" s="198" customFormat="1">
      <c r="A101" s="252" t="s">
        <v>71</v>
      </c>
      <c r="B101" s="253">
        <v>44535</v>
      </c>
      <c r="C101" s="240"/>
      <c r="D101" s="235"/>
      <c r="E101" s="241"/>
      <c r="F101" s="242"/>
      <c r="G101" s="238"/>
      <c r="H101" s="297"/>
      <c r="I101" s="308"/>
    </row>
    <row r="102" spans="1:10" s="198" customFormat="1">
      <c r="A102" s="252" t="s">
        <v>72</v>
      </c>
      <c r="B102" s="254">
        <f>B101-B100</f>
        <v>279</v>
      </c>
      <c r="C102" s="240"/>
      <c r="D102" s="235"/>
      <c r="E102" s="241"/>
      <c r="F102" s="243"/>
      <c r="G102" s="238"/>
      <c r="I102" s="312"/>
    </row>
    <row r="103" spans="1:10" s="198" customFormat="1">
      <c r="A103" s="256"/>
      <c r="B103" s="257"/>
      <c r="C103" s="240"/>
      <c r="D103" s="235"/>
      <c r="E103" s="241"/>
      <c r="F103" s="243"/>
      <c r="G103" s="238"/>
      <c r="H103" s="312"/>
    </row>
    <row r="104" spans="1:10" s="198" customFormat="1">
      <c r="A104" s="563" t="s">
        <v>80</v>
      </c>
      <c r="B104" s="563"/>
      <c r="C104" s="563"/>
      <c r="D104" s="563"/>
      <c r="E104" s="563"/>
      <c r="F104" s="563"/>
      <c r="G104" s="563"/>
      <c r="I104" s="312"/>
    </row>
    <row r="105" spans="1:10">
      <c r="A105" s="563"/>
      <c r="B105" s="563"/>
      <c r="C105" s="563"/>
      <c r="D105" s="563"/>
      <c r="E105" s="563"/>
      <c r="F105" s="563"/>
      <c r="G105" s="563"/>
      <c r="I105" s="297"/>
    </row>
    <row r="106" spans="1:10">
      <c r="A106" s="563"/>
      <c r="B106" s="563"/>
      <c r="C106" s="563"/>
      <c r="D106" s="563"/>
      <c r="E106" s="563"/>
      <c r="F106" s="563"/>
      <c r="G106" s="563"/>
      <c r="I106" s="297"/>
    </row>
    <row r="107" spans="1:10">
      <c r="A107" s="563"/>
      <c r="B107" s="563"/>
      <c r="C107" s="563"/>
      <c r="D107" s="563"/>
      <c r="E107" s="563"/>
      <c r="F107" s="563"/>
      <c r="G107" s="563"/>
      <c r="I107" s="297"/>
    </row>
    <row r="108" spans="1:10">
      <c r="A108" s="563"/>
      <c r="B108" s="563"/>
      <c r="C108" s="563"/>
      <c r="D108" s="563"/>
      <c r="E108" s="563"/>
      <c r="F108" s="563"/>
      <c r="G108" s="563"/>
      <c r="I108" s="297"/>
    </row>
    <row r="109" spans="1:10">
      <c r="A109" s="563"/>
      <c r="B109" s="563"/>
      <c r="C109" s="563"/>
      <c r="D109" s="563"/>
      <c r="E109" s="563"/>
      <c r="F109" s="563"/>
      <c r="G109" s="563"/>
      <c r="H109" s="297"/>
    </row>
    <row r="110" spans="1:10">
      <c r="A110" s="563"/>
      <c r="B110" s="563"/>
      <c r="C110" s="563"/>
      <c r="D110" s="563"/>
      <c r="E110" s="563"/>
      <c r="F110" s="563"/>
      <c r="G110" s="563"/>
    </row>
    <row r="111" spans="1:10">
      <c r="A111" s="563"/>
      <c r="B111" s="563"/>
      <c r="C111" s="563"/>
      <c r="D111" s="563"/>
      <c r="E111" s="563"/>
      <c r="F111" s="563"/>
      <c r="G111" s="563"/>
      <c r="H111" s="297"/>
    </row>
    <row r="112" spans="1:10">
      <c r="H112" s="297"/>
      <c r="I112" s="309"/>
    </row>
    <row r="113" spans="8:8">
      <c r="H113" s="297"/>
    </row>
    <row r="114" spans="8:8">
      <c r="H114" s="297"/>
    </row>
  </sheetData>
  <mergeCells count="9">
    <mergeCell ref="A96:B96"/>
    <mergeCell ref="A104:G111"/>
    <mergeCell ref="A2:G2"/>
    <mergeCell ref="A3:G3"/>
    <mergeCell ref="A4:G4"/>
    <mergeCell ref="C6:D6"/>
    <mergeCell ref="E90:E93"/>
    <mergeCell ref="F90:F93"/>
    <mergeCell ref="G90:G93"/>
  </mergeCells>
  <printOptions horizontalCentered="1" verticalCentered="1"/>
  <pageMargins left="0.70866141732283472" right="0.70866141732283472" top="0.39370078740157483" bottom="0.74803149606299213" header="0.31496062992125984" footer="0.31496062992125984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4"/>
  <sheetViews>
    <sheetView showGridLines="0" topLeftCell="A76" zoomScaleNormal="100" workbookViewId="0">
      <selection activeCell="I102" sqref="I102:I108"/>
    </sheetView>
  </sheetViews>
  <sheetFormatPr baseColWidth="10" defaultColWidth="11.42578125" defaultRowHeight="12.75"/>
  <cols>
    <col min="1" max="1" width="50.42578125" style="197" customWidth="1"/>
    <col min="2" max="2" width="19" style="197" customWidth="1"/>
    <col min="3" max="3" width="6.85546875" style="197" customWidth="1"/>
    <col min="4" max="4" width="3.7109375" style="197" bestFit="1" customWidth="1"/>
    <col min="5" max="5" width="12.85546875" style="197" customWidth="1"/>
    <col min="6" max="6" width="13.28515625" style="197" customWidth="1"/>
    <col min="7" max="7" width="18.5703125" style="197" customWidth="1"/>
    <col min="8" max="8" width="19.85546875" style="197" bestFit="1" customWidth="1"/>
    <col min="9" max="9" width="11.85546875" style="197" bestFit="1" customWidth="1"/>
    <col min="10" max="10" width="19.7109375" style="197" customWidth="1"/>
    <col min="11" max="16384" width="11.42578125" style="197"/>
  </cols>
  <sheetData>
    <row r="1" spans="1:10">
      <c r="C1" s="314"/>
      <c r="D1" s="313"/>
    </row>
    <row r="2" spans="1:10" ht="22.5" customHeight="1">
      <c r="A2" s="564" t="s">
        <v>0</v>
      </c>
      <c r="B2" s="564"/>
      <c r="C2" s="564"/>
      <c r="D2" s="564"/>
      <c r="E2" s="564"/>
      <c r="F2" s="564"/>
      <c r="G2" s="564"/>
    </row>
    <row r="3" spans="1:10" ht="15" customHeight="1">
      <c r="A3" s="565" t="s">
        <v>76</v>
      </c>
      <c r="B3" s="565"/>
      <c r="C3" s="565"/>
      <c r="D3" s="565"/>
      <c r="E3" s="565"/>
      <c r="F3" s="565"/>
      <c r="G3" s="565"/>
    </row>
    <row r="4" spans="1:10" ht="15" customHeight="1">
      <c r="A4" s="566" t="s">
        <v>77</v>
      </c>
      <c r="B4" s="566"/>
      <c r="C4" s="566"/>
      <c r="D4" s="566"/>
      <c r="E4" s="566"/>
      <c r="F4" s="566"/>
      <c r="G4" s="566"/>
    </row>
    <row r="5" spans="1:10">
      <c r="A5" s="235"/>
      <c r="B5" s="236"/>
      <c r="C5" s="240"/>
      <c r="D5" s="310"/>
      <c r="E5" s="237"/>
      <c r="F5" s="238"/>
      <c r="G5" s="238"/>
    </row>
    <row r="6" spans="1:10" s="199" customFormat="1" ht="25.5">
      <c r="A6" s="299" t="s">
        <v>1</v>
      </c>
      <c r="B6" s="300" t="s">
        <v>2</v>
      </c>
      <c r="C6" s="567" t="s">
        <v>3</v>
      </c>
      <c r="D6" s="568"/>
      <c r="E6" s="301" t="s">
        <v>4</v>
      </c>
      <c r="F6" s="301" t="s">
        <v>5</v>
      </c>
      <c r="G6" s="301" t="s">
        <v>6</v>
      </c>
    </row>
    <row r="7" spans="1:10" ht="26.1" customHeight="1">
      <c r="A7" s="331" t="s">
        <v>7</v>
      </c>
      <c r="B7" s="334"/>
      <c r="C7" s="334"/>
      <c r="D7" s="334"/>
      <c r="E7" s="334"/>
      <c r="F7" s="334"/>
      <c r="G7" s="332"/>
    </row>
    <row r="8" spans="1:10">
      <c r="A8" s="302" t="s">
        <v>8</v>
      </c>
      <c r="B8" s="303"/>
      <c r="C8" s="303"/>
      <c r="D8" s="303"/>
      <c r="E8" s="303"/>
      <c r="F8" s="303"/>
      <c r="G8" s="304"/>
    </row>
    <row r="9" spans="1:10">
      <c r="A9" s="245" t="s">
        <v>9</v>
      </c>
      <c r="B9" s="259">
        <v>11748932411</v>
      </c>
      <c r="C9" s="311">
        <v>1.78</v>
      </c>
      <c r="D9" s="322" t="s">
        <v>10</v>
      </c>
      <c r="E9" s="244">
        <f t="shared" ref="E9:E22" si="0">ROUND((B9*C9/1000)/365*$B$102,0)</f>
        <v>15355372</v>
      </c>
      <c r="F9" s="244">
        <f>+ROUND(E9*19%,0)</f>
        <v>2917521</v>
      </c>
      <c r="G9" s="244">
        <f>ROUND(E9+F9,0)</f>
        <v>18272893</v>
      </c>
      <c r="H9" s="263"/>
      <c r="I9" s="263"/>
      <c r="J9" s="263"/>
    </row>
    <row r="10" spans="1:10">
      <c r="A10" s="245" t="s">
        <v>11</v>
      </c>
      <c r="B10" s="259">
        <v>20000000</v>
      </c>
      <c r="C10" s="311">
        <f>+$C9</f>
        <v>1.78</v>
      </c>
      <c r="D10" s="322" t="s">
        <v>10</v>
      </c>
      <c r="E10" s="244">
        <f t="shared" si="0"/>
        <v>26139</v>
      </c>
      <c r="F10" s="244">
        <f t="shared" ref="F10:F31" si="1">+ROUND(E10*19%,0)</f>
        <v>4966</v>
      </c>
      <c r="G10" s="244">
        <f t="shared" ref="G10:G22" si="2">ROUND(E10+F10,0)</f>
        <v>31105</v>
      </c>
      <c r="H10" s="263"/>
      <c r="I10" s="263"/>
      <c r="J10" s="263"/>
    </row>
    <row r="11" spans="1:10">
      <c r="A11" s="245" t="s">
        <v>12</v>
      </c>
      <c r="B11" s="259">
        <v>87296029</v>
      </c>
      <c r="C11" s="311">
        <f t="shared" ref="C11:C22" si="3">+$C10</f>
        <v>1.78</v>
      </c>
      <c r="D11" s="322" t="s">
        <v>10</v>
      </c>
      <c r="E11" s="244">
        <f t="shared" si="0"/>
        <v>114092</v>
      </c>
      <c r="F11" s="244">
        <f t="shared" si="1"/>
        <v>21677</v>
      </c>
      <c r="G11" s="244">
        <f t="shared" si="2"/>
        <v>135769</v>
      </c>
      <c r="H11" s="263"/>
      <c r="I11" s="263"/>
      <c r="J11" s="263"/>
    </row>
    <row r="12" spans="1:10">
      <c r="A12" s="245" t="s">
        <v>13</v>
      </c>
      <c r="B12" s="259">
        <v>99527101</v>
      </c>
      <c r="C12" s="311">
        <f t="shared" si="3"/>
        <v>1.78</v>
      </c>
      <c r="D12" s="322" t="s">
        <v>10</v>
      </c>
      <c r="E12" s="244">
        <f t="shared" si="0"/>
        <v>130078</v>
      </c>
      <c r="F12" s="244">
        <f t="shared" si="1"/>
        <v>24715</v>
      </c>
      <c r="G12" s="244">
        <f t="shared" si="2"/>
        <v>154793</v>
      </c>
      <c r="H12" s="263"/>
      <c r="I12" s="263"/>
      <c r="J12" s="263"/>
    </row>
    <row r="13" spans="1:10">
      <c r="A13" s="245" t="s">
        <v>14</v>
      </c>
      <c r="B13" s="259">
        <v>17065927</v>
      </c>
      <c r="C13" s="311">
        <f t="shared" si="3"/>
        <v>1.78</v>
      </c>
      <c r="D13" s="322" t="s">
        <v>10</v>
      </c>
      <c r="E13" s="244">
        <f t="shared" si="0"/>
        <v>22304</v>
      </c>
      <c r="F13" s="244">
        <f t="shared" si="1"/>
        <v>4238</v>
      </c>
      <c r="G13" s="244">
        <f t="shared" si="2"/>
        <v>26542</v>
      </c>
      <c r="H13" s="263"/>
      <c r="I13" s="263"/>
      <c r="J13" s="263"/>
    </row>
    <row r="14" spans="1:10" ht="14.25" customHeight="1">
      <c r="A14" s="245" t="s">
        <v>15</v>
      </c>
      <c r="B14" s="259">
        <v>7999598</v>
      </c>
      <c r="C14" s="311">
        <f t="shared" si="3"/>
        <v>1.78</v>
      </c>
      <c r="D14" s="322" t="s">
        <v>10</v>
      </c>
      <c r="E14" s="244">
        <f t="shared" si="0"/>
        <v>10455</v>
      </c>
      <c r="F14" s="244">
        <f t="shared" si="1"/>
        <v>1986</v>
      </c>
      <c r="G14" s="244">
        <f t="shared" si="2"/>
        <v>12441</v>
      </c>
      <c r="H14" s="263"/>
      <c r="I14" s="263"/>
      <c r="J14" s="263"/>
    </row>
    <row r="15" spans="1:10" ht="14.25" customHeight="1">
      <c r="A15" s="245" t="s">
        <v>16</v>
      </c>
      <c r="B15" s="259">
        <v>19449649</v>
      </c>
      <c r="C15" s="311">
        <f t="shared" si="3"/>
        <v>1.78</v>
      </c>
      <c r="D15" s="322" t="s">
        <v>10</v>
      </c>
      <c r="E15" s="244">
        <f t="shared" si="0"/>
        <v>25420</v>
      </c>
      <c r="F15" s="244">
        <f t="shared" si="1"/>
        <v>4830</v>
      </c>
      <c r="G15" s="244">
        <f t="shared" si="2"/>
        <v>30250</v>
      </c>
      <c r="H15" s="263"/>
      <c r="I15" s="263"/>
      <c r="J15" s="263"/>
    </row>
    <row r="16" spans="1:10">
      <c r="A16" s="245" t="s">
        <v>17</v>
      </c>
      <c r="B16" s="259">
        <v>164028299</v>
      </c>
      <c r="C16" s="311">
        <f t="shared" si="3"/>
        <v>1.78</v>
      </c>
      <c r="D16" s="322" t="s">
        <v>10</v>
      </c>
      <c r="E16" s="244">
        <f t="shared" si="0"/>
        <v>214378</v>
      </c>
      <c r="F16" s="244">
        <f t="shared" si="1"/>
        <v>40732</v>
      </c>
      <c r="G16" s="244">
        <f t="shared" si="2"/>
        <v>255110</v>
      </c>
      <c r="H16" s="263"/>
      <c r="I16" s="263"/>
      <c r="J16" s="263"/>
    </row>
    <row r="17" spans="1:10" ht="18" customHeight="1">
      <c r="A17" s="245" t="s">
        <v>18</v>
      </c>
      <c r="B17" s="259">
        <v>82816945</v>
      </c>
      <c r="C17" s="311">
        <f t="shared" si="3"/>
        <v>1.78</v>
      </c>
      <c r="D17" s="322" t="s">
        <v>10</v>
      </c>
      <c r="E17" s="244">
        <f t="shared" si="0"/>
        <v>108238</v>
      </c>
      <c r="F17" s="244">
        <f t="shared" si="1"/>
        <v>20565</v>
      </c>
      <c r="G17" s="244">
        <f t="shared" si="2"/>
        <v>128803</v>
      </c>
      <c r="H17" s="263"/>
      <c r="I17" s="263"/>
      <c r="J17" s="263"/>
    </row>
    <row r="18" spans="1:10" ht="16.5" customHeight="1">
      <c r="A18" s="245" t="s">
        <v>19</v>
      </c>
      <c r="B18" s="259">
        <v>20000000</v>
      </c>
      <c r="C18" s="311">
        <f t="shared" si="3"/>
        <v>1.78</v>
      </c>
      <c r="D18" s="322" t="s">
        <v>10</v>
      </c>
      <c r="E18" s="244">
        <f t="shared" si="0"/>
        <v>26139</v>
      </c>
      <c r="F18" s="244">
        <f t="shared" si="1"/>
        <v>4966</v>
      </c>
      <c r="G18" s="244">
        <f t="shared" si="2"/>
        <v>31105</v>
      </c>
      <c r="H18" s="263"/>
      <c r="I18" s="263"/>
      <c r="J18" s="263"/>
    </row>
    <row r="19" spans="1:10" ht="23.25" customHeight="1">
      <c r="A19" s="245" t="s">
        <v>20</v>
      </c>
      <c r="B19" s="259">
        <v>2000000</v>
      </c>
      <c r="C19" s="311">
        <f t="shared" si="3"/>
        <v>1.78</v>
      </c>
      <c r="D19" s="322" t="s">
        <v>10</v>
      </c>
      <c r="E19" s="244">
        <f t="shared" si="0"/>
        <v>2614</v>
      </c>
      <c r="F19" s="244">
        <f t="shared" si="1"/>
        <v>497</v>
      </c>
      <c r="G19" s="244">
        <f t="shared" si="2"/>
        <v>3111</v>
      </c>
      <c r="H19" s="263"/>
      <c r="I19" s="263"/>
      <c r="J19" s="263"/>
    </row>
    <row r="20" spans="1:10" ht="17.25" customHeight="1">
      <c r="A20" s="245" t="s">
        <v>21</v>
      </c>
      <c r="B20" s="259">
        <v>36300000</v>
      </c>
      <c r="C20" s="311">
        <f t="shared" si="3"/>
        <v>1.78</v>
      </c>
      <c r="D20" s="322" t="s">
        <v>10</v>
      </c>
      <c r="E20" s="244">
        <f t="shared" si="0"/>
        <v>47443</v>
      </c>
      <c r="F20" s="244">
        <f t="shared" si="1"/>
        <v>9014</v>
      </c>
      <c r="G20" s="244">
        <f t="shared" si="2"/>
        <v>56457</v>
      </c>
      <c r="H20" s="263"/>
      <c r="I20" s="263"/>
      <c r="J20" s="263"/>
    </row>
    <row r="21" spans="1:10" ht="15.75" customHeight="1">
      <c r="A21" s="245" t="s">
        <v>22</v>
      </c>
      <c r="B21" s="259">
        <v>500000000</v>
      </c>
      <c r="C21" s="311">
        <f t="shared" si="3"/>
        <v>1.78</v>
      </c>
      <c r="D21" s="322" t="s">
        <v>10</v>
      </c>
      <c r="E21" s="244">
        <f t="shared" si="0"/>
        <v>653479</v>
      </c>
      <c r="F21" s="244">
        <f t="shared" si="1"/>
        <v>124161</v>
      </c>
      <c r="G21" s="244">
        <f t="shared" si="2"/>
        <v>777640</v>
      </c>
      <c r="H21" s="263"/>
      <c r="I21" s="263"/>
      <c r="J21" s="263"/>
    </row>
    <row r="22" spans="1:10" ht="12.75" customHeight="1">
      <c r="A22" s="245" t="s">
        <v>23</v>
      </c>
      <c r="B22" s="259">
        <v>500000000</v>
      </c>
      <c r="C22" s="311">
        <f t="shared" si="3"/>
        <v>1.78</v>
      </c>
      <c r="D22" s="322" t="s">
        <v>10</v>
      </c>
      <c r="E22" s="244">
        <f t="shared" si="0"/>
        <v>653479</v>
      </c>
      <c r="F22" s="244">
        <f t="shared" si="1"/>
        <v>124161</v>
      </c>
      <c r="G22" s="244">
        <f t="shared" si="2"/>
        <v>777640</v>
      </c>
      <c r="H22" s="263"/>
      <c r="I22" s="263"/>
      <c r="J22" s="263"/>
    </row>
    <row r="23" spans="1:10" ht="17.25" customHeight="1">
      <c r="A23" s="305" t="s">
        <v>24</v>
      </c>
      <c r="B23" s="306">
        <f>SUM(B9:B22)</f>
        <v>13305415959</v>
      </c>
      <c r="C23" s="318"/>
      <c r="D23" s="317"/>
      <c r="E23" s="306">
        <f>SUM(E9:E22)</f>
        <v>17389630</v>
      </c>
      <c r="F23" s="306">
        <f>SUM(F9:F22)</f>
        <v>3304029</v>
      </c>
      <c r="G23" s="306">
        <f t="shared" ref="G23" si="4">SUM(G9:G22)</f>
        <v>20693659</v>
      </c>
      <c r="H23" s="263"/>
      <c r="I23" s="263"/>
      <c r="J23" s="263"/>
    </row>
    <row r="24" spans="1:10" ht="17.25" customHeight="1">
      <c r="A24" s="331"/>
      <c r="B24" s="334"/>
      <c r="C24" s="334"/>
      <c r="D24" s="334"/>
      <c r="E24" s="334"/>
      <c r="F24" s="334"/>
      <c r="G24" s="332"/>
      <c r="H24" s="263"/>
      <c r="I24" s="263"/>
      <c r="J24" s="263"/>
    </row>
    <row r="25" spans="1:10" ht="25.5">
      <c r="A25" s="302" t="s">
        <v>25</v>
      </c>
      <c r="B25" s="303"/>
      <c r="C25" s="303"/>
      <c r="D25" s="303"/>
      <c r="E25" s="303"/>
      <c r="F25" s="303"/>
      <c r="G25" s="304"/>
      <c r="H25" s="263"/>
      <c r="I25" s="263"/>
      <c r="J25" s="263"/>
    </row>
    <row r="26" spans="1:10" ht="19.5" customHeight="1">
      <c r="A26" s="245" t="s">
        <v>26</v>
      </c>
      <c r="B26" s="244">
        <v>140542175</v>
      </c>
      <c r="C26" s="311">
        <v>4</v>
      </c>
      <c r="D26" s="322" t="s">
        <v>10</v>
      </c>
      <c r="E26" s="244">
        <f t="shared" ref="E26" si="5">ROUND((B26*C26/1000)/365*$B$102,0)</f>
        <v>412770</v>
      </c>
      <c r="F26" s="244">
        <f t="shared" si="1"/>
        <v>78426</v>
      </c>
      <c r="G26" s="244">
        <f t="shared" ref="G26" si="6">ROUND(E26+F26,0)</f>
        <v>491196</v>
      </c>
      <c r="H26" s="263"/>
      <c r="I26" s="263"/>
      <c r="J26" s="263"/>
    </row>
    <row r="27" spans="1:10" ht="21" customHeight="1">
      <c r="A27" s="245" t="s">
        <v>27</v>
      </c>
      <c r="B27" s="244">
        <v>155354954</v>
      </c>
      <c r="C27" s="311">
        <f>+$C$26</f>
        <v>4</v>
      </c>
      <c r="D27" s="322" t="s">
        <v>10</v>
      </c>
      <c r="E27" s="244">
        <f t="shared" ref="E27" si="7">ROUND((B27*C27/1000)/365*$B$102,0)</f>
        <v>456275</v>
      </c>
      <c r="F27" s="244">
        <f t="shared" si="1"/>
        <v>86692</v>
      </c>
      <c r="G27" s="244">
        <f t="shared" ref="G27" si="8">ROUND(E27+F27,0)</f>
        <v>542967</v>
      </c>
      <c r="H27" s="263"/>
      <c r="I27" s="263"/>
      <c r="J27" s="263"/>
    </row>
    <row r="28" spans="1:10" ht="21" customHeight="1">
      <c r="A28" s="245" t="s">
        <v>13</v>
      </c>
      <c r="B28" s="244">
        <v>70344580</v>
      </c>
      <c r="C28" s="311">
        <f>+$C$26</f>
        <v>4</v>
      </c>
      <c r="D28" s="322" t="s">
        <v>10</v>
      </c>
      <c r="E28" s="244">
        <f>ROUND((B28*C28/1000)/365*$B$102,0)</f>
        <v>206601</v>
      </c>
      <c r="F28" s="244">
        <f t="shared" si="1"/>
        <v>39254</v>
      </c>
      <c r="G28" s="244">
        <f t="shared" ref="G28:G31" si="9">ROUND(E28+F28,0)</f>
        <v>245855</v>
      </c>
      <c r="H28" s="263"/>
      <c r="I28" s="263"/>
      <c r="J28" s="263"/>
    </row>
    <row r="29" spans="1:10" ht="18.75" customHeight="1">
      <c r="A29" s="245" t="s">
        <v>28</v>
      </c>
      <c r="B29" s="244">
        <v>281439098</v>
      </c>
      <c r="C29" s="311">
        <f>+$C$26</f>
        <v>4</v>
      </c>
      <c r="D29" s="322" t="s">
        <v>10</v>
      </c>
      <c r="E29" s="244">
        <f>ROUND((B29*C29/1000)/365*$B$102,0)</f>
        <v>826583</v>
      </c>
      <c r="F29" s="244">
        <f t="shared" si="1"/>
        <v>157051</v>
      </c>
      <c r="G29" s="244">
        <f t="shared" si="9"/>
        <v>983634</v>
      </c>
      <c r="H29" s="263"/>
      <c r="I29" s="263"/>
      <c r="J29" s="263"/>
    </row>
    <row r="30" spans="1:10">
      <c r="A30" s="245" t="s">
        <v>29</v>
      </c>
      <c r="B30" s="244">
        <v>250856651</v>
      </c>
      <c r="C30" s="311">
        <f>+$C$26</f>
        <v>4</v>
      </c>
      <c r="D30" s="322" t="s">
        <v>10</v>
      </c>
      <c r="E30" s="244">
        <f>ROUND((B30*C30/1000)/365*$B$102,0)</f>
        <v>736763</v>
      </c>
      <c r="F30" s="244">
        <f t="shared" si="1"/>
        <v>139985</v>
      </c>
      <c r="G30" s="244">
        <f t="shared" si="9"/>
        <v>876748</v>
      </c>
      <c r="H30" s="263"/>
      <c r="I30" s="263"/>
    </row>
    <row r="31" spans="1:10">
      <c r="A31" s="245" t="s">
        <v>30</v>
      </c>
      <c r="B31" s="244">
        <v>139239992</v>
      </c>
      <c r="C31" s="311">
        <v>6</v>
      </c>
      <c r="D31" s="322" t="s">
        <v>10</v>
      </c>
      <c r="E31" s="244">
        <f>ROUND((B31*C31/1000)/365*$B$102,0)</f>
        <v>613419</v>
      </c>
      <c r="F31" s="244">
        <f t="shared" si="1"/>
        <v>116550</v>
      </c>
      <c r="G31" s="244">
        <f t="shared" si="9"/>
        <v>729969</v>
      </c>
      <c r="H31" s="263"/>
      <c r="I31" s="263"/>
    </row>
    <row r="32" spans="1:10">
      <c r="A32" s="305" t="s">
        <v>31</v>
      </c>
      <c r="B32" s="306">
        <f>SUM(B26:B31)</f>
        <v>1037777450</v>
      </c>
      <c r="C32" s="318"/>
      <c r="D32" s="317"/>
      <c r="E32" s="306">
        <f>SUM(E26:E31)</f>
        <v>3252411</v>
      </c>
      <c r="F32" s="306">
        <f t="shared" ref="F32:G32" si="10">SUM(F26:F31)</f>
        <v>617958</v>
      </c>
      <c r="G32" s="306">
        <f t="shared" si="10"/>
        <v>3870369</v>
      </c>
      <c r="H32" s="263"/>
      <c r="I32" s="263"/>
      <c r="J32" s="263"/>
    </row>
    <row r="33" spans="1:10">
      <c r="A33" s="331"/>
      <c r="B33" s="334"/>
      <c r="C33" s="334"/>
      <c r="D33" s="334"/>
      <c r="E33" s="334"/>
      <c r="F33" s="334"/>
      <c r="G33" s="332"/>
      <c r="H33" s="263"/>
      <c r="I33" s="263"/>
    </row>
    <row r="34" spans="1:10">
      <c r="A34" s="302" t="s">
        <v>32</v>
      </c>
      <c r="B34" s="303"/>
      <c r="C34" s="303"/>
      <c r="D34" s="303"/>
      <c r="E34" s="303"/>
      <c r="F34" s="303"/>
      <c r="G34" s="304"/>
      <c r="H34" s="263"/>
      <c r="I34" s="263"/>
    </row>
    <row r="35" spans="1:10">
      <c r="A35" s="245" t="str">
        <f t="shared" ref="A35:B45" si="11">A10</f>
        <v>BODEGA - ALMACEN</v>
      </c>
      <c r="B35" s="244">
        <f t="shared" si="11"/>
        <v>20000000</v>
      </c>
      <c r="C35" s="311">
        <v>0.4</v>
      </c>
      <c r="D35" s="322" t="s">
        <v>33</v>
      </c>
      <c r="E35" s="244">
        <f t="shared" ref="E35:E45" si="12">ROUND((B35*C35/100)/365*$B$102,0)</f>
        <v>58740</v>
      </c>
      <c r="F35" s="244">
        <f t="shared" ref="F35:F45" si="13">+ROUND(E35*19%,0)</f>
        <v>11161</v>
      </c>
      <c r="G35" s="244">
        <f t="shared" ref="G35" si="14">ROUND(E35+F35,0)</f>
        <v>69901</v>
      </c>
    </row>
    <row r="36" spans="1:10">
      <c r="A36" s="245" t="str">
        <f t="shared" si="11"/>
        <v>CONTENIDOS</v>
      </c>
      <c r="B36" s="244">
        <f t="shared" si="11"/>
        <v>87296029</v>
      </c>
      <c r="C36" s="311">
        <f>+$C$35</f>
        <v>0.4</v>
      </c>
      <c r="D36" s="322" t="s">
        <v>33</v>
      </c>
      <c r="E36" s="244">
        <f t="shared" si="12"/>
        <v>256387</v>
      </c>
      <c r="F36" s="244">
        <f t="shared" si="13"/>
        <v>48714</v>
      </c>
      <c r="G36" s="244">
        <f t="shared" ref="G36" si="15">ROUND(E36+F36,0)</f>
        <v>305101</v>
      </c>
    </row>
    <row r="37" spans="1:10">
      <c r="A37" s="245" t="str">
        <f t="shared" si="11"/>
        <v>EQUIPO MEDICO Y LABORATORIO</v>
      </c>
      <c r="B37" s="244">
        <f t="shared" si="11"/>
        <v>99527101</v>
      </c>
      <c r="C37" s="311">
        <f t="shared" ref="C37:C45" si="16">+$C$35</f>
        <v>0.4</v>
      </c>
      <c r="D37" s="322" t="s">
        <v>33</v>
      </c>
      <c r="E37" s="244">
        <f t="shared" si="12"/>
        <v>292310</v>
      </c>
      <c r="F37" s="244">
        <f t="shared" si="13"/>
        <v>55539</v>
      </c>
      <c r="G37" s="244">
        <f t="shared" ref="G37:G45" si="17">ROUND(E37+F37,0)</f>
        <v>347849</v>
      </c>
    </row>
    <row r="38" spans="1:10">
      <c r="A38" s="245" t="str">
        <f t="shared" si="11"/>
        <v>HERRAMIENTAS</v>
      </c>
      <c r="B38" s="244">
        <f t="shared" si="11"/>
        <v>17065927</v>
      </c>
      <c r="C38" s="311">
        <f t="shared" si="16"/>
        <v>0.4</v>
      </c>
      <c r="D38" s="322" t="s">
        <v>33</v>
      </c>
      <c r="E38" s="244">
        <f t="shared" si="12"/>
        <v>50122</v>
      </c>
      <c r="F38" s="244">
        <f t="shared" si="13"/>
        <v>9523</v>
      </c>
      <c r="G38" s="244">
        <f t="shared" si="17"/>
        <v>59645</v>
      </c>
    </row>
    <row r="39" spans="1:10">
      <c r="A39" s="245" t="str">
        <f t="shared" si="11"/>
        <v>EQUIPO DE OFICINA</v>
      </c>
      <c r="B39" s="244">
        <f t="shared" si="11"/>
        <v>7999598</v>
      </c>
      <c r="C39" s="311">
        <f t="shared" si="16"/>
        <v>0.4</v>
      </c>
      <c r="D39" s="322" t="s">
        <v>33</v>
      </c>
      <c r="E39" s="244">
        <f t="shared" si="12"/>
        <v>23495</v>
      </c>
      <c r="F39" s="244">
        <f t="shared" si="13"/>
        <v>4464</v>
      </c>
      <c r="G39" s="244">
        <f t="shared" si="17"/>
        <v>27959</v>
      </c>
    </row>
    <row r="40" spans="1:10">
      <c r="A40" s="245" t="str">
        <f t="shared" si="11"/>
        <v>LICENCIAS Y SOFTWARE</v>
      </c>
      <c r="B40" s="244">
        <f t="shared" si="11"/>
        <v>19449649</v>
      </c>
      <c r="C40" s="311">
        <f t="shared" si="16"/>
        <v>0.4</v>
      </c>
      <c r="D40" s="322" t="s">
        <v>33</v>
      </c>
      <c r="E40" s="244">
        <f t="shared" si="12"/>
        <v>57123</v>
      </c>
      <c r="F40" s="244">
        <f t="shared" si="13"/>
        <v>10853</v>
      </c>
      <c r="G40" s="244">
        <f t="shared" si="17"/>
        <v>67976</v>
      </c>
    </row>
    <row r="41" spans="1:10">
      <c r="A41" s="245" t="str">
        <f t="shared" si="11"/>
        <v>MAQUINARIA Y EQUIPO</v>
      </c>
      <c r="B41" s="244">
        <f t="shared" si="11"/>
        <v>164028299</v>
      </c>
      <c r="C41" s="311">
        <f t="shared" si="16"/>
        <v>0.4</v>
      </c>
      <c r="D41" s="322" t="s">
        <v>33</v>
      </c>
      <c r="E41" s="244">
        <f t="shared" si="12"/>
        <v>481749</v>
      </c>
      <c r="F41" s="244">
        <f t="shared" si="13"/>
        <v>91532</v>
      </c>
      <c r="G41" s="244">
        <f t="shared" si="17"/>
        <v>573281</v>
      </c>
    </row>
    <row r="42" spans="1:10">
      <c r="A42" s="245" t="str">
        <f t="shared" si="11"/>
        <v>MUEBLES Y ENSERES</v>
      </c>
      <c r="B42" s="244">
        <f t="shared" si="11"/>
        <v>82816945</v>
      </c>
      <c r="C42" s="311">
        <f t="shared" si="16"/>
        <v>0.4</v>
      </c>
      <c r="D42" s="322" t="s">
        <v>33</v>
      </c>
      <c r="E42" s="244">
        <f t="shared" si="12"/>
        <v>243232</v>
      </c>
      <c r="F42" s="244">
        <f t="shared" si="13"/>
        <v>46214</v>
      </c>
      <c r="G42" s="244">
        <f t="shared" si="17"/>
        <v>289446</v>
      </c>
    </row>
    <row r="43" spans="1:10">
      <c r="A43" s="245" t="str">
        <f t="shared" si="11"/>
        <v>INSTALACIONES ELECTRICAS Y REDES</v>
      </c>
      <c r="B43" s="244">
        <f t="shared" si="11"/>
        <v>20000000</v>
      </c>
      <c r="C43" s="311">
        <f t="shared" si="16"/>
        <v>0.4</v>
      </c>
      <c r="D43" s="322" t="s">
        <v>33</v>
      </c>
      <c r="E43" s="244">
        <f t="shared" si="12"/>
        <v>58740</v>
      </c>
      <c r="F43" s="244">
        <f t="shared" si="13"/>
        <v>11161</v>
      </c>
      <c r="G43" s="244">
        <f t="shared" si="17"/>
        <v>69901</v>
      </c>
    </row>
    <row r="44" spans="1:10">
      <c r="A44" s="245" t="str">
        <f t="shared" si="11"/>
        <v>DINEROS DENTRO Y FUERA DE CAJA FUERTE</v>
      </c>
      <c r="B44" s="244">
        <f t="shared" si="11"/>
        <v>2000000</v>
      </c>
      <c r="C44" s="311">
        <v>1.0433613445371284</v>
      </c>
      <c r="D44" s="322" t="s">
        <v>33</v>
      </c>
      <c r="E44" s="244">
        <f t="shared" si="12"/>
        <v>15322</v>
      </c>
      <c r="F44" s="244">
        <f t="shared" si="13"/>
        <v>2911</v>
      </c>
      <c r="G44" s="244">
        <f t="shared" si="17"/>
        <v>18233</v>
      </c>
      <c r="I44" s="276"/>
      <c r="J44" s="277"/>
    </row>
    <row r="45" spans="1:10">
      <c r="A45" s="245" t="str">
        <f t="shared" si="11"/>
        <v>VEHICULOS EN REPOSO</v>
      </c>
      <c r="B45" s="244">
        <f t="shared" si="11"/>
        <v>36300000</v>
      </c>
      <c r="C45" s="311">
        <f t="shared" si="16"/>
        <v>0.4</v>
      </c>
      <c r="D45" s="322" t="s">
        <v>33</v>
      </c>
      <c r="E45" s="244">
        <f t="shared" si="12"/>
        <v>106613</v>
      </c>
      <c r="F45" s="244">
        <f t="shared" si="13"/>
        <v>20256</v>
      </c>
      <c r="G45" s="244">
        <f t="shared" si="17"/>
        <v>126869</v>
      </c>
      <c r="I45" s="276"/>
      <c r="J45" s="277"/>
    </row>
    <row r="46" spans="1:10">
      <c r="A46" s="247" t="s">
        <v>34</v>
      </c>
      <c r="B46" s="255">
        <f>SUM(B35:B45)</f>
        <v>556483548</v>
      </c>
      <c r="C46" s="311"/>
      <c r="D46" s="322"/>
      <c r="E46" s="255">
        <f>SUM(E35:E45)</f>
        <v>1643833</v>
      </c>
      <c r="F46" s="255">
        <f t="shared" ref="F46:G46" si="18">SUM(F35:F45)</f>
        <v>312328</v>
      </c>
      <c r="G46" s="255">
        <f t="shared" si="18"/>
        <v>1956161</v>
      </c>
      <c r="I46" s="276"/>
      <c r="J46" s="277"/>
    </row>
    <row r="47" spans="1:10">
      <c r="A47" s="247" t="s">
        <v>35</v>
      </c>
      <c r="B47" s="244"/>
      <c r="C47" s="311"/>
      <c r="D47" s="322"/>
      <c r="E47" s="244"/>
      <c r="F47" s="244"/>
      <c r="G47" s="244"/>
    </row>
    <row r="48" spans="1:10" ht="25.5">
      <c r="A48" s="245" t="s">
        <v>36</v>
      </c>
      <c r="B48" s="244">
        <v>60073750</v>
      </c>
      <c r="C48" s="311">
        <v>2</v>
      </c>
      <c r="D48" s="322" t="s">
        <v>33</v>
      </c>
      <c r="E48" s="244">
        <f t="shared" ref="E48" si="19">ROUND((B48*C48/100)/365*$B$102,0)</f>
        <v>882179</v>
      </c>
      <c r="F48" s="244">
        <f t="shared" ref="F48" si="20">+ROUND(E48*19%,0)</f>
        <v>167614</v>
      </c>
      <c r="G48" s="244">
        <f t="shared" ref="G48" si="21">ROUND(E48+F48,0)</f>
        <v>1049793</v>
      </c>
    </row>
    <row r="49" spans="1:10">
      <c r="A49" s="247" t="s">
        <v>37</v>
      </c>
      <c r="B49" s="255">
        <f>B48</f>
        <v>60073750</v>
      </c>
      <c r="C49" s="311"/>
      <c r="D49" s="322"/>
      <c r="E49" s="255">
        <f>SUM(E48)</f>
        <v>882179</v>
      </c>
      <c r="F49" s="255">
        <f t="shared" ref="F49:G49" si="22">SUM(F48)</f>
        <v>167614</v>
      </c>
      <c r="G49" s="255">
        <f t="shared" si="22"/>
        <v>1049793</v>
      </c>
    </row>
    <row r="50" spans="1:10" ht="25.5">
      <c r="A50" s="305" t="s">
        <v>38</v>
      </c>
      <c r="B50" s="306">
        <f>B46+B48</f>
        <v>616557298</v>
      </c>
      <c r="C50" s="318"/>
      <c r="D50" s="317"/>
      <c r="E50" s="306">
        <f>+ROUND(E49+E46,0)</f>
        <v>2526012</v>
      </c>
      <c r="F50" s="306">
        <f t="shared" ref="F50:G50" si="23">+ROUND(F49+F46,0)</f>
        <v>479942</v>
      </c>
      <c r="G50" s="306">
        <f t="shared" si="23"/>
        <v>3005954</v>
      </c>
      <c r="H50" s="263"/>
      <c r="I50" s="263"/>
      <c r="J50" s="263"/>
    </row>
    <row r="51" spans="1:10">
      <c r="A51" s="331"/>
      <c r="B51" s="334"/>
      <c r="C51" s="334"/>
      <c r="D51" s="334"/>
      <c r="E51" s="334"/>
      <c r="F51" s="334"/>
      <c r="G51" s="332"/>
    </row>
    <row r="52" spans="1:10">
      <c r="A52" s="302" t="s">
        <v>39</v>
      </c>
      <c r="B52" s="303"/>
      <c r="C52" s="303"/>
      <c r="D52" s="303"/>
      <c r="E52" s="303"/>
      <c r="F52" s="303"/>
      <c r="G52" s="304"/>
    </row>
    <row r="53" spans="1:10">
      <c r="A53" s="245" t="str">
        <f>A16</f>
        <v>MAQUINARIA Y EQUIPO</v>
      </c>
      <c r="B53" s="244">
        <f>B16</f>
        <v>164028299</v>
      </c>
      <c r="C53" s="311">
        <v>2</v>
      </c>
      <c r="D53" s="322" t="s">
        <v>10</v>
      </c>
      <c r="E53" s="244">
        <f t="shared" ref="E53" si="24">ROUND((B53*C53/1000)/365*$B$102,0)</f>
        <v>240874</v>
      </c>
      <c r="F53" s="244">
        <f t="shared" ref="F53" si="25">+ROUND(E53*19%,0)</f>
        <v>45766</v>
      </c>
      <c r="G53" s="244">
        <f t="shared" ref="G53" si="26">ROUND(E53+F53,0)</f>
        <v>286640</v>
      </c>
    </row>
    <row r="54" spans="1:10">
      <c r="A54" s="305" t="s">
        <v>40</v>
      </c>
      <c r="B54" s="306">
        <f>SUM(B53:B53)</f>
        <v>164028299</v>
      </c>
      <c r="C54" s="318"/>
      <c r="D54" s="317"/>
      <c r="E54" s="306">
        <f>SUM(E53)</f>
        <v>240874</v>
      </c>
      <c r="F54" s="306">
        <f t="shared" ref="F54:G54" si="27">SUM(F53)</f>
        <v>45766</v>
      </c>
      <c r="G54" s="306">
        <f t="shared" si="27"/>
        <v>286640</v>
      </c>
      <c r="H54" s="263"/>
      <c r="I54" s="263"/>
      <c r="J54" s="263"/>
    </row>
    <row r="55" spans="1:10">
      <c r="A55" s="331"/>
      <c r="B55" s="334"/>
      <c r="C55" s="334"/>
      <c r="D55" s="334"/>
      <c r="E55" s="334"/>
      <c r="F55" s="334"/>
      <c r="G55" s="332"/>
    </row>
    <row r="56" spans="1:10">
      <c r="A56" s="305" t="s">
        <v>41</v>
      </c>
      <c r="B56" s="306">
        <f>B23+B32+B49</f>
        <v>14403267159</v>
      </c>
      <c r="C56" s="318"/>
      <c r="D56" s="317"/>
      <c r="E56" s="306">
        <f>+ROUND(E23+E32+E50+E54,0)</f>
        <v>23408927</v>
      </c>
      <c r="F56" s="306">
        <f t="shared" ref="F56:G56" si="28">+ROUND(F23+F32+F50+F54,0)</f>
        <v>4447695</v>
      </c>
      <c r="G56" s="306">
        <f t="shared" si="28"/>
        <v>27856622</v>
      </c>
      <c r="H56" s="263"/>
      <c r="I56" s="263"/>
      <c r="J56" s="263"/>
    </row>
    <row r="57" spans="1:10">
      <c r="A57" s="331"/>
      <c r="B57" s="334"/>
      <c r="C57" s="334"/>
      <c r="D57" s="334"/>
      <c r="E57" s="334"/>
      <c r="F57" s="334"/>
      <c r="G57" s="332"/>
      <c r="H57" s="263"/>
      <c r="I57" s="263"/>
      <c r="J57" s="263"/>
    </row>
    <row r="58" spans="1:10">
      <c r="A58" s="302" t="s">
        <v>42</v>
      </c>
      <c r="B58" s="303"/>
      <c r="C58" s="303"/>
      <c r="D58" s="303"/>
      <c r="E58" s="303"/>
      <c r="F58" s="303"/>
      <c r="G58" s="304"/>
    </row>
    <row r="59" spans="1:10">
      <c r="A59" s="245" t="s">
        <v>43</v>
      </c>
      <c r="B59" s="244">
        <v>1035698741</v>
      </c>
      <c r="C59" s="311">
        <v>4</v>
      </c>
      <c r="D59" s="322" t="s">
        <v>10</v>
      </c>
      <c r="E59" s="244">
        <f t="shared" ref="E59" si="29">ROUND((B59*C59/1000)/365*$B$102,0)</f>
        <v>3041833</v>
      </c>
      <c r="F59" s="244">
        <f t="shared" ref="F59" si="30">+ROUND(E59*19%,0)</f>
        <v>577948</v>
      </c>
      <c r="G59" s="244">
        <f t="shared" ref="G59" si="31">ROUND(E59+F59,0)</f>
        <v>3619781</v>
      </c>
    </row>
    <row r="60" spans="1:10">
      <c r="A60" s="305" t="s">
        <v>44</v>
      </c>
      <c r="B60" s="306">
        <f>B59</f>
        <v>1035698741</v>
      </c>
      <c r="C60" s="318"/>
      <c r="D60" s="317"/>
      <c r="E60" s="306">
        <f>SUM(E59)</f>
        <v>3041833</v>
      </c>
      <c r="F60" s="306">
        <f t="shared" ref="F60:G60" si="32">SUM(F59)</f>
        <v>577948</v>
      </c>
      <c r="G60" s="306">
        <f t="shared" si="32"/>
        <v>3619781</v>
      </c>
      <c r="H60" s="263"/>
      <c r="I60" s="263"/>
      <c r="J60" s="263"/>
    </row>
    <row r="61" spans="1:10">
      <c r="A61" s="331"/>
      <c r="B61" s="334"/>
      <c r="C61" s="334"/>
      <c r="D61" s="334"/>
      <c r="E61" s="334"/>
      <c r="F61" s="334"/>
      <c r="G61" s="332"/>
    </row>
    <row r="62" spans="1:10">
      <c r="A62" s="302" t="s">
        <v>45</v>
      </c>
      <c r="B62" s="303"/>
      <c r="C62" s="303"/>
      <c r="D62" s="303"/>
      <c r="E62" s="303"/>
      <c r="F62" s="303"/>
      <c r="G62" s="304"/>
    </row>
    <row r="63" spans="1:10">
      <c r="A63" s="245" t="s">
        <v>43</v>
      </c>
      <c r="B63" s="244">
        <v>100000000</v>
      </c>
      <c r="C63" s="311">
        <v>5.98</v>
      </c>
      <c r="D63" s="322" t="s">
        <v>33</v>
      </c>
      <c r="E63" s="244">
        <f>ROUND((B63*C63/100)/365*$B$102,0)</f>
        <v>4390795</v>
      </c>
      <c r="F63" s="244">
        <f t="shared" ref="F63" si="33">+ROUND(E63*19%,0)</f>
        <v>834251</v>
      </c>
      <c r="G63" s="244">
        <f t="shared" ref="G63" si="34">ROUND(E63+F63,0)</f>
        <v>5225046</v>
      </c>
    </row>
    <row r="64" spans="1:10">
      <c r="A64" s="305" t="s">
        <v>46</v>
      </c>
      <c r="B64" s="306">
        <f>B63</f>
        <v>100000000</v>
      </c>
      <c r="C64" s="318"/>
      <c r="D64" s="317"/>
      <c r="E64" s="306">
        <f>SUM(E63)</f>
        <v>4390795</v>
      </c>
      <c r="F64" s="306">
        <f t="shared" ref="F64:G64" si="35">SUM(F63)</f>
        <v>834251</v>
      </c>
      <c r="G64" s="306">
        <f t="shared" si="35"/>
        <v>5225046</v>
      </c>
      <c r="H64" s="263"/>
      <c r="I64" s="263"/>
      <c r="J64" s="263"/>
    </row>
    <row r="65" spans="1:10">
      <c r="A65" s="331"/>
      <c r="B65" s="334"/>
      <c r="C65" s="334"/>
      <c r="D65" s="334"/>
      <c r="E65" s="334"/>
      <c r="F65" s="334"/>
      <c r="G65" s="332"/>
      <c r="H65" s="263"/>
      <c r="I65" s="263"/>
      <c r="J65" s="263"/>
    </row>
    <row r="66" spans="1:10">
      <c r="A66" s="302" t="s">
        <v>47</v>
      </c>
      <c r="B66" s="303"/>
      <c r="C66" s="303"/>
      <c r="D66" s="303"/>
      <c r="E66" s="303"/>
      <c r="F66" s="303"/>
      <c r="G66" s="304"/>
    </row>
    <row r="67" spans="1:10">
      <c r="A67" s="245" t="s">
        <v>43</v>
      </c>
      <c r="B67" s="244">
        <v>100000000</v>
      </c>
      <c r="C67" s="311">
        <v>0.2</v>
      </c>
      <c r="D67" s="322" t="s">
        <v>10</v>
      </c>
      <c r="E67" s="244">
        <f>ROUND((B67*C67/100)/365*$B$102,0)</f>
        <v>146849</v>
      </c>
      <c r="F67" s="244">
        <f t="shared" ref="F67" si="36">+ROUND(E67*19%,0)</f>
        <v>27901</v>
      </c>
      <c r="G67" s="244">
        <f t="shared" ref="G67" si="37">ROUND(E67+F67,0)</f>
        <v>174750</v>
      </c>
    </row>
    <row r="68" spans="1:10" ht="25.5">
      <c r="A68" s="305" t="s">
        <v>48</v>
      </c>
      <c r="B68" s="306">
        <f>B67</f>
        <v>100000000</v>
      </c>
      <c r="C68" s="318"/>
      <c r="D68" s="317"/>
      <c r="E68" s="306">
        <f>SUM(E67)</f>
        <v>146849</v>
      </c>
      <c r="F68" s="306">
        <f t="shared" ref="F68:G68" si="38">SUM(F67)</f>
        <v>27901</v>
      </c>
      <c r="G68" s="306">
        <f t="shared" si="38"/>
        <v>174750</v>
      </c>
      <c r="H68" s="263"/>
      <c r="I68" s="263"/>
      <c r="J68" s="263"/>
    </row>
    <row r="69" spans="1:10">
      <c r="A69" s="331"/>
      <c r="B69" s="334"/>
      <c r="C69" s="334"/>
      <c r="D69" s="334"/>
      <c r="E69" s="334"/>
      <c r="F69" s="334"/>
      <c r="G69" s="332"/>
      <c r="H69" s="263"/>
      <c r="I69" s="263"/>
      <c r="J69" s="263"/>
    </row>
    <row r="70" spans="1:10">
      <c r="A70" s="302" t="s">
        <v>49</v>
      </c>
      <c r="B70" s="303"/>
      <c r="C70" s="303"/>
      <c r="D70" s="303"/>
      <c r="E70" s="303"/>
      <c r="F70" s="303"/>
      <c r="G70" s="304"/>
    </row>
    <row r="71" spans="1:10">
      <c r="A71" s="245" t="s">
        <v>50</v>
      </c>
      <c r="B71" s="246">
        <v>1001360000</v>
      </c>
      <c r="C71" s="311">
        <v>3.3</v>
      </c>
      <c r="D71" s="322" t="s">
        <v>10</v>
      </c>
      <c r="E71" s="244">
        <f>ROUND((B71*C71/100)/365*$B$102,0)</f>
        <v>24263090</v>
      </c>
      <c r="F71" s="244">
        <f t="shared" ref="F71" si="39">+ROUND(E71*19%,0)</f>
        <v>4609987</v>
      </c>
      <c r="G71" s="244">
        <f t="shared" ref="G71" si="40">ROUND(E71+F71,0)</f>
        <v>28873077</v>
      </c>
    </row>
    <row r="72" spans="1:10">
      <c r="A72" s="305" t="s">
        <v>51</v>
      </c>
      <c r="B72" s="306">
        <f>SUM(B71:B71)</f>
        <v>1001360000</v>
      </c>
      <c r="C72" s="318"/>
      <c r="D72" s="317"/>
      <c r="E72" s="306">
        <f>SUM(E71)</f>
        <v>24263090</v>
      </c>
      <c r="F72" s="306">
        <f t="shared" ref="F72:G72" si="41">SUM(F71)</f>
        <v>4609987</v>
      </c>
      <c r="G72" s="306">
        <f t="shared" si="41"/>
        <v>28873077</v>
      </c>
      <c r="H72" s="263"/>
      <c r="I72" s="263"/>
      <c r="J72" s="263"/>
    </row>
    <row r="73" spans="1:10">
      <c r="A73" s="331"/>
      <c r="B73" s="334"/>
      <c r="C73" s="334"/>
      <c r="D73" s="334"/>
      <c r="E73" s="334"/>
      <c r="F73" s="334"/>
      <c r="G73" s="332"/>
      <c r="H73" s="263"/>
      <c r="I73" s="263"/>
      <c r="J73" s="263"/>
    </row>
    <row r="74" spans="1:10">
      <c r="A74" s="302" t="s">
        <v>52</v>
      </c>
      <c r="B74" s="303"/>
      <c r="C74" s="303"/>
      <c r="D74" s="303"/>
      <c r="E74" s="303"/>
      <c r="F74" s="303"/>
      <c r="G74" s="304"/>
    </row>
    <row r="75" spans="1:10">
      <c r="A75" s="245" t="s">
        <v>53</v>
      </c>
      <c r="B75" s="244">
        <v>200000000</v>
      </c>
      <c r="C75" s="311">
        <v>3.06</v>
      </c>
      <c r="D75" s="322" t="s">
        <v>10</v>
      </c>
      <c r="E75" s="244">
        <f>ROUND((B75*C75/100)/365*$B$102,0)</f>
        <v>4493589</v>
      </c>
      <c r="F75" s="244">
        <f t="shared" ref="F75" si="42">+ROUND(E75*19%,0)</f>
        <v>853782</v>
      </c>
      <c r="G75" s="244">
        <f t="shared" ref="G75" si="43">ROUND(E75+F75,0)</f>
        <v>5347371</v>
      </c>
    </row>
    <row r="76" spans="1:10" ht="25.5">
      <c r="A76" s="305" t="s">
        <v>54</v>
      </c>
      <c r="B76" s="306">
        <f>B75</f>
        <v>200000000</v>
      </c>
      <c r="C76" s="318"/>
      <c r="D76" s="317"/>
      <c r="E76" s="306">
        <f>SUM(E75)</f>
        <v>4493589</v>
      </c>
      <c r="F76" s="306">
        <f t="shared" ref="F76:G76" si="44">SUM(F75)</f>
        <v>853782</v>
      </c>
      <c r="G76" s="306">
        <f t="shared" si="44"/>
        <v>5347371</v>
      </c>
      <c r="H76" s="263"/>
      <c r="I76" s="263"/>
      <c r="J76" s="263"/>
    </row>
    <row r="77" spans="1:10">
      <c r="A77" s="331"/>
      <c r="B77" s="334"/>
      <c r="C77" s="334"/>
      <c r="D77" s="334"/>
      <c r="E77" s="334"/>
      <c r="F77" s="334"/>
      <c r="G77" s="332"/>
      <c r="H77" s="263"/>
      <c r="I77" s="263"/>
      <c r="J77" s="263"/>
    </row>
    <row r="78" spans="1:10">
      <c r="A78" s="302" t="s">
        <v>55</v>
      </c>
      <c r="B78" s="303"/>
      <c r="C78" s="303"/>
      <c r="D78" s="303"/>
      <c r="E78" s="303"/>
      <c r="F78" s="303"/>
      <c r="G78" s="304"/>
    </row>
    <row r="79" spans="1:10">
      <c r="A79" s="245" t="s">
        <v>43</v>
      </c>
      <c r="B79" s="246" t="s">
        <v>56</v>
      </c>
      <c r="C79" s="311"/>
      <c r="D79" s="322"/>
      <c r="E79" s="244">
        <f>2660000/365*$B$102</f>
        <v>1953095.890410959</v>
      </c>
      <c r="F79" s="244"/>
      <c r="G79" s="244">
        <f>+E79</f>
        <v>1953095.890410959</v>
      </c>
    </row>
    <row r="80" spans="1:10">
      <c r="A80" s="247" t="s">
        <v>57</v>
      </c>
      <c r="B80" s="259"/>
      <c r="C80" s="311"/>
      <c r="D80" s="322"/>
      <c r="E80" s="244"/>
      <c r="F80" s="244"/>
      <c r="G80" s="244"/>
      <c r="I80" s="263"/>
    </row>
    <row r="81" spans="1:10">
      <c r="A81" s="305" t="s">
        <v>58</v>
      </c>
      <c r="B81" s="306"/>
      <c r="C81" s="318"/>
      <c r="D81" s="317"/>
      <c r="E81" s="306">
        <f>SUM(E79:E80)</f>
        <v>1953095.890410959</v>
      </c>
      <c r="F81" s="306">
        <f t="shared" ref="F81:G81" si="45">SUM(F79:F80)</f>
        <v>0</v>
      </c>
      <c r="G81" s="306">
        <f t="shared" si="45"/>
        <v>1953095.890410959</v>
      </c>
      <c r="H81" s="263"/>
      <c r="I81" s="263"/>
      <c r="J81" s="263"/>
    </row>
    <row r="82" spans="1:10" ht="81" customHeight="1">
      <c r="A82" s="247" t="s">
        <v>59</v>
      </c>
      <c r="B82" s="333">
        <v>3000000</v>
      </c>
      <c r="C82" s="321"/>
      <c r="D82" s="320"/>
      <c r="E82" s="255">
        <f>3000000/1.19</f>
        <v>2521008.4033613447</v>
      </c>
      <c r="F82" s="255">
        <f t="shared" ref="F82" si="46">+ROUND(E82*19%,0)</f>
        <v>478992</v>
      </c>
      <c r="G82" s="255">
        <f t="shared" ref="G82" si="47">ROUND(E82+F82,0)</f>
        <v>3000000</v>
      </c>
    </row>
    <row r="83" spans="1:10">
      <c r="A83" s="331"/>
      <c r="B83" s="334"/>
      <c r="C83" s="334"/>
      <c r="D83" s="334"/>
      <c r="E83" s="334"/>
      <c r="F83" s="334"/>
      <c r="G83" s="332"/>
      <c r="H83" s="263"/>
      <c r="I83" s="263"/>
      <c r="J83" s="263"/>
    </row>
    <row r="84" spans="1:10">
      <c r="A84" s="302" t="s">
        <v>60</v>
      </c>
      <c r="B84" s="303"/>
      <c r="C84" s="303"/>
      <c r="D84" s="303"/>
      <c r="E84" s="303"/>
      <c r="F84" s="303"/>
      <c r="G84" s="304"/>
    </row>
    <row r="85" spans="1:10">
      <c r="A85" s="245" t="s">
        <v>61</v>
      </c>
      <c r="B85" s="264" t="s">
        <v>62</v>
      </c>
      <c r="C85" s="311"/>
      <c r="D85" s="322"/>
      <c r="E85" s="244" t="e">
        <f>+#REF!</f>
        <v>#REF!</v>
      </c>
      <c r="F85" s="244"/>
      <c r="G85" s="244" t="e">
        <f>+E85+F85</f>
        <v>#REF!</v>
      </c>
    </row>
    <row r="86" spans="1:10">
      <c r="A86" s="245" t="s">
        <v>78</v>
      </c>
      <c r="B86" s="264"/>
      <c r="C86" s="311"/>
      <c r="D86" s="322"/>
      <c r="E86" s="244"/>
      <c r="F86" s="244"/>
      <c r="G86" s="244"/>
    </row>
    <row r="87" spans="1:10">
      <c r="A87" s="305" t="s">
        <v>63</v>
      </c>
      <c r="B87" s="306"/>
      <c r="C87" s="318"/>
      <c r="D87" s="317"/>
      <c r="E87" s="306" t="e">
        <f>SUM(E85:E86)</f>
        <v>#REF!</v>
      </c>
      <c r="F87" s="306">
        <f t="shared" ref="F87:G87" si="48">SUM(F85:F86)</f>
        <v>0</v>
      </c>
      <c r="G87" s="306" t="e">
        <f t="shared" si="48"/>
        <v>#REF!</v>
      </c>
      <c r="H87" s="263"/>
      <c r="I87" s="263"/>
      <c r="J87" s="263"/>
    </row>
    <row r="88" spans="1:10">
      <c r="A88" s="331"/>
      <c r="B88" s="334"/>
      <c r="C88" s="334"/>
      <c r="D88" s="334"/>
      <c r="E88" s="334"/>
      <c r="F88" s="334"/>
      <c r="G88" s="332"/>
      <c r="H88" s="263"/>
      <c r="I88" s="263"/>
      <c r="J88" s="263"/>
    </row>
    <row r="89" spans="1:10">
      <c r="A89" s="302" t="s">
        <v>64</v>
      </c>
      <c r="B89" s="303"/>
      <c r="C89" s="303"/>
      <c r="D89" s="303"/>
      <c r="E89" s="303"/>
      <c r="F89" s="303"/>
      <c r="G89" s="304"/>
    </row>
    <row r="90" spans="1:10">
      <c r="A90" s="245" t="s">
        <v>65</v>
      </c>
      <c r="B90" s="246">
        <v>85232800</v>
      </c>
      <c r="C90" s="311"/>
      <c r="D90" s="322"/>
      <c r="E90" s="569">
        <f>3665000/365*$B$102</f>
        <v>2691013.6986301369</v>
      </c>
      <c r="F90" s="569"/>
      <c r="G90" s="569">
        <f>+E90+F90</f>
        <v>2691013.6986301369</v>
      </c>
      <c r="H90" s="263"/>
      <c r="I90" s="263"/>
    </row>
    <row r="91" spans="1:10">
      <c r="A91" s="245" t="s">
        <v>66</v>
      </c>
      <c r="B91" s="246">
        <f>B90</f>
        <v>85232800</v>
      </c>
      <c r="C91" s="311"/>
      <c r="D91" s="322"/>
      <c r="E91" s="570"/>
      <c r="F91" s="570"/>
      <c r="G91" s="570"/>
      <c r="H91" s="263"/>
      <c r="I91" s="263"/>
    </row>
    <row r="92" spans="1:10">
      <c r="A92" s="245" t="s">
        <v>67</v>
      </c>
      <c r="B92" s="246">
        <f>B91*9</f>
        <v>767095200</v>
      </c>
      <c r="C92" s="311"/>
      <c r="D92" s="322"/>
      <c r="E92" s="570"/>
      <c r="F92" s="570"/>
      <c r="G92" s="570"/>
      <c r="H92" s="263"/>
      <c r="I92" s="263"/>
    </row>
    <row r="93" spans="1:10" ht="15.75" customHeight="1">
      <c r="A93" s="245" t="s">
        <v>68</v>
      </c>
      <c r="B93" s="246">
        <f>SUM(B90:B92)</f>
        <v>937560800</v>
      </c>
      <c r="C93" s="315"/>
      <c r="D93" s="322"/>
      <c r="E93" s="571"/>
      <c r="F93" s="571"/>
      <c r="G93" s="571"/>
      <c r="H93" s="263"/>
      <c r="I93" s="263"/>
    </row>
    <row r="94" spans="1:10">
      <c r="A94" s="305" t="s">
        <v>69</v>
      </c>
      <c r="B94" s="306">
        <f>B93</f>
        <v>937560800</v>
      </c>
      <c r="C94" s="318"/>
      <c r="D94" s="317"/>
      <c r="E94" s="306"/>
      <c r="F94" s="306"/>
      <c r="G94" s="306"/>
      <c r="H94" s="263"/>
      <c r="I94" s="263"/>
      <c r="J94" s="263"/>
    </row>
    <row r="95" spans="1:10">
      <c r="A95" s="331"/>
      <c r="B95" s="334"/>
      <c r="C95" s="334"/>
      <c r="D95" s="334"/>
      <c r="E95" s="334"/>
      <c r="F95" s="334"/>
      <c r="G95" s="332"/>
      <c r="H95" s="263"/>
      <c r="I95" s="263"/>
      <c r="J95" s="263"/>
    </row>
    <row r="96" spans="1:10">
      <c r="A96" s="562" t="s">
        <v>6</v>
      </c>
      <c r="B96" s="562"/>
      <c r="C96" s="319"/>
      <c r="D96" s="316"/>
      <c r="E96" s="307" t="e">
        <f>+E56+E60+E63+E67+E71+E75+E79+E82+E85+E86+E90+E91+E92+E93</f>
        <v>#REF!</v>
      </c>
      <c r="F96" s="307">
        <f t="shared" ref="F96:G96" si="49">+F56+F60+F63+F67+F71+F75+F79+F82+F85+F86+F90+F91+F92+F93</f>
        <v>11830556</v>
      </c>
      <c r="G96" s="307" t="e">
        <f t="shared" si="49"/>
        <v>#REF!</v>
      </c>
      <c r="H96" s="266"/>
      <c r="I96" s="263"/>
    </row>
    <row r="97" spans="1:10">
      <c r="A97" s="331"/>
      <c r="B97" s="334"/>
      <c r="C97" s="334"/>
      <c r="D97" s="334"/>
      <c r="E97" s="334"/>
      <c r="F97" s="334"/>
      <c r="G97" s="332"/>
      <c r="H97" s="263"/>
      <c r="I97" s="263"/>
      <c r="J97" s="263"/>
    </row>
    <row r="98" spans="1:10" ht="15">
      <c r="A98" s="248"/>
      <c r="B98" s="248"/>
      <c r="C98" s="249"/>
      <c r="D98" s="250"/>
      <c r="E98" s="251"/>
      <c r="F98" s="251"/>
      <c r="G98" s="251"/>
      <c r="H98" s="265"/>
    </row>
    <row r="99" spans="1:10">
      <c r="A99" s="305" t="s">
        <v>79</v>
      </c>
      <c r="B99" s="305"/>
      <c r="C99" s="239"/>
      <c r="D99" s="239"/>
      <c r="E99" s="239"/>
      <c r="F99" s="239"/>
      <c r="G99" s="260"/>
    </row>
    <row r="100" spans="1:10">
      <c r="A100" s="252" t="s">
        <v>70</v>
      </c>
      <c r="B100" s="253">
        <v>44256</v>
      </c>
      <c r="C100" s="240"/>
      <c r="D100" s="235"/>
      <c r="E100" s="241"/>
      <c r="F100" s="242"/>
      <c r="G100" s="238"/>
    </row>
    <row r="101" spans="1:10" s="198" customFormat="1">
      <c r="A101" s="252" t="s">
        <v>71</v>
      </c>
      <c r="B101" s="253">
        <v>44524</v>
      </c>
      <c r="C101" s="240"/>
      <c r="D101" s="235"/>
      <c r="E101" s="241"/>
      <c r="F101" s="242"/>
      <c r="G101" s="238"/>
      <c r="H101" s="297">
        <v>97638272</v>
      </c>
      <c r="I101" s="308">
        <f>+H101*95%</f>
        <v>92756358.399999991</v>
      </c>
    </row>
    <row r="102" spans="1:10" s="198" customFormat="1">
      <c r="A102" s="252" t="s">
        <v>72</v>
      </c>
      <c r="B102" s="254">
        <f>B101-B100</f>
        <v>268</v>
      </c>
      <c r="C102" s="240"/>
      <c r="D102" s="235"/>
      <c r="E102" s="241"/>
      <c r="F102" s="243"/>
      <c r="G102" s="238"/>
      <c r="I102" s="312"/>
    </row>
    <row r="103" spans="1:10" s="198" customFormat="1">
      <c r="A103" s="256"/>
      <c r="B103" s="257"/>
      <c r="C103" s="240"/>
      <c r="D103" s="235"/>
      <c r="E103" s="241"/>
      <c r="F103" s="243"/>
      <c r="G103" s="238"/>
    </row>
    <row r="104" spans="1:10" s="198" customFormat="1">
      <c r="A104" s="563" t="s">
        <v>80</v>
      </c>
      <c r="B104" s="563"/>
      <c r="C104" s="563"/>
      <c r="D104" s="563"/>
      <c r="E104" s="563"/>
      <c r="F104" s="563"/>
      <c r="G104" s="563"/>
      <c r="I104" s="312"/>
    </row>
    <row r="105" spans="1:10">
      <c r="A105" s="563"/>
      <c r="B105" s="563"/>
      <c r="C105" s="563"/>
      <c r="D105" s="563"/>
      <c r="E105" s="563"/>
      <c r="F105" s="563"/>
      <c r="G105" s="563"/>
      <c r="I105" s="297"/>
    </row>
    <row r="106" spans="1:10">
      <c r="A106" s="563"/>
      <c r="B106" s="563"/>
      <c r="C106" s="563"/>
      <c r="D106" s="563"/>
      <c r="E106" s="563"/>
      <c r="F106" s="563"/>
      <c r="G106" s="563"/>
      <c r="I106" s="297"/>
    </row>
    <row r="107" spans="1:10">
      <c r="A107" s="563"/>
      <c r="B107" s="563"/>
      <c r="C107" s="563"/>
      <c r="D107" s="563"/>
      <c r="E107" s="563"/>
      <c r="F107" s="563"/>
      <c r="G107" s="563"/>
      <c r="I107" s="297"/>
    </row>
    <row r="108" spans="1:10">
      <c r="A108" s="563"/>
      <c r="B108" s="563"/>
      <c r="C108" s="563"/>
      <c r="D108" s="563"/>
      <c r="E108" s="563"/>
      <c r="F108" s="563"/>
      <c r="G108" s="563"/>
      <c r="I108" s="297"/>
    </row>
    <row r="109" spans="1:10">
      <c r="A109" s="563"/>
      <c r="B109" s="563"/>
      <c r="C109" s="563"/>
      <c r="D109" s="563"/>
      <c r="E109" s="563"/>
      <c r="F109" s="563"/>
      <c r="G109" s="563"/>
      <c r="H109" s="297"/>
    </row>
    <row r="110" spans="1:10">
      <c r="A110" s="563"/>
      <c r="B110" s="563"/>
      <c r="C110" s="563"/>
      <c r="D110" s="563"/>
      <c r="E110" s="563"/>
      <c r="F110" s="563"/>
      <c r="G110" s="563"/>
    </row>
    <row r="111" spans="1:10">
      <c r="A111" s="563"/>
      <c r="B111" s="563"/>
      <c r="C111" s="563"/>
      <c r="D111" s="563"/>
      <c r="E111" s="563"/>
      <c r="F111" s="563"/>
      <c r="G111" s="563"/>
      <c r="H111" s="297"/>
    </row>
    <row r="112" spans="1:10">
      <c r="H112" s="297"/>
      <c r="I112" s="309"/>
    </row>
    <row r="113" spans="8:8">
      <c r="H113" s="297"/>
    </row>
    <row r="114" spans="8:8">
      <c r="H114" s="297"/>
    </row>
  </sheetData>
  <mergeCells count="9">
    <mergeCell ref="A104:G111"/>
    <mergeCell ref="A2:G2"/>
    <mergeCell ref="A3:G3"/>
    <mergeCell ref="C6:D6"/>
    <mergeCell ref="A96:B96"/>
    <mergeCell ref="E90:E93"/>
    <mergeCell ref="G90:G93"/>
    <mergeCell ref="F90:F93"/>
    <mergeCell ref="A4:G4"/>
  </mergeCells>
  <printOptions horizontalCentered="1" verticalCentered="1"/>
  <pageMargins left="0.70866141732283472" right="0.70866141732283472" top="0.39370078740157483" bottom="0.74803149606299213" header="0.31496062992125984" footer="0.31496062992125984"/>
  <pageSetup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3"/>
  <sheetViews>
    <sheetView topLeftCell="A2" zoomScaleNormal="100" workbookViewId="0">
      <selection activeCell="A44" sqref="A44"/>
    </sheetView>
  </sheetViews>
  <sheetFormatPr baseColWidth="10" defaultColWidth="11.42578125" defaultRowHeight="12.75"/>
  <cols>
    <col min="1" max="1" width="40.140625" customWidth="1"/>
    <col min="2" max="2" width="39.28515625" customWidth="1"/>
  </cols>
  <sheetData>
    <row r="1" spans="1:7">
      <c r="A1" s="574" t="s">
        <v>0</v>
      </c>
      <c r="B1" s="574"/>
      <c r="C1" s="324"/>
      <c r="D1" s="324"/>
      <c r="E1" s="324"/>
      <c r="F1" s="324"/>
      <c r="G1" s="324"/>
    </row>
    <row r="2" spans="1:7">
      <c r="A2" s="574"/>
      <c r="B2" s="574"/>
      <c r="C2" s="324"/>
      <c r="D2" s="324"/>
      <c r="E2" s="324"/>
      <c r="F2" s="324"/>
      <c r="G2" s="324"/>
    </row>
    <row r="3" spans="1:7">
      <c r="A3" s="575" t="s">
        <v>81</v>
      </c>
      <c r="B3" s="575"/>
      <c r="C3" s="323"/>
      <c r="D3" s="323"/>
      <c r="E3" s="323"/>
      <c r="F3" s="323"/>
      <c r="G3" s="323"/>
    </row>
    <row r="4" spans="1:7">
      <c r="A4" s="575"/>
      <c r="B4" s="575"/>
      <c r="C4" s="323"/>
      <c r="D4" s="323"/>
      <c r="E4" s="323"/>
      <c r="F4" s="323"/>
      <c r="G4" s="323"/>
    </row>
    <row r="5" spans="1:7">
      <c r="A5" s="576" t="s">
        <v>76</v>
      </c>
      <c r="B5" s="576"/>
      <c r="C5" s="325"/>
      <c r="D5" s="325"/>
      <c r="E5" s="325"/>
      <c r="F5" s="325"/>
      <c r="G5" s="325"/>
    </row>
    <row r="6" spans="1:7">
      <c r="A6" s="576"/>
      <c r="B6" s="576"/>
      <c r="C6" s="325"/>
      <c r="D6" s="325"/>
      <c r="E6" s="325"/>
      <c r="F6" s="325"/>
      <c r="G6" s="325"/>
    </row>
    <row r="7" spans="1:7">
      <c r="A7" s="572" t="s">
        <v>8</v>
      </c>
      <c r="B7" s="572"/>
      <c r="C7" s="326"/>
      <c r="D7" s="326"/>
      <c r="E7" s="326"/>
      <c r="F7" s="326"/>
      <c r="G7" s="326"/>
    </row>
    <row r="8" spans="1:7">
      <c r="A8" s="327" t="s">
        <v>82</v>
      </c>
      <c r="B8" s="327" t="s">
        <v>83</v>
      </c>
      <c r="C8" s="326"/>
      <c r="D8" s="326"/>
      <c r="E8" s="326"/>
      <c r="F8" s="326"/>
      <c r="G8" s="326"/>
    </row>
    <row r="9" spans="1:7">
      <c r="A9" s="327" t="s">
        <v>84</v>
      </c>
      <c r="B9" s="327" t="s">
        <v>85</v>
      </c>
      <c r="C9" s="326"/>
      <c r="D9" s="326"/>
      <c r="E9" s="326"/>
      <c r="F9" s="326"/>
      <c r="G9" s="326"/>
    </row>
    <row r="10" spans="1:7">
      <c r="A10" s="327" t="s">
        <v>86</v>
      </c>
      <c r="B10" s="327" t="s">
        <v>85</v>
      </c>
      <c r="C10" s="326"/>
      <c r="D10" s="326"/>
      <c r="E10" s="326"/>
      <c r="F10" s="326"/>
      <c r="G10" s="326"/>
    </row>
    <row r="11" spans="1:7">
      <c r="A11" s="572" t="s">
        <v>87</v>
      </c>
      <c r="B11" s="572"/>
      <c r="C11" s="326"/>
      <c r="D11" s="326"/>
      <c r="E11" s="326"/>
      <c r="F11" s="326"/>
      <c r="G11" s="326"/>
    </row>
    <row r="12" spans="1:7">
      <c r="A12" s="327" t="s">
        <v>82</v>
      </c>
      <c r="B12" s="327" t="s">
        <v>85</v>
      </c>
      <c r="C12" s="326"/>
      <c r="D12" s="326"/>
      <c r="E12" s="326"/>
      <c r="F12" s="326"/>
      <c r="G12" s="326"/>
    </row>
    <row r="13" spans="1:7">
      <c r="A13" s="327" t="s">
        <v>84</v>
      </c>
      <c r="B13" s="327" t="s">
        <v>85</v>
      </c>
      <c r="C13" s="326"/>
      <c r="D13" s="326"/>
      <c r="E13" s="326"/>
      <c r="F13" s="326"/>
      <c r="G13" s="326"/>
    </row>
    <row r="14" spans="1:7">
      <c r="A14" s="327" t="s">
        <v>88</v>
      </c>
      <c r="B14" s="327" t="s">
        <v>85</v>
      </c>
      <c r="C14" s="326"/>
      <c r="D14" s="326"/>
      <c r="E14" s="326"/>
      <c r="F14" s="326"/>
      <c r="G14" s="326"/>
    </row>
    <row r="15" spans="1:7">
      <c r="A15" s="327" t="s">
        <v>89</v>
      </c>
      <c r="B15" s="327" t="s">
        <v>85</v>
      </c>
      <c r="C15" s="326"/>
      <c r="D15" s="326"/>
      <c r="E15" s="326"/>
      <c r="F15" s="326"/>
      <c r="G15" s="326"/>
    </row>
    <row r="16" spans="1:7">
      <c r="A16" s="572" t="s">
        <v>90</v>
      </c>
      <c r="B16" s="572"/>
      <c r="C16" s="326"/>
      <c r="D16" s="326"/>
      <c r="E16" s="326"/>
      <c r="F16" s="326"/>
      <c r="G16" s="326"/>
    </row>
    <row r="17" spans="1:2">
      <c r="A17" s="327" t="s">
        <v>91</v>
      </c>
      <c r="B17" s="327" t="s">
        <v>85</v>
      </c>
    </row>
    <row r="18" spans="1:2">
      <c r="A18" s="572" t="s">
        <v>39</v>
      </c>
      <c r="B18" s="572"/>
    </row>
    <row r="19" spans="1:2">
      <c r="A19" s="327" t="s">
        <v>91</v>
      </c>
      <c r="B19" s="327" t="s">
        <v>85</v>
      </c>
    </row>
    <row r="20" spans="1:2">
      <c r="A20" s="572" t="s">
        <v>42</v>
      </c>
      <c r="B20" s="572"/>
    </row>
    <row r="21" spans="1:2">
      <c r="A21" s="327" t="s">
        <v>84</v>
      </c>
      <c r="B21" s="327" t="s">
        <v>85</v>
      </c>
    </row>
    <row r="22" spans="1:2">
      <c r="A22" s="327" t="s">
        <v>82</v>
      </c>
      <c r="B22" s="327" t="s">
        <v>85</v>
      </c>
    </row>
    <row r="23" spans="1:2">
      <c r="A23" s="327" t="s">
        <v>92</v>
      </c>
      <c r="B23" s="327" t="s">
        <v>85</v>
      </c>
    </row>
    <row r="24" spans="1:2">
      <c r="A24" s="327" t="s">
        <v>88</v>
      </c>
      <c r="B24" s="327" t="s">
        <v>85</v>
      </c>
    </row>
    <row r="25" spans="1:2">
      <c r="A25" s="327" t="s">
        <v>89</v>
      </c>
      <c r="B25" s="327" t="s">
        <v>85</v>
      </c>
    </row>
    <row r="26" spans="1:2">
      <c r="A26" s="572" t="s">
        <v>93</v>
      </c>
      <c r="B26" s="572"/>
    </row>
    <row r="27" spans="1:2">
      <c r="A27" s="327" t="s">
        <v>94</v>
      </c>
      <c r="B27" s="327" t="s">
        <v>85</v>
      </c>
    </row>
    <row r="28" spans="1:2">
      <c r="A28" s="327" t="s">
        <v>95</v>
      </c>
      <c r="B28" s="327" t="s">
        <v>85</v>
      </c>
    </row>
    <row r="29" spans="1:2">
      <c r="A29" s="327" t="s">
        <v>96</v>
      </c>
      <c r="B29" s="327" t="s">
        <v>85</v>
      </c>
    </row>
    <row r="30" spans="1:2">
      <c r="A30" s="572" t="s">
        <v>47</v>
      </c>
      <c r="B30" s="572"/>
    </row>
    <row r="31" spans="1:2">
      <c r="A31" s="327" t="s">
        <v>97</v>
      </c>
      <c r="B31" s="327" t="s">
        <v>85</v>
      </c>
    </row>
    <row r="32" spans="1:2">
      <c r="A32" s="327" t="s">
        <v>98</v>
      </c>
      <c r="B32" s="327" t="s">
        <v>85</v>
      </c>
    </row>
    <row r="33" spans="1:2">
      <c r="A33" s="327" t="s">
        <v>99</v>
      </c>
      <c r="B33" s="327" t="s">
        <v>85</v>
      </c>
    </row>
    <row r="34" spans="1:2">
      <c r="A34" s="327" t="s">
        <v>95</v>
      </c>
      <c r="B34" s="327" t="s">
        <v>85</v>
      </c>
    </row>
    <row r="35" spans="1:2">
      <c r="A35" s="572" t="s">
        <v>100</v>
      </c>
      <c r="B35" s="572"/>
    </row>
    <row r="36" spans="1:2">
      <c r="A36" s="328" t="s">
        <v>101</v>
      </c>
      <c r="B36" s="328" t="s">
        <v>102</v>
      </c>
    </row>
    <row r="37" spans="1:2">
      <c r="A37" s="572" t="s">
        <v>103</v>
      </c>
      <c r="B37" s="572"/>
    </row>
    <row r="38" spans="1:2">
      <c r="A38" s="328" t="s">
        <v>104</v>
      </c>
      <c r="B38" s="328" t="s">
        <v>102</v>
      </c>
    </row>
    <row r="39" spans="1:2">
      <c r="A39" s="573" t="s">
        <v>105</v>
      </c>
      <c r="B39" s="573"/>
    </row>
    <row r="40" spans="1:2">
      <c r="A40" s="328" t="s">
        <v>104</v>
      </c>
      <c r="B40" s="328" t="s">
        <v>102</v>
      </c>
    </row>
    <row r="41" spans="1:2">
      <c r="A41" s="573" t="s">
        <v>106</v>
      </c>
      <c r="B41" s="573"/>
    </row>
    <row r="42" spans="1:2">
      <c r="A42" s="328" t="s">
        <v>104</v>
      </c>
      <c r="B42" s="328" t="s">
        <v>102</v>
      </c>
    </row>
    <row r="43" spans="1:2">
      <c r="A43" s="323" t="s">
        <v>107</v>
      </c>
      <c r="B43" s="326"/>
    </row>
  </sheetData>
  <mergeCells count="14">
    <mergeCell ref="A37:B37"/>
    <mergeCell ref="A39:B39"/>
    <mergeCell ref="A41:B41"/>
    <mergeCell ref="A35:B35"/>
    <mergeCell ref="A1:B2"/>
    <mergeCell ref="A3:B4"/>
    <mergeCell ref="A5:B6"/>
    <mergeCell ref="A7:B7"/>
    <mergeCell ref="A11:B11"/>
    <mergeCell ref="A16:B16"/>
    <mergeCell ref="A18:B18"/>
    <mergeCell ref="A20:B20"/>
    <mergeCell ref="A26:B26"/>
    <mergeCell ref="A30:B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61"/>
  <sheetViews>
    <sheetView tabSelected="1" zoomScale="110" zoomScaleNormal="110" workbookViewId="0">
      <selection activeCell="B3" sqref="B3:C3"/>
    </sheetView>
  </sheetViews>
  <sheetFormatPr baseColWidth="10" defaultColWidth="8.5703125" defaultRowHeight="12"/>
  <cols>
    <col min="1" max="1" width="1.7109375" style="349" customWidth="1"/>
    <col min="2" max="2" width="57.85546875" style="347" customWidth="1"/>
    <col min="3" max="3" width="24" style="348" customWidth="1"/>
    <col min="4" max="4" width="14.7109375" style="540" bestFit="1" customWidth="1"/>
    <col min="5" max="5" width="8.5703125" style="348"/>
    <col min="6" max="6" width="21.7109375" style="348" customWidth="1"/>
    <col min="7" max="7" width="13.140625" style="348" customWidth="1"/>
    <col min="8" max="9" width="8.5703125" style="348"/>
    <col min="10" max="248" width="8.5703125" style="349"/>
    <col min="249" max="249" width="1.7109375" style="349" customWidth="1"/>
    <col min="250" max="250" width="43.5703125" style="349" customWidth="1"/>
    <col min="251" max="251" width="12.7109375" style="349" customWidth="1"/>
    <col min="252" max="252" width="13.140625" style="349" customWidth="1"/>
    <col min="253" max="253" width="13.85546875" style="349" customWidth="1"/>
    <col min="254" max="254" width="11.85546875" style="349" customWidth="1"/>
    <col min="255" max="255" width="9.7109375" style="349" customWidth="1"/>
    <col min="256" max="256" width="14" style="349" customWidth="1"/>
    <col min="257" max="257" width="3" style="349" customWidth="1"/>
    <col min="258" max="258" width="21.140625" style="349" customWidth="1"/>
    <col min="259" max="504" width="8.5703125" style="349"/>
    <col min="505" max="505" width="1.7109375" style="349" customWidth="1"/>
    <col min="506" max="506" width="43.5703125" style="349" customWidth="1"/>
    <col min="507" max="507" width="12.7109375" style="349" customWidth="1"/>
    <col min="508" max="508" width="13.140625" style="349" customWidth="1"/>
    <col min="509" max="509" width="13.85546875" style="349" customWidth="1"/>
    <col min="510" max="510" width="11.85546875" style="349" customWidth="1"/>
    <col min="511" max="511" width="9.7109375" style="349" customWidth="1"/>
    <col min="512" max="512" width="14" style="349" customWidth="1"/>
    <col min="513" max="513" width="3" style="349" customWidth="1"/>
    <col min="514" max="514" width="21.140625" style="349" customWidth="1"/>
    <col min="515" max="760" width="8.5703125" style="349"/>
    <col min="761" max="761" width="1.7109375" style="349" customWidth="1"/>
    <col min="762" max="762" width="43.5703125" style="349" customWidth="1"/>
    <col min="763" max="763" width="12.7109375" style="349" customWidth="1"/>
    <col min="764" max="764" width="13.140625" style="349" customWidth="1"/>
    <col min="765" max="765" width="13.85546875" style="349" customWidth="1"/>
    <col min="766" max="766" width="11.85546875" style="349" customWidth="1"/>
    <col min="767" max="767" width="9.7109375" style="349" customWidth="1"/>
    <col min="768" max="768" width="14" style="349" customWidth="1"/>
    <col min="769" max="769" width="3" style="349" customWidth="1"/>
    <col min="770" max="770" width="21.140625" style="349" customWidth="1"/>
    <col min="771" max="1016" width="8.5703125" style="349"/>
    <col min="1017" max="1017" width="1.7109375" style="349" customWidth="1"/>
    <col min="1018" max="1018" width="43.5703125" style="349" customWidth="1"/>
    <col min="1019" max="1019" width="12.7109375" style="349" customWidth="1"/>
    <col min="1020" max="1020" width="13.140625" style="349" customWidth="1"/>
    <col min="1021" max="1021" width="13.85546875" style="349" customWidth="1"/>
    <col min="1022" max="1022" width="11.85546875" style="349" customWidth="1"/>
    <col min="1023" max="1023" width="9.7109375" style="349" customWidth="1"/>
    <col min="1024" max="1024" width="14" style="349" customWidth="1"/>
    <col min="1025" max="1025" width="3" style="349" customWidth="1"/>
    <col min="1026" max="1026" width="21.140625" style="349" customWidth="1"/>
    <col min="1027" max="1272" width="8.5703125" style="349"/>
    <col min="1273" max="1273" width="1.7109375" style="349" customWidth="1"/>
    <col min="1274" max="1274" width="43.5703125" style="349" customWidth="1"/>
    <col min="1275" max="1275" width="12.7109375" style="349" customWidth="1"/>
    <col min="1276" max="1276" width="13.140625" style="349" customWidth="1"/>
    <col min="1277" max="1277" width="13.85546875" style="349" customWidth="1"/>
    <col min="1278" max="1278" width="11.85546875" style="349" customWidth="1"/>
    <col min="1279" max="1279" width="9.7109375" style="349" customWidth="1"/>
    <col min="1280" max="1280" width="14" style="349" customWidth="1"/>
    <col min="1281" max="1281" width="3" style="349" customWidth="1"/>
    <col min="1282" max="1282" width="21.140625" style="349" customWidth="1"/>
    <col min="1283" max="1528" width="8.5703125" style="349"/>
    <col min="1529" max="1529" width="1.7109375" style="349" customWidth="1"/>
    <col min="1530" max="1530" width="43.5703125" style="349" customWidth="1"/>
    <col min="1531" max="1531" width="12.7109375" style="349" customWidth="1"/>
    <col min="1532" max="1532" width="13.140625" style="349" customWidth="1"/>
    <col min="1533" max="1533" width="13.85546875" style="349" customWidth="1"/>
    <col min="1534" max="1534" width="11.85546875" style="349" customWidth="1"/>
    <col min="1535" max="1535" width="9.7109375" style="349" customWidth="1"/>
    <col min="1536" max="1536" width="14" style="349" customWidth="1"/>
    <col min="1537" max="1537" width="3" style="349" customWidth="1"/>
    <col min="1538" max="1538" width="21.140625" style="349" customWidth="1"/>
    <col min="1539" max="1784" width="8.5703125" style="349"/>
    <col min="1785" max="1785" width="1.7109375" style="349" customWidth="1"/>
    <col min="1786" max="1786" width="43.5703125" style="349" customWidth="1"/>
    <col min="1787" max="1787" width="12.7109375" style="349" customWidth="1"/>
    <col min="1788" max="1788" width="13.140625" style="349" customWidth="1"/>
    <col min="1789" max="1789" width="13.85546875" style="349" customWidth="1"/>
    <col min="1790" max="1790" width="11.85546875" style="349" customWidth="1"/>
    <col min="1791" max="1791" width="9.7109375" style="349" customWidth="1"/>
    <col min="1792" max="1792" width="14" style="349" customWidth="1"/>
    <col min="1793" max="1793" width="3" style="349" customWidth="1"/>
    <col min="1794" max="1794" width="21.140625" style="349" customWidth="1"/>
    <col min="1795" max="2040" width="8.5703125" style="349"/>
    <col min="2041" max="2041" width="1.7109375" style="349" customWidth="1"/>
    <col min="2042" max="2042" width="43.5703125" style="349" customWidth="1"/>
    <col min="2043" max="2043" width="12.7109375" style="349" customWidth="1"/>
    <col min="2044" max="2044" width="13.140625" style="349" customWidth="1"/>
    <col min="2045" max="2045" width="13.85546875" style="349" customWidth="1"/>
    <col min="2046" max="2046" width="11.85546875" style="349" customWidth="1"/>
    <col min="2047" max="2047" width="9.7109375" style="349" customWidth="1"/>
    <col min="2048" max="2048" width="14" style="349" customWidth="1"/>
    <col min="2049" max="2049" width="3" style="349" customWidth="1"/>
    <col min="2050" max="2050" width="21.140625" style="349" customWidth="1"/>
    <col min="2051" max="2296" width="8.5703125" style="349"/>
    <col min="2297" max="2297" width="1.7109375" style="349" customWidth="1"/>
    <col min="2298" max="2298" width="43.5703125" style="349" customWidth="1"/>
    <col min="2299" max="2299" width="12.7109375" style="349" customWidth="1"/>
    <col min="2300" max="2300" width="13.140625" style="349" customWidth="1"/>
    <col min="2301" max="2301" width="13.85546875" style="349" customWidth="1"/>
    <col min="2302" max="2302" width="11.85546875" style="349" customWidth="1"/>
    <col min="2303" max="2303" width="9.7109375" style="349" customWidth="1"/>
    <col min="2304" max="2304" width="14" style="349" customWidth="1"/>
    <col min="2305" max="2305" width="3" style="349" customWidth="1"/>
    <col min="2306" max="2306" width="21.140625" style="349" customWidth="1"/>
    <col min="2307" max="2552" width="8.5703125" style="349"/>
    <col min="2553" max="2553" width="1.7109375" style="349" customWidth="1"/>
    <col min="2554" max="2554" width="43.5703125" style="349" customWidth="1"/>
    <col min="2555" max="2555" width="12.7109375" style="349" customWidth="1"/>
    <col min="2556" max="2556" width="13.140625" style="349" customWidth="1"/>
    <col min="2557" max="2557" width="13.85546875" style="349" customWidth="1"/>
    <col min="2558" max="2558" width="11.85546875" style="349" customWidth="1"/>
    <col min="2559" max="2559" width="9.7109375" style="349" customWidth="1"/>
    <col min="2560" max="2560" width="14" style="349" customWidth="1"/>
    <col min="2561" max="2561" width="3" style="349" customWidth="1"/>
    <col min="2562" max="2562" width="21.140625" style="349" customWidth="1"/>
    <col min="2563" max="2808" width="8.5703125" style="349"/>
    <col min="2809" max="2809" width="1.7109375" style="349" customWidth="1"/>
    <col min="2810" max="2810" width="43.5703125" style="349" customWidth="1"/>
    <col min="2811" max="2811" width="12.7109375" style="349" customWidth="1"/>
    <col min="2812" max="2812" width="13.140625" style="349" customWidth="1"/>
    <col min="2813" max="2813" width="13.85546875" style="349" customWidth="1"/>
    <col min="2814" max="2814" width="11.85546875" style="349" customWidth="1"/>
    <col min="2815" max="2815" width="9.7109375" style="349" customWidth="1"/>
    <col min="2816" max="2816" width="14" style="349" customWidth="1"/>
    <col min="2817" max="2817" width="3" style="349" customWidth="1"/>
    <col min="2818" max="2818" width="21.140625" style="349" customWidth="1"/>
    <col min="2819" max="3064" width="8.5703125" style="349"/>
    <col min="3065" max="3065" width="1.7109375" style="349" customWidth="1"/>
    <col min="3066" max="3066" width="43.5703125" style="349" customWidth="1"/>
    <col min="3067" max="3067" width="12.7109375" style="349" customWidth="1"/>
    <col min="3068" max="3068" width="13.140625" style="349" customWidth="1"/>
    <col min="3069" max="3069" width="13.85546875" style="349" customWidth="1"/>
    <col min="3070" max="3070" width="11.85546875" style="349" customWidth="1"/>
    <col min="3071" max="3071" width="9.7109375" style="349" customWidth="1"/>
    <col min="3072" max="3072" width="14" style="349" customWidth="1"/>
    <col min="3073" max="3073" width="3" style="349" customWidth="1"/>
    <col min="3074" max="3074" width="21.140625" style="349" customWidth="1"/>
    <col min="3075" max="3320" width="8.5703125" style="349"/>
    <col min="3321" max="3321" width="1.7109375" style="349" customWidth="1"/>
    <col min="3322" max="3322" width="43.5703125" style="349" customWidth="1"/>
    <col min="3323" max="3323" width="12.7109375" style="349" customWidth="1"/>
    <col min="3324" max="3324" width="13.140625" style="349" customWidth="1"/>
    <col min="3325" max="3325" width="13.85546875" style="349" customWidth="1"/>
    <col min="3326" max="3326" width="11.85546875" style="349" customWidth="1"/>
    <col min="3327" max="3327" width="9.7109375" style="349" customWidth="1"/>
    <col min="3328" max="3328" width="14" style="349" customWidth="1"/>
    <col min="3329" max="3329" width="3" style="349" customWidth="1"/>
    <col min="3330" max="3330" width="21.140625" style="349" customWidth="1"/>
    <col min="3331" max="3576" width="8.5703125" style="349"/>
    <col min="3577" max="3577" width="1.7109375" style="349" customWidth="1"/>
    <col min="3578" max="3578" width="43.5703125" style="349" customWidth="1"/>
    <col min="3579" max="3579" width="12.7109375" style="349" customWidth="1"/>
    <col min="3580" max="3580" width="13.140625" style="349" customWidth="1"/>
    <col min="3581" max="3581" width="13.85546875" style="349" customWidth="1"/>
    <col min="3582" max="3582" width="11.85546875" style="349" customWidth="1"/>
    <col min="3583" max="3583" width="9.7109375" style="349" customWidth="1"/>
    <col min="3584" max="3584" width="14" style="349" customWidth="1"/>
    <col min="3585" max="3585" width="3" style="349" customWidth="1"/>
    <col min="3586" max="3586" width="21.140625" style="349" customWidth="1"/>
    <col min="3587" max="3832" width="8.5703125" style="349"/>
    <col min="3833" max="3833" width="1.7109375" style="349" customWidth="1"/>
    <col min="3834" max="3834" width="43.5703125" style="349" customWidth="1"/>
    <col min="3835" max="3835" width="12.7109375" style="349" customWidth="1"/>
    <col min="3836" max="3836" width="13.140625" style="349" customWidth="1"/>
    <col min="3837" max="3837" width="13.85546875" style="349" customWidth="1"/>
    <col min="3838" max="3838" width="11.85546875" style="349" customWidth="1"/>
    <col min="3839" max="3839" width="9.7109375" style="349" customWidth="1"/>
    <col min="3840" max="3840" width="14" style="349" customWidth="1"/>
    <col min="3841" max="3841" width="3" style="349" customWidth="1"/>
    <col min="3842" max="3842" width="21.140625" style="349" customWidth="1"/>
    <col min="3843" max="4088" width="8.5703125" style="349"/>
    <col min="4089" max="4089" width="1.7109375" style="349" customWidth="1"/>
    <col min="4090" max="4090" width="43.5703125" style="349" customWidth="1"/>
    <col min="4091" max="4091" width="12.7109375" style="349" customWidth="1"/>
    <col min="4092" max="4092" width="13.140625" style="349" customWidth="1"/>
    <col min="4093" max="4093" width="13.85546875" style="349" customWidth="1"/>
    <col min="4094" max="4094" width="11.85546875" style="349" customWidth="1"/>
    <col min="4095" max="4095" width="9.7109375" style="349" customWidth="1"/>
    <col min="4096" max="4096" width="14" style="349" customWidth="1"/>
    <col min="4097" max="4097" width="3" style="349" customWidth="1"/>
    <col min="4098" max="4098" width="21.140625" style="349" customWidth="1"/>
    <col min="4099" max="4344" width="8.5703125" style="349"/>
    <col min="4345" max="4345" width="1.7109375" style="349" customWidth="1"/>
    <col min="4346" max="4346" width="43.5703125" style="349" customWidth="1"/>
    <col min="4347" max="4347" width="12.7109375" style="349" customWidth="1"/>
    <col min="4348" max="4348" width="13.140625" style="349" customWidth="1"/>
    <col min="4349" max="4349" width="13.85546875" style="349" customWidth="1"/>
    <col min="4350" max="4350" width="11.85546875" style="349" customWidth="1"/>
    <col min="4351" max="4351" width="9.7109375" style="349" customWidth="1"/>
    <col min="4352" max="4352" width="14" style="349" customWidth="1"/>
    <col min="4353" max="4353" width="3" style="349" customWidth="1"/>
    <col min="4354" max="4354" width="21.140625" style="349" customWidth="1"/>
    <col min="4355" max="4600" width="8.5703125" style="349"/>
    <col min="4601" max="4601" width="1.7109375" style="349" customWidth="1"/>
    <col min="4602" max="4602" width="43.5703125" style="349" customWidth="1"/>
    <col min="4603" max="4603" width="12.7109375" style="349" customWidth="1"/>
    <col min="4604" max="4604" width="13.140625" style="349" customWidth="1"/>
    <col min="4605" max="4605" width="13.85546875" style="349" customWidth="1"/>
    <col min="4606" max="4606" width="11.85546875" style="349" customWidth="1"/>
    <col min="4607" max="4607" width="9.7109375" style="349" customWidth="1"/>
    <col min="4608" max="4608" width="14" style="349" customWidth="1"/>
    <col min="4609" max="4609" width="3" style="349" customWidth="1"/>
    <col min="4610" max="4610" width="21.140625" style="349" customWidth="1"/>
    <col min="4611" max="4856" width="8.5703125" style="349"/>
    <col min="4857" max="4857" width="1.7109375" style="349" customWidth="1"/>
    <col min="4858" max="4858" width="43.5703125" style="349" customWidth="1"/>
    <col min="4859" max="4859" width="12.7109375" style="349" customWidth="1"/>
    <col min="4860" max="4860" width="13.140625" style="349" customWidth="1"/>
    <col min="4861" max="4861" width="13.85546875" style="349" customWidth="1"/>
    <col min="4862" max="4862" width="11.85546875" style="349" customWidth="1"/>
    <col min="4863" max="4863" width="9.7109375" style="349" customWidth="1"/>
    <col min="4864" max="4864" width="14" style="349" customWidth="1"/>
    <col min="4865" max="4865" width="3" style="349" customWidth="1"/>
    <col min="4866" max="4866" width="21.140625" style="349" customWidth="1"/>
    <col min="4867" max="5112" width="8.5703125" style="349"/>
    <col min="5113" max="5113" width="1.7109375" style="349" customWidth="1"/>
    <col min="5114" max="5114" width="43.5703125" style="349" customWidth="1"/>
    <col min="5115" max="5115" width="12.7109375" style="349" customWidth="1"/>
    <col min="5116" max="5116" width="13.140625" style="349" customWidth="1"/>
    <col min="5117" max="5117" width="13.85546875" style="349" customWidth="1"/>
    <col min="5118" max="5118" width="11.85546875" style="349" customWidth="1"/>
    <col min="5119" max="5119" width="9.7109375" style="349" customWidth="1"/>
    <col min="5120" max="5120" width="14" style="349" customWidth="1"/>
    <col min="5121" max="5121" width="3" style="349" customWidth="1"/>
    <col min="5122" max="5122" width="21.140625" style="349" customWidth="1"/>
    <col min="5123" max="5368" width="8.5703125" style="349"/>
    <col min="5369" max="5369" width="1.7109375" style="349" customWidth="1"/>
    <col min="5370" max="5370" width="43.5703125" style="349" customWidth="1"/>
    <col min="5371" max="5371" width="12.7109375" style="349" customWidth="1"/>
    <col min="5372" max="5372" width="13.140625" style="349" customWidth="1"/>
    <col min="5373" max="5373" width="13.85546875" style="349" customWidth="1"/>
    <col min="5374" max="5374" width="11.85546875" style="349" customWidth="1"/>
    <col min="5375" max="5375" width="9.7109375" style="349" customWidth="1"/>
    <col min="5376" max="5376" width="14" style="349" customWidth="1"/>
    <col min="5377" max="5377" width="3" style="349" customWidth="1"/>
    <col min="5378" max="5378" width="21.140625" style="349" customWidth="1"/>
    <col min="5379" max="5624" width="8.5703125" style="349"/>
    <col min="5625" max="5625" width="1.7109375" style="349" customWidth="1"/>
    <col min="5626" max="5626" width="43.5703125" style="349" customWidth="1"/>
    <col min="5627" max="5627" width="12.7109375" style="349" customWidth="1"/>
    <col min="5628" max="5628" width="13.140625" style="349" customWidth="1"/>
    <col min="5629" max="5629" width="13.85546875" style="349" customWidth="1"/>
    <col min="5630" max="5630" width="11.85546875" style="349" customWidth="1"/>
    <col min="5631" max="5631" width="9.7109375" style="349" customWidth="1"/>
    <col min="5632" max="5632" width="14" style="349" customWidth="1"/>
    <col min="5633" max="5633" width="3" style="349" customWidth="1"/>
    <col min="5634" max="5634" width="21.140625" style="349" customWidth="1"/>
    <col min="5635" max="5880" width="8.5703125" style="349"/>
    <col min="5881" max="5881" width="1.7109375" style="349" customWidth="1"/>
    <col min="5882" max="5882" width="43.5703125" style="349" customWidth="1"/>
    <col min="5883" max="5883" width="12.7109375" style="349" customWidth="1"/>
    <col min="5884" max="5884" width="13.140625" style="349" customWidth="1"/>
    <col min="5885" max="5885" width="13.85546875" style="349" customWidth="1"/>
    <col min="5886" max="5886" width="11.85546875" style="349" customWidth="1"/>
    <col min="5887" max="5887" width="9.7109375" style="349" customWidth="1"/>
    <col min="5888" max="5888" width="14" style="349" customWidth="1"/>
    <col min="5889" max="5889" width="3" style="349" customWidth="1"/>
    <col min="5890" max="5890" width="21.140625" style="349" customWidth="1"/>
    <col min="5891" max="6136" width="8.5703125" style="349"/>
    <col min="6137" max="6137" width="1.7109375" style="349" customWidth="1"/>
    <col min="6138" max="6138" width="43.5703125" style="349" customWidth="1"/>
    <col min="6139" max="6139" width="12.7109375" style="349" customWidth="1"/>
    <col min="6140" max="6140" width="13.140625" style="349" customWidth="1"/>
    <col min="6141" max="6141" width="13.85546875" style="349" customWidth="1"/>
    <col min="6142" max="6142" width="11.85546875" style="349" customWidth="1"/>
    <col min="6143" max="6143" width="9.7109375" style="349" customWidth="1"/>
    <col min="6144" max="6144" width="14" style="349" customWidth="1"/>
    <col min="6145" max="6145" width="3" style="349" customWidth="1"/>
    <col min="6146" max="6146" width="21.140625" style="349" customWidth="1"/>
    <col min="6147" max="6392" width="8.5703125" style="349"/>
    <col min="6393" max="6393" width="1.7109375" style="349" customWidth="1"/>
    <col min="6394" max="6394" width="43.5703125" style="349" customWidth="1"/>
    <col min="6395" max="6395" width="12.7109375" style="349" customWidth="1"/>
    <col min="6396" max="6396" width="13.140625" style="349" customWidth="1"/>
    <col min="6397" max="6397" width="13.85546875" style="349" customWidth="1"/>
    <col min="6398" max="6398" width="11.85546875" style="349" customWidth="1"/>
    <col min="6399" max="6399" width="9.7109375" style="349" customWidth="1"/>
    <col min="6400" max="6400" width="14" style="349" customWidth="1"/>
    <col min="6401" max="6401" width="3" style="349" customWidth="1"/>
    <col min="6402" max="6402" width="21.140625" style="349" customWidth="1"/>
    <col min="6403" max="6648" width="8.5703125" style="349"/>
    <col min="6649" max="6649" width="1.7109375" style="349" customWidth="1"/>
    <col min="6650" max="6650" width="43.5703125" style="349" customWidth="1"/>
    <col min="6651" max="6651" width="12.7109375" style="349" customWidth="1"/>
    <col min="6652" max="6652" width="13.140625" style="349" customWidth="1"/>
    <col min="6653" max="6653" width="13.85546875" style="349" customWidth="1"/>
    <col min="6654" max="6654" width="11.85546875" style="349" customWidth="1"/>
    <col min="6655" max="6655" width="9.7109375" style="349" customWidth="1"/>
    <col min="6656" max="6656" width="14" style="349" customWidth="1"/>
    <col min="6657" max="6657" width="3" style="349" customWidth="1"/>
    <col min="6658" max="6658" width="21.140625" style="349" customWidth="1"/>
    <col min="6659" max="6904" width="8.5703125" style="349"/>
    <col min="6905" max="6905" width="1.7109375" style="349" customWidth="1"/>
    <col min="6906" max="6906" width="43.5703125" style="349" customWidth="1"/>
    <col min="6907" max="6907" width="12.7109375" style="349" customWidth="1"/>
    <col min="6908" max="6908" width="13.140625" style="349" customWidth="1"/>
    <col min="6909" max="6909" width="13.85546875" style="349" customWidth="1"/>
    <col min="6910" max="6910" width="11.85546875" style="349" customWidth="1"/>
    <col min="6911" max="6911" width="9.7109375" style="349" customWidth="1"/>
    <col min="6912" max="6912" width="14" style="349" customWidth="1"/>
    <col min="6913" max="6913" width="3" style="349" customWidth="1"/>
    <col min="6914" max="6914" width="21.140625" style="349" customWidth="1"/>
    <col min="6915" max="7160" width="8.5703125" style="349"/>
    <col min="7161" max="7161" width="1.7109375" style="349" customWidth="1"/>
    <col min="7162" max="7162" width="43.5703125" style="349" customWidth="1"/>
    <col min="7163" max="7163" width="12.7109375" style="349" customWidth="1"/>
    <col min="7164" max="7164" width="13.140625" style="349" customWidth="1"/>
    <col min="7165" max="7165" width="13.85546875" style="349" customWidth="1"/>
    <col min="7166" max="7166" width="11.85546875" style="349" customWidth="1"/>
    <col min="7167" max="7167" width="9.7109375" style="349" customWidth="1"/>
    <col min="7168" max="7168" width="14" style="349" customWidth="1"/>
    <col min="7169" max="7169" width="3" style="349" customWidth="1"/>
    <col min="7170" max="7170" width="21.140625" style="349" customWidth="1"/>
    <col min="7171" max="7416" width="8.5703125" style="349"/>
    <col min="7417" max="7417" width="1.7109375" style="349" customWidth="1"/>
    <col min="7418" max="7418" width="43.5703125" style="349" customWidth="1"/>
    <col min="7419" max="7419" width="12.7109375" style="349" customWidth="1"/>
    <col min="7420" max="7420" width="13.140625" style="349" customWidth="1"/>
    <col min="7421" max="7421" width="13.85546875" style="349" customWidth="1"/>
    <col min="7422" max="7422" width="11.85546875" style="349" customWidth="1"/>
    <col min="7423" max="7423" width="9.7109375" style="349" customWidth="1"/>
    <col min="7424" max="7424" width="14" style="349" customWidth="1"/>
    <col min="7425" max="7425" width="3" style="349" customWidth="1"/>
    <col min="7426" max="7426" width="21.140625" style="349" customWidth="1"/>
    <col min="7427" max="7672" width="8.5703125" style="349"/>
    <col min="7673" max="7673" width="1.7109375" style="349" customWidth="1"/>
    <col min="7674" max="7674" width="43.5703125" style="349" customWidth="1"/>
    <col min="7675" max="7675" width="12.7109375" style="349" customWidth="1"/>
    <col min="7676" max="7676" width="13.140625" style="349" customWidth="1"/>
    <col min="7677" max="7677" width="13.85546875" style="349" customWidth="1"/>
    <col min="7678" max="7678" width="11.85546875" style="349" customWidth="1"/>
    <col min="7679" max="7679" width="9.7109375" style="349" customWidth="1"/>
    <col min="7680" max="7680" width="14" style="349" customWidth="1"/>
    <col min="7681" max="7681" width="3" style="349" customWidth="1"/>
    <col min="7682" max="7682" width="21.140625" style="349" customWidth="1"/>
    <col min="7683" max="7928" width="8.5703125" style="349"/>
    <col min="7929" max="7929" width="1.7109375" style="349" customWidth="1"/>
    <col min="7930" max="7930" width="43.5703125" style="349" customWidth="1"/>
    <col min="7931" max="7931" width="12.7109375" style="349" customWidth="1"/>
    <col min="7932" max="7932" width="13.140625" style="349" customWidth="1"/>
    <col min="7933" max="7933" width="13.85546875" style="349" customWidth="1"/>
    <col min="7934" max="7934" width="11.85546875" style="349" customWidth="1"/>
    <col min="7935" max="7935" width="9.7109375" style="349" customWidth="1"/>
    <col min="7936" max="7936" width="14" style="349" customWidth="1"/>
    <col min="7937" max="7937" width="3" style="349" customWidth="1"/>
    <col min="7938" max="7938" width="21.140625" style="349" customWidth="1"/>
    <col min="7939" max="8184" width="8.5703125" style="349"/>
    <col min="8185" max="8185" width="1.7109375" style="349" customWidth="1"/>
    <col min="8186" max="8186" width="43.5703125" style="349" customWidth="1"/>
    <col min="8187" max="8187" width="12.7109375" style="349" customWidth="1"/>
    <col min="8188" max="8188" width="13.140625" style="349" customWidth="1"/>
    <col min="8189" max="8189" width="13.85546875" style="349" customWidth="1"/>
    <col min="8190" max="8190" width="11.85546875" style="349" customWidth="1"/>
    <col min="8191" max="8191" width="9.7109375" style="349" customWidth="1"/>
    <col min="8192" max="8192" width="14" style="349" customWidth="1"/>
    <col min="8193" max="8193" width="3" style="349" customWidth="1"/>
    <col min="8194" max="8194" width="21.140625" style="349" customWidth="1"/>
    <col min="8195" max="8440" width="8.5703125" style="349"/>
    <col min="8441" max="8441" width="1.7109375" style="349" customWidth="1"/>
    <col min="8442" max="8442" width="43.5703125" style="349" customWidth="1"/>
    <col min="8443" max="8443" width="12.7109375" style="349" customWidth="1"/>
    <col min="8444" max="8444" width="13.140625" style="349" customWidth="1"/>
    <col min="8445" max="8445" width="13.85546875" style="349" customWidth="1"/>
    <col min="8446" max="8446" width="11.85546875" style="349" customWidth="1"/>
    <col min="8447" max="8447" width="9.7109375" style="349" customWidth="1"/>
    <col min="8448" max="8448" width="14" style="349" customWidth="1"/>
    <col min="8449" max="8449" width="3" style="349" customWidth="1"/>
    <col min="8450" max="8450" width="21.140625" style="349" customWidth="1"/>
    <col min="8451" max="8696" width="8.5703125" style="349"/>
    <col min="8697" max="8697" width="1.7109375" style="349" customWidth="1"/>
    <col min="8698" max="8698" width="43.5703125" style="349" customWidth="1"/>
    <col min="8699" max="8699" width="12.7109375" style="349" customWidth="1"/>
    <col min="8700" max="8700" width="13.140625" style="349" customWidth="1"/>
    <col min="8701" max="8701" width="13.85546875" style="349" customWidth="1"/>
    <col min="8702" max="8702" width="11.85546875" style="349" customWidth="1"/>
    <col min="8703" max="8703" width="9.7109375" style="349" customWidth="1"/>
    <col min="8704" max="8704" width="14" style="349" customWidth="1"/>
    <col min="8705" max="8705" width="3" style="349" customWidth="1"/>
    <col min="8706" max="8706" width="21.140625" style="349" customWidth="1"/>
    <col min="8707" max="8952" width="8.5703125" style="349"/>
    <col min="8953" max="8953" width="1.7109375" style="349" customWidth="1"/>
    <col min="8954" max="8954" width="43.5703125" style="349" customWidth="1"/>
    <col min="8955" max="8955" width="12.7109375" style="349" customWidth="1"/>
    <col min="8956" max="8956" width="13.140625" style="349" customWidth="1"/>
    <col min="8957" max="8957" width="13.85546875" style="349" customWidth="1"/>
    <col min="8958" max="8958" width="11.85546875" style="349" customWidth="1"/>
    <col min="8959" max="8959" width="9.7109375" style="349" customWidth="1"/>
    <col min="8960" max="8960" width="14" style="349" customWidth="1"/>
    <col min="8961" max="8961" width="3" style="349" customWidth="1"/>
    <col min="8962" max="8962" width="21.140625" style="349" customWidth="1"/>
    <col min="8963" max="9208" width="8.5703125" style="349"/>
    <col min="9209" max="9209" width="1.7109375" style="349" customWidth="1"/>
    <col min="9210" max="9210" width="43.5703125" style="349" customWidth="1"/>
    <col min="9211" max="9211" width="12.7109375" style="349" customWidth="1"/>
    <col min="9212" max="9212" width="13.140625" style="349" customWidth="1"/>
    <col min="9213" max="9213" width="13.85546875" style="349" customWidth="1"/>
    <col min="9214" max="9214" width="11.85546875" style="349" customWidth="1"/>
    <col min="9215" max="9215" width="9.7109375" style="349" customWidth="1"/>
    <col min="9216" max="9216" width="14" style="349" customWidth="1"/>
    <col min="9217" max="9217" width="3" style="349" customWidth="1"/>
    <col min="9218" max="9218" width="21.140625" style="349" customWidth="1"/>
    <col min="9219" max="9464" width="8.5703125" style="349"/>
    <col min="9465" max="9465" width="1.7109375" style="349" customWidth="1"/>
    <col min="9466" max="9466" width="43.5703125" style="349" customWidth="1"/>
    <col min="9467" max="9467" width="12.7109375" style="349" customWidth="1"/>
    <col min="9468" max="9468" width="13.140625" style="349" customWidth="1"/>
    <col min="9469" max="9469" width="13.85546875" style="349" customWidth="1"/>
    <col min="9470" max="9470" width="11.85546875" style="349" customWidth="1"/>
    <col min="9471" max="9471" width="9.7109375" style="349" customWidth="1"/>
    <col min="9472" max="9472" width="14" style="349" customWidth="1"/>
    <col min="9473" max="9473" width="3" style="349" customWidth="1"/>
    <col min="9474" max="9474" width="21.140625" style="349" customWidth="1"/>
    <col min="9475" max="9720" width="8.5703125" style="349"/>
    <col min="9721" max="9721" width="1.7109375" style="349" customWidth="1"/>
    <col min="9722" max="9722" width="43.5703125" style="349" customWidth="1"/>
    <col min="9723" max="9723" width="12.7109375" style="349" customWidth="1"/>
    <col min="9724" max="9724" width="13.140625" style="349" customWidth="1"/>
    <col min="9725" max="9725" width="13.85546875" style="349" customWidth="1"/>
    <col min="9726" max="9726" width="11.85546875" style="349" customWidth="1"/>
    <col min="9727" max="9727" width="9.7109375" style="349" customWidth="1"/>
    <col min="9728" max="9728" width="14" style="349" customWidth="1"/>
    <col min="9729" max="9729" width="3" style="349" customWidth="1"/>
    <col min="9730" max="9730" width="21.140625" style="349" customWidth="1"/>
    <col min="9731" max="9976" width="8.5703125" style="349"/>
    <col min="9977" max="9977" width="1.7109375" style="349" customWidth="1"/>
    <col min="9978" max="9978" width="43.5703125" style="349" customWidth="1"/>
    <col min="9979" max="9979" width="12.7109375" style="349" customWidth="1"/>
    <col min="9980" max="9980" width="13.140625" style="349" customWidth="1"/>
    <col min="9981" max="9981" width="13.85546875" style="349" customWidth="1"/>
    <col min="9982" max="9982" width="11.85546875" style="349" customWidth="1"/>
    <col min="9983" max="9983" width="9.7109375" style="349" customWidth="1"/>
    <col min="9984" max="9984" width="14" style="349" customWidth="1"/>
    <col min="9985" max="9985" width="3" style="349" customWidth="1"/>
    <col min="9986" max="9986" width="21.140625" style="349" customWidth="1"/>
    <col min="9987" max="10232" width="8.5703125" style="349"/>
    <col min="10233" max="10233" width="1.7109375" style="349" customWidth="1"/>
    <col min="10234" max="10234" width="43.5703125" style="349" customWidth="1"/>
    <col min="10235" max="10235" width="12.7109375" style="349" customWidth="1"/>
    <col min="10236" max="10236" width="13.140625" style="349" customWidth="1"/>
    <col min="10237" max="10237" width="13.85546875" style="349" customWidth="1"/>
    <col min="10238" max="10238" width="11.85546875" style="349" customWidth="1"/>
    <col min="10239" max="10239" width="9.7109375" style="349" customWidth="1"/>
    <col min="10240" max="10240" width="14" style="349" customWidth="1"/>
    <col min="10241" max="10241" width="3" style="349" customWidth="1"/>
    <col min="10242" max="10242" width="21.140625" style="349" customWidth="1"/>
    <col min="10243" max="10488" width="8.5703125" style="349"/>
    <col min="10489" max="10489" width="1.7109375" style="349" customWidth="1"/>
    <col min="10490" max="10490" width="43.5703125" style="349" customWidth="1"/>
    <col min="10491" max="10491" width="12.7109375" style="349" customWidth="1"/>
    <col min="10492" max="10492" width="13.140625" style="349" customWidth="1"/>
    <col min="10493" max="10493" width="13.85546875" style="349" customWidth="1"/>
    <col min="10494" max="10494" width="11.85546875" style="349" customWidth="1"/>
    <col min="10495" max="10495" width="9.7109375" style="349" customWidth="1"/>
    <col min="10496" max="10496" width="14" style="349" customWidth="1"/>
    <col min="10497" max="10497" width="3" style="349" customWidth="1"/>
    <col min="10498" max="10498" width="21.140625" style="349" customWidth="1"/>
    <col min="10499" max="10744" width="8.5703125" style="349"/>
    <col min="10745" max="10745" width="1.7109375" style="349" customWidth="1"/>
    <col min="10746" max="10746" width="43.5703125" style="349" customWidth="1"/>
    <col min="10747" max="10747" width="12.7109375" style="349" customWidth="1"/>
    <col min="10748" max="10748" width="13.140625" style="349" customWidth="1"/>
    <col min="10749" max="10749" width="13.85546875" style="349" customWidth="1"/>
    <col min="10750" max="10750" width="11.85546875" style="349" customWidth="1"/>
    <col min="10751" max="10751" width="9.7109375" style="349" customWidth="1"/>
    <col min="10752" max="10752" width="14" style="349" customWidth="1"/>
    <col min="10753" max="10753" width="3" style="349" customWidth="1"/>
    <col min="10754" max="10754" width="21.140625" style="349" customWidth="1"/>
    <col min="10755" max="11000" width="8.5703125" style="349"/>
    <col min="11001" max="11001" width="1.7109375" style="349" customWidth="1"/>
    <col min="11002" max="11002" width="43.5703125" style="349" customWidth="1"/>
    <col min="11003" max="11003" width="12.7109375" style="349" customWidth="1"/>
    <col min="11004" max="11004" width="13.140625" style="349" customWidth="1"/>
    <col min="11005" max="11005" width="13.85546875" style="349" customWidth="1"/>
    <col min="11006" max="11006" width="11.85546875" style="349" customWidth="1"/>
    <col min="11007" max="11007" width="9.7109375" style="349" customWidth="1"/>
    <col min="11008" max="11008" width="14" style="349" customWidth="1"/>
    <col min="11009" max="11009" width="3" style="349" customWidth="1"/>
    <col min="11010" max="11010" width="21.140625" style="349" customWidth="1"/>
    <col min="11011" max="11256" width="8.5703125" style="349"/>
    <col min="11257" max="11257" width="1.7109375" style="349" customWidth="1"/>
    <col min="11258" max="11258" width="43.5703125" style="349" customWidth="1"/>
    <col min="11259" max="11259" width="12.7109375" style="349" customWidth="1"/>
    <col min="11260" max="11260" width="13.140625" style="349" customWidth="1"/>
    <col min="11261" max="11261" width="13.85546875" style="349" customWidth="1"/>
    <col min="11262" max="11262" width="11.85546875" style="349" customWidth="1"/>
    <col min="11263" max="11263" width="9.7109375" style="349" customWidth="1"/>
    <col min="11264" max="11264" width="14" style="349" customWidth="1"/>
    <col min="11265" max="11265" width="3" style="349" customWidth="1"/>
    <col min="11266" max="11266" width="21.140625" style="349" customWidth="1"/>
    <col min="11267" max="11512" width="8.5703125" style="349"/>
    <col min="11513" max="11513" width="1.7109375" style="349" customWidth="1"/>
    <col min="11514" max="11514" width="43.5703125" style="349" customWidth="1"/>
    <col min="11515" max="11515" width="12.7109375" style="349" customWidth="1"/>
    <col min="11516" max="11516" width="13.140625" style="349" customWidth="1"/>
    <col min="11517" max="11517" width="13.85546875" style="349" customWidth="1"/>
    <col min="11518" max="11518" width="11.85546875" style="349" customWidth="1"/>
    <col min="11519" max="11519" width="9.7109375" style="349" customWidth="1"/>
    <col min="11520" max="11520" width="14" style="349" customWidth="1"/>
    <col min="11521" max="11521" width="3" style="349" customWidth="1"/>
    <col min="11522" max="11522" width="21.140625" style="349" customWidth="1"/>
    <col min="11523" max="11768" width="8.5703125" style="349"/>
    <col min="11769" max="11769" width="1.7109375" style="349" customWidth="1"/>
    <col min="11770" max="11770" width="43.5703125" style="349" customWidth="1"/>
    <col min="11771" max="11771" width="12.7109375" style="349" customWidth="1"/>
    <col min="11772" max="11772" width="13.140625" style="349" customWidth="1"/>
    <col min="11773" max="11773" width="13.85546875" style="349" customWidth="1"/>
    <col min="11774" max="11774" width="11.85546875" style="349" customWidth="1"/>
    <col min="11775" max="11775" width="9.7109375" style="349" customWidth="1"/>
    <col min="11776" max="11776" width="14" style="349" customWidth="1"/>
    <col min="11777" max="11777" width="3" style="349" customWidth="1"/>
    <col min="11778" max="11778" width="21.140625" style="349" customWidth="1"/>
    <col min="11779" max="12024" width="8.5703125" style="349"/>
    <col min="12025" max="12025" width="1.7109375" style="349" customWidth="1"/>
    <col min="12026" max="12026" width="43.5703125" style="349" customWidth="1"/>
    <col min="12027" max="12027" width="12.7109375" style="349" customWidth="1"/>
    <col min="12028" max="12028" width="13.140625" style="349" customWidth="1"/>
    <col min="12029" max="12029" width="13.85546875" style="349" customWidth="1"/>
    <col min="12030" max="12030" width="11.85546875" style="349" customWidth="1"/>
    <col min="12031" max="12031" width="9.7109375" style="349" customWidth="1"/>
    <col min="12032" max="12032" width="14" style="349" customWidth="1"/>
    <col min="12033" max="12033" width="3" style="349" customWidth="1"/>
    <col min="12034" max="12034" width="21.140625" style="349" customWidth="1"/>
    <col min="12035" max="12280" width="8.5703125" style="349"/>
    <col min="12281" max="12281" width="1.7109375" style="349" customWidth="1"/>
    <col min="12282" max="12282" width="43.5703125" style="349" customWidth="1"/>
    <col min="12283" max="12283" width="12.7109375" style="349" customWidth="1"/>
    <col min="12284" max="12284" width="13.140625" style="349" customWidth="1"/>
    <col min="12285" max="12285" width="13.85546875" style="349" customWidth="1"/>
    <col min="12286" max="12286" width="11.85546875" style="349" customWidth="1"/>
    <col min="12287" max="12287" width="9.7109375" style="349" customWidth="1"/>
    <col min="12288" max="12288" width="14" style="349" customWidth="1"/>
    <col min="12289" max="12289" width="3" style="349" customWidth="1"/>
    <col min="12290" max="12290" width="21.140625" style="349" customWidth="1"/>
    <col min="12291" max="12536" width="8.5703125" style="349"/>
    <col min="12537" max="12537" width="1.7109375" style="349" customWidth="1"/>
    <col min="12538" max="12538" width="43.5703125" style="349" customWidth="1"/>
    <col min="12539" max="12539" width="12.7109375" style="349" customWidth="1"/>
    <col min="12540" max="12540" width="13.140625" style="349" customWidth="1"/>
    <col min="12541" max="12541" width="13.85546875" style="349" customWidth="1"/>
    <col min="12542" max="12542" width="11.85546875" style="349" customWidth="1"/>
    <col min="12543" max="12543" width="9.7109375" style="349" customWidth="1"/>
    <col min="12544" max="12544" width="14" style="349" customWidth="1"/>
    <col min="12545" max="12545" width="3" style="349" customWidth="1"/>
    <col min="12546" max="12546" width="21.140625" style="349" customWidth="1"/>
    <col min="12547" max="12792" width="8.5703125" style="349"/>
    <col min="12793" max="12793" width="1.7109375" style="349" customWidth="1"/>
    <col min="12794" max="12794" width="43.5703125" style="349" customWidth="1"/>
    <col min="12795" max="12795" width="12.7109375" style="349" customWidth="1"/>
    <col min="12796" max="12796" width="13.140625" style="349" customWidth="1"/>
    <col min="12797" max="12797" width="13.85546875" style="349" customWidth="1"/>
    <col min="12798" max="12798" width="11.85546875" style="349" customWidth="1"/>
    <col min="12799" max="12799" width="9.7109375" style="349" customWidth="1"/>
    <col min="12800" max="12800" width="14" style="349" customWidth="1"/>
    <col min="12801" max="12801" width="3" style="349" customWidth="1"/>
    <col min="12802" max="12802" width="21.140625" style="349" customWidth="1"/>
    <col min="12803" max="13048" width="8.5703125" style="349"/>
    <col min="13049" max="13049" width="1.7109375" style="349" customWidth="1"/>
    <col min="13050" max="13050" width="43.5703125" style="349" customWidth="1"/>
    <col min="13051" max="13051" width="12.7109375" style="349" customWidth="1"/>
    <col min="13052" max="13052" width="13.140625" style="349" customWidth="1"/>
    <col min="13053" max="13053" width="13.85546875" style="349" customWidth="1"/>
    <col min="13054" max="13054" width="11.85546875" style="349" customWidth="1"/>
    <col min="13055" max="13055" width="9.7109375" style="349" customWidth="1"/>
    <col min="13056" max="13056" width="14" style="349" customWidth="1"/>
    <col min="13057" max="13057" width="3" style="349" customWidth="1"/>
    <col min="13058" max="13058" width="21.140625" style="349" customWidth="1"/>
    <col min="13059" max="13304" width="8.5703125" style="349"/>
    <col min="13305" max="13305" width="1.7109375" style="349" customWidth="1"/>
    <col min="13306" max="13306" width="43.5703125" style="349" customWidth="1"/>
    <col min="13307" max="13307" width="12.7109375" style="349" customWidth="1"/>
    <col min="13308" max="13308" width="13.140625" style="349" customWidth="1"/>
    <col min="13309" max="13309" width="13.85546875" style="349" customWidth="1"/>
    <col min="13310" max="13310" width="11.85546875" style="349" customWidth="1"/>
    <col min="13311" max="13311" width="9.7109375" style="349" customWidth="1"/>
    <col min="13312" max="13312" width="14" style="349" customWidth="1"/>
    <col min="13313" max="13313" width="3" style="349" customWidth="1"/>
    <col min="13314" max="13314" width="21.140625" style="349" customWidth="1"/>
    <col min="13315" max="13560" width="8.5703125" style="349"/>
    <col min="13561" max="13561" width="1.7109375" style="349" customWidth="1"/>
    <col min="13562" max="13562" width="43.5703125" style="349" customWidth="1"/>
    <col min="13563" max="13563" width="12.7109375" style="349" customWidth="1"/>
    <col min="13564" max="13564" width="13.140625" style="349" customWidth="1"/>
    <col min="13565" max="13565" width="13.85546875" style="349" customWidth="1"/>
    <col min="13566" max="13566" width="11.85546875" style="349" customWidth="1"/>
    <col min="13567" max="13567" width="9.7109375" style="349" customWidth="1"/>
    <col min="13568" max="13568" width="14" style="349" customWidth="1"/>
    <col min="13569" max="13569" width="3" style="349" customWidth="1"/>
    <col min="13570" max="13570" width="21.140625" style="349" customWidth="1"/>
    <col min="13571" max="13816" width="8.5703125" style="349"/>
    <col min="13817" max="13817" width="1.7109375" style="349" customWidth="1"/>
    <col min="13818" max="13818" width="43.5703125" style="349" customWidth="1"/>
    <col min="13819" max="13819" width="12.7109375" style="349" customWidth="1"/>
    <col min="13820" max="13820" width="13.140625" style="349" customWidth="1"/>
    <col min="13821" max="13821" width="13.85546875" style="349" customWidth="1"/>
    <col min="13822" max="13822" width="11.85546875" style="349" customWidth="1"/>
    <col min="13823" max="13823" width="9.7109375" style="349" customWidth="1"/>
    <col min="13824" max="13824" width="14" style="349" customWidth="1"/>
    <col min="13825" max="13825" width="3" style="349" customWidth="1"/>
    <col min="13826" max="13826" width="21.140625" style="349" customWidth="1"/>
    <col min="13827" max="14072" width="8.5703125" style="349"/>
    <col min="14073" max="14073" width="1.7109375" style="349" customWidth="1"/>
    <col min="14074" max="14074" width="43.5703125" style="349" customWidth="1"/>
    <col min="14075" max="14075" width="12.7109375" style="349" customWidth="1"/>
    <col min="14076" max="14076" width="13.140625" style="349" customWidth="1"/>
    <col min="14077" max="14077" width="13.85546875" style="349" customWidth="1"/>
    <col min="14078" max="14078" width="11.85546875" style="349" customWidth="1"/>
    <col min="14079" max="14079" width="9.7109375" style="349" customWidth="1"/>
    <col min="14080" max="14080" width="14" style="349" customWidth="1"/>
    <col min="14081" max="14081" width="3" style="349" customWidth="1"/>
    <col min="14082" max="14082" width="21.140625" style="349" customWidth="1"/>
    <col min="14083" max="14328" width="8.5703125" style="349"/>
    <col min="14329" max="14329" width="1.7109375" style="349" customWidth="1"/>
    <col min="14330" max="14330" width="43.5703125" style="349" customWidth="1"/>
    <col min="14331" max="14331" width="12.7109375" style="349" customWidth="1"/>
    <col min="14332" max="14332" width="13.140625" style="349" customWidth="1"/>
    <col min="14333" max="14333" width="13.85546875" style="349" customWidth="1"/>
    <col min="14334" max="14334" width="11.85546875" style="349" customWidth="1"/>
    <col min="14335" max="14335" width="9.7109375" style="349" customWidth="1"/>
    <col min="14336" max="14336" width="14" style="349" customWidth="1"/>
    <col min="14337" max="14337" width="3" style="349" customWidth="1"/>
    <col min="14338" max="14338" width="21.140625" style="349" customWidth="1"/>
    <col min="14339" max="14584" width="8.5703125" style="349"/>
    <col min="14585" max="14585" width="1.7109375" style="349" customWidth="1"/>
    <col min="14586" max="14586" width="43.5703125" style="349" customWidth="1"/>
    <col min="14587" max="14587" width="12.7109375" style="349" customWidth="1"/>
    <col min="14588" max="14588" width="13.140625" style="349" customWidth="1"/>
    <col min="14589" max="14589" width="13.85546875" style="349" customWidth="1"/>
    <col min="14590" max="14590" width="11.85546875" style="349" customWidth="1"/>
    <col min="14591" max="14591" width="9.7109375" style="349" customWidth="1"/>
    <col min="14592" max="14592" width="14" style="349" customWidth="1"/>
    <col min="14593" max="14593" width="3" style="349" customWidth="1"/>
    <col min="14594" max="14594" width="21.140625" style="349" customWidth="1"/>
    <col min="14595" max="14840" width="8.5703125" style="349"/>
    <col min="14841" max="14841" width="1.7109375" style="349" customWidth="1"/>
    <col min="14842" max="14842" width="43.5703125" style="349" customWidth="1"/>
    <col min="14843" max="14843" width="12.7109375" style="349" customWidth="1"/>
    <col min="14844" max="14844" width="13.140625" style="349" customWidth="1"/>
    <col min="14845" max="14845" width="13.85546875" style="349" customWidth="1"/>
    <col min="14846" max="14846" width="11.85546875" style="349" customWidth="1"/>
    <col min="14847" max="14847" width="9.7109375" style="349" customWidth="1"/>
    <col min="14848" max="14848" width="14" style="349" customWidth="1"/>
    <col min="14849" max="14849" width="3" style="349" customWidth="1"/>
    <col min="14850" max="14850" width="21.140625" style="349" customWidth="1"/>
    <col min="14851" max="15096" width="8.5703125" style="349"/>
    <col min="15097" max="15097" width="1.7109375" style="349" customWidth="1"/>
    <col min="15098" max="15098" width="43.5703125" style="349" customWidth="1"/>
    <col min="15099" max="15099" width="12.7109375" style="349" customWidth="1"/>
    <col min="15100" max="15100" width="13.140625" style="349" customWidth="1"/>
    <col min="15101" max="15101" width="13.85546875" style="349" customWidth="1"/>
    <col min="15102" max="15102" width="11.85546875" style="349" customWidth="1"/>
    <col min="15103" max="15103" width="9.7109375" style="349" customWidth="1"/>
    <col min="15104" max="15104" width="14" style="349" customWidth="1"/>
    <col min="15105" max="15105" width="3" style="349" customWidth="1"/>
    <col min="15106" max="15106" width="21.140625" style="349" customWidth="1"/>
    <col min="15107" max="15352" width="8.5703125" style="349"/>
    <col min="15353" max="15353" width="1.7109375" style="349" customWidth="1"/>
    <col min="15354" max="15354" width="43.5703125" style="349" customWidth="1"/>
    <col min="15355" max="15355" width="12.7109375" style="349" customWidth="1"/>
    <col min="15356" max="15356" width="13.140625" style="349" customWidth="1"/>
    <col min="15357" max="15357" width="13.85546875" style="349" customWidth="1"/>
    <col min="15358" max="15358" width="11.85546875" style="349" customWidth="1"/>
    <col min="15359" max="15359" width="9.7109375" style="349" customWidth="1"/>
    <col min="15360" max="15360" width="14" style="349" customWidth="1"/>
    <col min="15361" max="15361" width="3" style="349" customWidth="1"/>
    <col min="15362" max="15362" width="21.140625" style="349" customWidth="1"/>
    <col min="15363" max="15608" width="8.5703125" style="349"/>
    <col min="15609" max="15609" width="1.7109375" style="349" customWidth="1"/>
    <col min="15610" max="15610" width="43.5703125" style="349" customWidth="1"/>
    <col min="15611" max="15611" width="12.7109375" style="349" customWidth="1"/>
    <col min="15612" max="15612" width="13.140625" style="349" customWidth="1"/>
    <col min="15613" max="15613" width="13.85546875" style="349" customWidth="1"/>
    <col min="15614" max="15614" width="11.85546875" style="349" customWidth="1"/>
    <col min="15615" max="15615" width="9.7109375" style="349" customWidth="1"/>
    <col min="15616" max="15616" width="14" style="349" customWidth="1"/>
    <col min="15617" max="15617" width="3" style="349" customWidth="1"/>
    <col min="15618" max="15618" width="21.140625" style="349" customWidth="1"/>
    <col min="15619" max="15864" width="8.5703125" style="349"/>
    <col min="15865" max="15865" width="1.7109375" style="349" customWidth="1"/>
    <col min="15866" max="15866" width="43.5703125" style="349" customWidth="1"/>
    <col min="15867" max="15867" width="12.7109375" style="349" customWidth="1"/>
    <col min="15868" max="15868" width="13.140625" style="349" customWidth="1"/>
    <col min="15869" max="15869" width="13.85546875" style="349" customWidth="1"/>
    <col min="15870" max="15870" width="11.85546875" style="349" customWidth="1"/>
    <col min="15871" max="15871" width="9.7109375" style="349" customWidth="1"/>
    <col min="15872" max="15872" width="14" style="349" customWidth="1"/>
    <col min="15873" max="15873" width="3" style="349" customWidth="1"/>
    <col min="15874" max="15874" width="21.140625" style="349" customWidth="1"/>
    <col min="15875" max="16120" width="8.5703125" style="349"/>
    <col min="16121" max="16121" width="1.7109375" style="349" customWidth="1"/>
    <col min="16122" max="16122" width="43.5703125" style="349" customWidth="1"/>
    <col min="16123" max="16123" width="12.7109375" style="349" customWidth="1"/>
    <col min="16124" max="16124" width="13.140625" style="349" customWidth="1"/>
    <col min="16125" max="16125" width="13.85546875" style="349" customWidth="1"/>
    <col min="16126" max="16126" width="11.85546875" style="349" customWidth="1"/>
    <col min="16127" max="16127" width="9.7109375" style="349" customWidth="1"/>
    <col min="16128" max="16128" width="14" style="349" customWidth="1"/>
    <col min="16129" max="16129" width="3" style="349" customWidth="1"/>
    <col min="16130" max="16130" width="21.140625" style="349" customWidth="1"/>
    <col min="16131" max="16384" width="8.5703125" style="349"/>
  </cols>
  <sheetData>
    <row r="1" spans="2:9" ht="15.75" customHeight="1" thickBot="1"/>
    <row r="2" spans="2:9" ht="18.75" customHeight="1">
      <c r="B2" s="583" t="s">
        <v>0</v>
      </c>
      <c r="C2" s="584"/>
      <c r="F2" s="348" t="s">
        <v>998</v>
      </c>
    </row>
    <row r="3" spans="2:9" ht="18.75" customHeight="1" thickBot="1">
      <c r="B3" s="589" t="s">
        <v>995</v>
      </c>
      <c r="C3" s="590"/>
    </row>
    <row r="4" spans="2:9" s="351" customFormat="1" ht="16.5" customHeight="1">
      <c r="B4" s="585" t="s">
        <v>858</v>
      </c>
      <c r="C4" s="587" t="s">
        <v>859</v>
      </c>
      <c r="D4" s="541"/>
      <c r="E4" s="350"/>
      <c r="F4" s="350"/>
      <c r="G4" s="350"/>
      <c r="H4" s="350"/>
      <c r="I4" s="350"/>
    </row>
    <row r="5" spans="2:9" s="351" customFormat="1" ht="21.75" customHeight="1" thickBot="1">
      <c r="B5" s="586"/>
      <c r="C5" s="588"/>
      <c r="D5" s="542"/>
      <c r="E5" s="352"/>
      <c r="F5" s="350"/>
      <c r="G5" s="350"/>
      <c r="H5" s="350"/>
      <c r="I5" s="350"/>
    </row>
    <row r="6" spans="2:9" ht="15" customHeight="1" thickBot="1">
      <c r="B6" s="579" t="s">
        <v>860</v>
      </c>
      <c r="C6" s="580"/>
      <c r="F6" s="355"/>
      <c r="G6" s="355"/>
    </row>
    <row r="7" spans="2:9" ht="29.25" customHeight="1">
      <c r="B7" s="357" t="s">
        <v>861</v>
      </c>
      <c r="C7" s="532">
        <f>+'EDIFICIOS Y TERRENOS'!F67</f>
        <v>11768932411</v>
      </c>
      <c r="D7" s="540">
        <f>+C8+C15+C21+C29+C31</f>
        <v>658094384.20000005</v>
      </c>
    </row>
    <row r="8" spans="2:9" ht="29.25" customHeight="1">
      <c r="B8" s="358" t="s">
        <v>968</v>
      </c>
      <c r="C8" s="533">
        <f>+C7*5%</f>
        <v>588446620.55000007</v>
      </c>
    </row>
    <row r="9" spans="2:9" ht="19.5" customHeight="1">
      <c r="B9" s="357" t="s">
        <v>862</v>
      </c>
      <c r="C9" s="534">
        <f>+'EDIFICIOS Y TERRENOS'!F74</f>
        <v>1060000000</v>
      </c>
    </row>
    <row r="10" spans="2:9" ht="19.5" customHeight="1">
      <c r="B10" s="357" t="s">
        <v>863</v>
      </c>
      <c r="C10" s="532">
        <f>+'CONTENIDOS - ENSERES - OTROS'!B7</f>
        <v>87296029</v>
      </c>
      <c r="D10" s="540">
        <f>+C10+C11</f>
        <v>170112974</v>
      </c>
    </row>
    <row r="11" spans="2:9" ht="19.5" customHeight="1">
      <c r="B11" s="357" t="s">
        <v>869</v>
      </c>
      <c r="C11" s="532">
        <f>+'CONTENIDOS - ENSERES - OTROS'!B13</f>
        <v>82816945</v>
      </c>
    </row>
    <row r="12" spans="2:9" ht="19.5" customHeight="1">
      <c r="B12" s="357" t="s">
        <v>864</v>
      </c>
      <c r="C12" s="532">
        <f>+'CONTENIDOS - ENSERES - OTROS'!B8</f>
        <v>99527101</v>
      </c>
      <c r="D12" s="540">
        <f>+C12+C26</f>
        <v>169871681</v>
      </c>
    </row>
    <row r="13" spans="2:9" ht="19.5" customHeight="1">
      <c r="B13" s="357" t="s">
        <v>865</v>
      </c>
      <c r="C13" s="532">
        <f>+'CONTENIDOS - ENSERES - OTROS'!B9</f>
        <v>17065927</v>
      </c>
    </row>
    <row r="14" spans="2:9" ht="19.5" customHeight="1">
      <c r="B14" s="357" t="s">
        <v>866</v>
      </c>
      <c r="C14" s="532">
        <f>+'CONTENIDOS - ENSERES - OTROS'!B10</f>
        <v>7999598</v>
      </c>
    </row>
    <row r="15" spans="2:9" ht="19.5" customHeight="1">
      <c r="B15" s="358" t="s">
        <v>968</v>
      </c>
      <c r="C15" s="533">
        <f>+(C10+C12+C13+C14+C11)*5%</f>
        <v>14735280</v>
      </c>
    </row>
    <row r="16" spans="2:9" ht="19.5" customHeight="1">
      <c r="B16" s="357" t="s">
        <v>867</v>
      </c>
      <c r="C16" s="532">
        <f>+'CONTENIDOS - ENSERES - OTROS'!B11</f>
        <v>19449649</v>
      </c>
    </row>
    <row r="17" spans="2:6" ht="19.5" customHeight="1">
      <c r="B17" s="359" t="s">
        <v>868</v>
      </c>
      <c r="C17" s="532">
        <f>+'CONTENIDOS - ENSERES - OTROS'!B12</f>
        <v>164028299</v>
      </c>
    </row>
    <row r="18" spans="2:6" ht="19.5" customHeight="1">
      <c r="B18" s="357" t="s">
        <v>870</v>
      </c>
      <c r="C18" s="532">
        <f>+'CONTENIDOS - ENSERES - OTROS'!B14</f>
        <v>20000000</v>
      </c>
      <c r="D18" s="540">
        <f>+C18+C28</f>
        <v>270856651</v>
      </c>
    </row>
    <row r="19" spans="2:6" ht="19.5" customHeight="1">
      <c r="B19" s="357" t="s">
        <v>871</v>
      </c>
      <c r="C19" s="532">
        <f>+'CONTENIDOS - ENSERES - OTROS'!B15</f>
        <v>2000000</v>
      </c>
    </row>
    <row r="20" spans="2:6" ht="19.5" customHeight="1">
      <c r="B20" s="357" t="s">
        <v>872</v>
      </c>
      <c r="C20" s="532">
        <f>+'CONTENIDOS - ENSERES - OTROS'!B16</f>
        <v>60073750</v>
      </c>
    </row>
    <row r="21" spans="2:6" ht="19.5" customHeight="1">
      <c r="B21" s="358" t="s">
        <v>968</v>
      </c>
      <c r="C21" s="533">
        <f>+C20*5%</f>
        <v>3003687.5</v>
      </c>
    </row>
    <row r="22" spans="2:6" ht="15.75" customHeight="1">
      <c r="B22" s="359" t="s">
        <v>972</v>
      </c>
      <c r="C22" s="535">
        <f>+'VEHIC Y MAQUI. REPOSO'!D9</f>
        <v>97800000</v>
      </c>
      <c r="D22" s="540">
        <f>+C22+C23</f>
        <v>127900000</v>
      </c>
      <c r="E22" s="353"/>
      <c r="F22" s="353"/>
    </row>
    <row r="23" spans="2:6" ht="15.75" customHeight="1">
      <c r="B23" s="357" t="s">
        <v>973</v>
      </c>
      <c r="C23" s="534">
        <f>+'VEHIC Y MAQUI. REPOSO'!D17</f>
        <v>30100000</v>
      </c>
      <c r="E23" s="353"/>
      <c r="F23" s="353"/>
    </row>
    <row r="24" spans="2:6" ht="15.75" customHeight="1">
      <c r="B24" s="357" t="s">
        <v>873</v>
      </c>
      <c r="C24" s="532">
        <f>+'EQ ELEC - DATOS -COM - PORTAT.'!B7</f>
        <v>140542175</v>
      </c>
      <c r="D24" s="540">
        <f>+C24+C25</f>
        <v>295897129</v>
      </c>
      <c r="E24" s="353"/>
      <c r="F24" s="353"/>
    </row>
    <row r="25" spans="2:6" ht="15.75" customHeight="1">
      <c r="B25" s="357" t="s">
        <v>874</v>
      </c>
      <c r="C25" s="532">
        <f>+'EQ ELEC - DATOS -COM - PORTAT.'!B8</f>
        <v>155354954</v>
      </c>
      <c r="E25" s="353"/>
      <c r="F25" s="353"/>
    </row>
    <row r="26" spans="2:6" ht="15.75" customHeight="1">
      <c r="B26" s="357" t="s">
        <v>864</v>
      </c>
      <c r="C26" s="532">
        <f>+'EQ ELEC - DATOS -COM - PORTAT.'!B9</f>
        <v>70344580</v>
      </c>
      <c r="E26" s="353"/>
      <c r="F26" s="353"/>
    </row>
    <row r="27" spans="2:6" ht="15.75" customHeight="1">
      <c r="B27" s="357" t="s">
        <v>875</v>
      </c>
      <c r="C27" s="532">
        <f>+'EQ ELEC - DATOS -COM - PORTAT.'!B10</f>
        <v>281439098</v>
      </c>
      <c r="E27" s="353"/>
      <c r="F27" s="353"/>
    </row>
    <row r="28" spans="2:6" ht="15.75" customHeight="1">
      <c r="B28" s="357" t="s">
        <v>876</v>
      </c>
      <c r="C28" s="532">
        <f>+'EQ ELEC - DATOS -COM - PORTAT.'!B11</f>
        <v>250856651</v>
      </c>
      <c r="E28" s="353"/>
      <c r="F28" s="353"/>
    </row>
    <row r="29" spans="2:6" ht="15.75" customHeight="1">
      <c r="B29" s="358" t="s">
        <v>968</v>
      </c>
      <c r="C29" s="533">
        <f>SUM(C24:C28)*5%</f>
        <v>44926872.900000006</v>
      </c>
      <c r="E29" s="353"/>
      <c r="F29" s="353"/>
    </row>
    <row r="30" spans="2:6" ht="15.75" customHeight="1">
      <c r="B30" s="357" t="s">
        <v>877</v>
      </c>
      <c r="C30" s="532">
        <f>+'EQ ELEC - DATOS -COM - PORTAT.'!B12</f>
        <v>139638465</v>
      </c>
      <c r="E30" s="353"/>
      <c r="F30" s="353"/>
    </row>
    <row r="31" spans="2:6" ht="15.75" customHeight="1">
      <c r="B31" s="358" t="s">
        <v>968</v>
      </c>
      <c r="C31" s="533">
        <f>+C30*5%</f>
        <v>6981923.25</v>
      </c>
      <c r="E31" s="353"/>
      <c r="F31" s="353"/>
    </row>
    <row r="32" spans="2:6" ht="15.75" customHeight="1" thickBot="1">
      <c r="B32" s="360" t="s">
        <v>878</v>
      </c>
      <c r="C32" s="532">
        <v>500000000</v>
      </c>
    </row>
    <row r="33" spans="2:3" ht="15" customHeight="1" thickBot="1">
      <c r="B33" s="361" t="s">
        <v>879</v>
      </c>
      <c r="C33" s="536">
        <f>SUM(C7:C32)</f>
        <v>15713360016.199999</v>
      </c>
    </row>
    <row r="34" spans="2:3" ht="15" customHeight="1" thickBot="1">
      <c r="B34" s="577" t="s">
        <v>880</v>
      </c>
      <c r="C34" s="578"/>
    </row>
    <row r="35" spans="2:3" ht="15" customHeight="1">
      <c r="B35" s="359" t="s">
        <v>881</v>
      </c>
      <c r="C35" s="535">
        <f>+'TR. MAQUINARIA Y EQUIPO'!C20</f>
        <v>2958862020.3499999</v>
      </c>
    </row>
    <row r="36" spans="2:3" ht="15" customHeight="1" thickBot="1">
      <c r="B36" s="358" t="s">
        <v>968</v>
      </c>
      <c r="C36" s="533">
        <f>+C35*5%</f>
        <v>147943101.01750001</v>
      </c>
    </row>
    <row r="37" spans="2:3" ht="15" customHeight="1" thickBot="1">
      <c r="B37" s="361" t="s">
        <v>879</v>
      </c>
      <c r="C37" s="362">
        <f>+C35+C36</f>
        <v>3106805121.3674998</v>
      </c>
    </row>
    <row r="38" spans="2:3" ht="15" customHeight="1" thickBot="1">
      <c r="B38" s="577" t="s">
        <v>888</v>
      </c>
      <c r="C38" s="578"/>
    </row>
    <row r="39" spans="2:3" ht="17.25" customHeight="1">
      <c r="B39" s="359" t="s">
        <v>999</v>
      </c>
      <c r="C39" s="535">
        <f>+AUTOMOVILES!E16</f>
        <v>67000000</v>
      </c>
    </row>
    <row r="40" spans="2:3" ht="17.25" customHeight="1" thickBot="1">
      <c r="B40" s="359" t="s">
        <v>1000</v>
      </c>
      <c r="C40" s="535">
        <f>+AUTOMOVILES!E26</f>
        <v>1451300000</v>
      </c>
    </row>
    <row r="41" spans="2:3" ht="15" customHeight="1" thickBot="1">
      <c r="B41" s="361" t="s">
        <v>879</v>
      </c>
      <c r="C41" s="362">
        <f>SUM(C39:C40)</f>
        <v>1518300000</v>
      </c>
    </row>
    <row r="42" spans="2:3" ht="15" customHeight="1" thickBot="1">
      <c r="B42" s="581" t="s">
        <v>882</v>
      </c>
      <c r="C42" s="582"/>
    </row>
    <row r="43" spans="2:3" ht="15" customHeight="1" thickBot="1">
      <c r="B43" s="359" t="s">
        <v>883</v>
      </c>
      <c r="C43" s="535">
        <f>+RCE!B7</f>
        <v>150000000</v>
      </c>
    </row>
    <row r="44" spans="2:3" ht="15" customHeight="1" thickBot="1">
      <c r="B44" s="361" t="s">
        <v>879</v>
      </c>
      <c r="C44" s="362">
        <f>C43</f>
        <v>150000000</v>
      </c>
    </row>
    <row r="45" spans="2:3" ht="15" customHeight="1" thickBot="1">
      <c r="B45" s="577" t="s">
        <v>884</v>
      </c>
      <c r="C45" s="578"/>
    </row>
    <row r="46" spans="2:3" ht="15" customHeight="1" thickBot="1">
      <c r="B46" s="359" t="s">
        <v>885</v>
      </c>
      <c r="C46" s="535">
        <f>+'RC SERV. PUBLICOS'!D6</f>
        <v>202000000</v>
      </c>
    </row>
    <row r="47" spans="2:3" ht="15" customHeight="1" thickBot="1">
      <c r="B47" s="361" t="s">
        <v>879</v>
      </c>
      <c r="C47" s="362">
        <f>C46</f>
        <v>202000000</v>
      </c>
    </row>
    <row r="48" spans="2:3" ht="15" customHeight="1" thickBot="1">
      <c r="B48" s="577" t="s">
        <v>886</v>
      </c>
      <c r="C48" s="578"/>
    </row>
    <row r="49" spans="2:4" ht="15" customHeight="1" thickBot="1">
      <c r="B49" s="359" t="s">
        <v>887</v>
      </c>
      <c r="C49" s="535">
        <f>+MANEJO!D6</f>
        <v>100000000</v>
      </c>
    </row>
    <row r="50" spans="2:4" ht="15" customHeight="1" thickBot="1">
      <c r="B50" s="361" t="s">
        <v>879</v>
      </c>
      <c r="C50" s="363">
        <f>C49</f>
        <v>100000000</v>
      </c>
    </row>
    <row r="51" spans="2:4" ht="27.75" customHeight="1" thickBot="1">
      <c r="B51" s="577" t="s">
        <v>889</v>
      </c>
      <c r="C51" s="578"/>
    </row>
    <row r="52" spans="2:4" ht="15" customHeight="1" thickBot="1">
      <c r="B52" s="359" t="s">
        <v>890</v>
      </c>
      <c r="C52" s="364" t="s">
        <v>56</v>
      </c>
    </row>
    <row r="53" spans="2:4" ht="15" customHeight="1" thickBot="1">
      <c r="B53" s="361" t="s">
        <v>879</v>
      </c>
      <c r="C53" s="362" t="str">
        <f>C52</f>
        <v>100 SMMLV</v>
      </c>
    </row>
    <row r="54" spans="2:4" ht="15" customHeight="1" thickBot="1">
      <c r="B54" s="577" t="s">
        <v>891</v>
      </c>
      <c r="C54" s="578"/>
    </row>
    <row r="55" spans="2:4" ht="15" customHeight="1" thickBot="1">
      <c r="B55" s="365" t="s">
        <v>982</v>
      </c>
      <c r="C55" s="539">
        <f>+SOAT1!E13</f>
        <v>4597400</v>
      </c>
    </row>
    <row r="56" spans="2:4" ht="15" customHeight="1" thickBot="1">
      <c r="B56" s="577" t="s">
        <v>892</v>
      </c>
      <c r="C56" s="578"/>
    </row>
    <row r="57" spans="2:4" ht="15" customHeight="1">
      <c r="B57" s="366" t="s">
        <v>969</v>
      </c>
      <c r="C57" s="367">
        <f>+'VIDA GRUPO'!D7</f>
        <v>119219700</v>
      </c>
      <c r="D57" s="543">
        <f>+C57+C58+C59</f>
        <v>1311416700</v>
      </c>
    </row>
    <row r="58" spans="2:4" ht="15" customHeight="1">
      <c r="B58" s="366" t="s">
        <v>970</v>
      </c>
      <c r="C58" s="367">
        <f>+'VIDA GRUPO'!D7</f>
        <v>119219700</v>
      </c>
    </row>
    <row r="59" spans="2:4" ht="15" customHeight="1" thickBot="1">
      <c r="B59" s="366" t="s">
        <v>971</v>
      </c>
      <c r="C59" s="368">
        <f>+C58*9</f>
        <v>1072977300</v>
      </c>
    </row>
    <row r="60" spans="2:4" ht="15" customHeight="1" thickBot="1">
      <c r="B60" s="361" t="s">
        <v>893</v>
      </c>
      <c r="C60" s="362" t="s">
        <v>894</v>
      </c>
    </row>
    <row r="61" spans="2:4" ht="62.25" customHeight="1" thickBot="1">
      <c r="B61" s="356" t="s">
        <v>988</v>
      </c>
      <c r="C61" s="369">
        <v>5210941</v>
      </c>
    </row>
  </sheetData>
  <mergeCells count="13">
    <mergeCell ref="B6:C6"/>
    <mergeCell ref="B34:C34"/>
    <mergeCell ref="B42:C42"/>
    <mergeCell ref="B2:C2"/>
    <mergeCell ref="B4:B5"/>
    <mergeCell ref="C4:C5"/>
    <mergeCell ref="B38:C38"/>
    <mergeCell ref="B3:C3"/>
    <mergeCell ref="B51:C51"/>
    <mergeCell ref="B54:C54"/>
    <mergeCell ref="B56:C56"/>
    <mergeCell ref="B45:C45"/>
    <mergeCell ref="B48:C48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79998168889431442"/>
  </sheetPr>
  <dimension ref="A1:F78"/>
  <sheetViews>
    <sheetView zoomScaleNormal="100" workbookViewId="0">
      <selection activeCell="C22" sqref="C22"/>
    </sheetView>
  </sheetViews>
  <sheetFormatPr baseColWidth="10" defaultColWidth="11.42578125" defaultRowHeight="12"/>
  <cols>
    <col min="1" max="1" width="19.5703125" style="370" customWidth="1"/>
    <col min="2" max="2" width="24.5703125" style="370" customWidth="1"/>
    <col min="3" max="3" width="33" style="370" customWidth="1"/>
    <col min="4" max="4" width="22.140625" style="370" customWidth="1"/>
    <col min="5" max="5" width="21.7109375" style="370" customWidth="1"/>
    <col min="6" max="6" width="20.5703125" style="400" customWidth="1"/>
    <col min="7" max="16384" width="11.42578125" style="370"/>
  </cols>
  <sheetData>
    <row r="1" spans="1:6" ht="15.75" customHeight="1">
      <c r="A1" s="596" t="s">
        <v>0</v>
      </c>
      <c r="B1" s="597"/>
      <c r="C1" s="597"/>
      <c r="D1" s="597"/>
      <c r="E1" s="597"/>
      <c r="F1" s="597"/>
    </row>
    <row r="2" spans="1:6">
      <c r="A2" s="596" t="s">
        <v>987</v>
      </c>
      <c r="B2" s="597"/>
      <c r="C2" s="597"/>
      <c r="D2" s="597"/>
      <c r="E2" s="597"/>
      <c r="F2" s="597"/>
    </row>
    <row r="4" spans="1:6">
      <c r="A4" s="592" t="s">
        <v>809</v>
      </c>
      <c r="B4" s="592"/>
      <c r="C4" s="592"/>
      <c r="D4" s="592"/>
      <c r="E4" s="592"/>
      <c r="F4" s="592"/>
    </row>
    <row r="5" spans="1:6">
      <c r="F5" s="398"/>
    </row>
    <row r="6" spans="1:6" ht="20.25" customHeight="1">
      <c r="A6" s="406" t="s">
        <v>162</v>
      </c>
      <c r="B6" s="406" t="s">
        <v>163</v>
      </c>
      <c r="C6" s="406" t="s">
        <v>164</v>
      </c>
      <c r="D6" s="406" t="s">
        <v>165</v>
      </c>
      <c r="E6" s="406" t="s">
        <v>166</v>
      </c>
      <c r="F6" s="407" t="s">
        <v>1001</v>
      </c>
    </row>
    <row r="7" spans="1:6">
      <c r="A7" s="371" t="s">
        <v>167</v>
      </c>
      <c r="B7" s="371" t="s">
        <v>168</v>
      </c>
      <c r="C7" s="372" t="s">
        <v>169</v>
      </c>
      <c r="D7" s="373" t="s">
        <v>895</v>
      </c>
      <c r="E7" s="374">
        <v>729</v>
      </c>
      <c r="F7" s="375">
        <v>379080000</v>
      </c>
    </row>
    <row r="8" spans="1:6" ht="24">
      <c r="A8" s="371" t="s">
        <v>170</v>
      </c>
      <c r="B8" s="376" t="s">
        <v>171</v>
      </c>
      <c r="C8" s="372" t="s">
        <v>172</v>
      </c>
      <c r="D8" s="377" t="s">
        <v>896</v>
      </c>
      <c r="E8" s="378">
        <v>328</v>
      </c>
      <c r="F8" s="375">
        <v>910000000</v>
      </c>
    </row>
    <row r="9" spans="1:6">
      <c r="A9" s="376" t="s">
        <v>173</v>
      </c>
      <c r="B9" s="379">
        <v>10303040067264</v>
      </c>
      <c r="C9" s="372" t="s">
        <v>897</v>
      </c>
      <c r="D9" s="377" t="s">
        <v>898</v>
      </c>
      <c r="E9" s="374">
        <v>480</v>
      </c>
      <c r="F9" s="375">
        <v>240000000</v>
      </c>
    </row>
    <row r="10" spans="1:6">
      <c r="A10" s="376" t="s">
        <v>173</v>
      </c>
      <c r="B10" s="379">
        <v>10303040067264</v>
      </c>
      <c r="C10" s="372" t="s">
        <v>174</v>
      </c>
      <c r="D10" s="377" t="s">
        <v>899</v>
      </c>
      <c r="E10" s="378">
        <v>1815</v>
      </c>
      <c r="F10" s="375">
        <v>961950000</v>
      </c>
    </row>
    <row r="11" spans="1:6">
      <c r="A11" s="371" t="s">
        <v>175</v>
      </c>
      <c r="B11" s="380">
        <v>10401220105369</v>
      </c>
      <c r="C11" s="372" t="s">
        <v>176</v>
      </c>
      <c r="D11" s="377" t="s">
        <v>900</v>
      </c>
      <c r="E11" s="378">
        <v>226</v>
      </c>
      <c r="F11" s="375">
        <v>106220000</v>
      </c>
    </row>
    <row r="12" spans="1:6" ht="24">
      <c r="A12" s="381" t="s">
        <v>177</v>
      </c>
      <c r="B12" s="376" t="s">
        <v>178</v>
      </c>
      <c r="C12" s="372" t="s">
        <v>179</v>
      </c>
      <c r="D12" s="377" t="s">
        <v>901</v>
      </c>
      <c r="E12" s="378">
        <v>90</v>
      </c>
      <c r="F12" s="375">
        <v>285000000</v>
      </c>
    </row>
    <row r="13" spans="1:6" ht="24">
      <c r="A13" s="376" t="s">
        <v>177</v>
      </c>
      <c r="B13" s="376" t="s">
        <v>178</v>
      </c>
      <c r="C13" s="372" t="s">
        <v>180</v>
      </c>
      <c r="D13" s="377" t="s">
        <v>901</v>
      </c>
      <c r="E13" s="378">
        <v>120</v>
      </c>
      <c r="F13" s="375">
        <v>56400000</v>
      </c>
    </row>
    <row r="14" spans="1:6" ht="24">
      <c r="A14" s="376" t="s">
        <v>177</v>
      </c>
      <c r="B14" s="376" t="s">
        <v>178</v>
      </c>
      <c r="C14" s="372" t="s">
        <v>181</v>
      </c>
      <c r="D14" s="377" t="s">
        <v>901</v>
      </c>
      <c r="E14" s="378">
        <v>164</v>
      </c>
      <c r="F14" s="375">
        <v>77080000</v>
      </c>
    </row>
    <row r="15" spans="1:6" ht="24">
      <c r="A15" s="371" t="s">
        <v>182</v>
      </c>
      <c r="B15" s="376" t="s">
        <v>183</v>
      </c>
      <c r="C15" s="372" t="s">
        <v>184</v>
      </c>
      <c r="D15" s="377" t="s">
        <v>902</v>
      </c>
      <c r="E15" s="378">
        <v>317</v>
      </c>
      <c r="F15" s="375">
        <v>168010000</v>
      </c>
    </row>
    <row r="16" spans="1:6">
      <c r="A16" s="371" t="s">
        <v>185</v>
      </c>
      <c r="B16" s="380">
        <v>10402980104274</v>
      </c>
      <c r="C16" s="372" t="s">
        <v>186</v>
      </c>
      <c r="D16" s="377" t="s">
        <v>903</v>
      </c>
      <c r="E16" s="378">
        <v>340</v>
      </c>
      <c r="F16" s="375">
        <v>159800000</v>
      </c>
    </row>
    <row r="17" spans="1:6" ht="24">
      <c r="A17" s="373" t="s">
        <v>187</v>
      </c>
      <c r="B17" s="380" t="s">
        <v>188</v>
      </c>
      <c r="C17" s="372" t="s">
        <v>189</v>
      </c>
      <c r="D17" s="377" t="s">
        <v>904</v>
      </c>
      <c r="E17" s="378">
        <v>460</v>
      </c>
      <c r="F17" s="375">
        <v>234600000</v>
      </c>
    </row>
    <row r="18" spans="1:6">
      <c r="A18" s="371" t="s">
        <v>190</v>
      </c>
      <c r="B18" s="376" t="s">
        <v>171</v>
      </c>
      <c r="C18" s="372" t="s">
        <v>191</v>
      </c>
      <c r="D18" s="377" t="s">
        <v>905</v>
      </c>
      <c r="E18" s="378">
        <v>911</v>
      </c>
      <c r="F18" s="375">
        <v>482830000</v>
      </c>
    </row>
    <row r="19" spans="1:6">
      <c r="A19" s="371" t="s">
        <v>192</v>
      </c>
      <c r="B19" s="380">
        <v>10303040067264</v>
      </c>
      <c r="C19" s="372" t="s">
        <v>193</v>
      </c>
      <c r="D19" s="377" t="s">
        <v>906</v>
      </c>
      <c r="E19" s="378">
        <v>697</v>
      </c>
      <c r="F19" s="375">
        <v>369410000</v>
      </c>
    </row>
    <row r="20" spans="1:6">
      <c r="A20" s="371" t="s">
        <v>194</v>
      </c>
      <c r="B20" s="376" t="s">
        <v>195</v>
      </c>
      <c r="C20" s="372" t="s">
        <v>196</v>
      </c>
      <c r="D20" s="377" t="s">
        <v>907</v>
      </c>
      <c r="E20" s="378">
        <v>239</v>
      </c>
      <c r="F20" s="375">
        <v>103965000</v>
      </c>
    </row>
    <row r="21" spans="1:6" ht="24">
      <c r="A21" s="371" t="s">
        <v>197</v>
      </c>
      <c r="B21" s="376" t="s">
        <v>198</v>
      </c>
      <c r="C21" s="372" t="s">
        <v>199</v>
      </c>
      <c r="D21" s="377" t="s">
        <v>908</v>
      </c>
      <c r="E21" s="378">
        <v>525</v>
      </c>
      <c r="F21" s="375">
        <v>228375000</v>
      </c>
    </row>
    <row r="22" spans="1:6" ht="24">
      <c r="A22" s="371" t="s">
        <v>200</v>
      </c>
      <c r="B22" s="380">
        <v>10722080344961</v>
      </c>
      <c r="C22" s="372" t="s">
        <v>201</v>
      </c>
      <c r="D22" s="377" t="s">
        <v>909</v>
      </c>
      <c r="E22" s="378">
        <v>404</v>
      </c>
      <c r="F22" s="375">
        <v>175740000</v>
      </c>
    </row>
    <row r="23" spans="1:6">
      <c r="A23" s="371" t="s">
        <v>202</v>
      </c>
      <c r="B23" s="376" t="s">
        <v>203</v>
      </c>
      <c r="C23" s="372" t="s">
        <v>204</v>
      </c>
      <c r="D23" s="377" t="s">
        <v>910</v>
      </c>
      <c r="E23" s="378">
        <v>678</v>
      </c>
      <c r="F23" s="375">
        <v>294930000</v>
      </c>
    </row>
    <row r="24" spans="1:6">
      <c r="A24" s="371" t="s">
        <v>202</v>
      </c>
      <c r="B24" s="376" t="s">
        <v>203</v>
      </c>
      <c r="C24" s="372" t="s">
        <v>205</v>
      </c>
      <c r="D24" s="377" t="s">
        <v>910</v>
      </c>
      <c r="E24" s="378">
        <v>71</v>
      </c>
      <c r="F24" s="375">
        <v>30885000</v>
      </c>
    </row>
    <row r="25" spans="1:6">
      <c r="A25" s="371" t="s">
        <v>206</v>
      </c>
      <c r="B25" s="376" t="s">
        <v>171</v>
      </c>
      <c r="C25" s="372" t="s">
        <v>207</v>
      </c>
      <c r="D25" s="377" t="s">
        <v>911</v>
      </c>
      <c r="E25" s="378">
        <v>217</v>
      </c>
      <c r="F25" s="375">
        <v>94395000</v>
      </c>
    </row>
    <row r="26" spans="1:6">
      <c r="A26" s="371" t="s">
        <v>208</v>
      </c>
      <c r="B26" s="376" t="s">
        <v>171</v>
      </c>
      <c r="C26" s="372" t="s">
        <v>209</v>
      </c>
      <c r="D26" s="377" t="s">
        <v>912</v>
      </c>
      <c r="E26" s="378">
        <v>659</v>
      </c>
      <c r="F26" s="375">
        <v>286665000</v>
      </c>
    </row>
    <row r="27" spans="1:6" ht="24">
      <c r="A27" s="371" t="s">
        <v>210</v>
      </c>
      <c r="B27" s="376" t="s">
        <v>171</v>
      </c>
      <c r="C27" s="372" t="s">
        <v>211</v>
      </c>
      <c r="D27" s="377" t="s">
        <v>913</v>
      </c>
      <c r="E27" s="378">
        <v>929</v>
      </c>
      <c r="F27" s="375">
        <v>404115000</v>
      </c>
    </row>
    <row r="28" spans="1:6" ht="24">
      <c r="A28" s="371" t="s">
        <v>212</v>
      </c>
      <c r="B28" s="376" t="s">
        <v>171</v>
      </c>
      <c r="C28" s="372" t="s">
        <v>213</v>
      </c>
      <c r="D28" s="377" t="s">
        <v>914</v>
      </c>
      <c r="E28" s="378">
        <v>336</v>
      </c>
      <c r="F28" s="375">
        <v>146160000</v>
      </c>
    </row>
    <row r="29" spans="1:6">
      <c r="A29" s="371" t="s">
        <v>214</v>
      </c>
      <c r="B29" s="376" t="s">
        <v>171</v>
      </c>
      <c r="C29" s="372" t="s">
        <v>215</v>
      </c>
      <c r="D29" s="377" t="s">
        <v>915</v>
      </c>
      <c r="E29" s="378">
        <v>356</v>
      </c>
      <c r="F29" s="375">
        <v>154860000</v>
      </c>
    </row>
    <row r="30" spans="1:6" ht="24">
      <c r="A30" s="371" t="s">
        <v>216</v>
      </c>
      <c r="B30" s="376" t="s">
        <v>171</v>
      </c>
      <c r="C30" s="372" t="s">
        <v>217</v>
      </c>
      <c r="D30" s="377" t="s">
        <v>916</v>
      </c>
      <c r="E30" s="378">
        <v>554</v>
      </c>
      <c r="F30" s="375">
        <v>240990000</v>
      </c>
    </row>
    <row r="31" spans="1:6" ht="24">
      <c r="A31" s="371" t="s">
        <v>218</v>
      </c>
      <c r="B31" s="376" t="s">
        <v>171</v>
      </c>
      <c r="C31" s="372" t="s">
        <v>219</v>
      </c>
      <c r="D31" s="377" t="s">
        <v>917</v>
      </c>
      <c r="E31" s="378">
        <v>256</v>
      </c>
      <c r="F31" s="375">
        <v>111360000</v>
      </c>
    </row>
    <row r="32" spans="1:6" ht="24">
      <c r="A32" s="371" t="s">
        <v>220</v>
      </c>
      <c r="B32" s="376" t="s">
        <v>171</v>
      </c>
      <c r="C32" s="372" t="s">
        <v>221</v>
      </c>
      <c r="D32" s="377" t="s">
        <v>918</v>
      </c>
      <c r="E32" s="378">
        <v>610</v>
      </c>
      <c r="F32" s="375">
        <v>265350000</v>
      </c>
    </row>
    <row r="33" spans="1:6">
      <c r="A33" s="371" t="s">
        <v>222</v>
      </c>
      <c r="B33" s="376" t="s">
        <v>171</v>
      </c>
      <c r="C33" s="372" t="s">
        <v>223</v>
      </c>
      <c r="D33" s="377" t="s">
        <v>919</v>
      </c>
      <c r="E33" s="378">
        <v>154</v>
      </c>
      <c r="F33" s="375">
        <v>66990000</v>
      </c>
    </row>
    <row r="34" spans="1:6">
      <c r="A34" s="371" t="s">
        <v>224</v>
      </c>
      <c r="B34" s="376" t="s">
        <v>171</v>
      </c>
      <c r="C34" s="372" t="s">
        <v>225</v>
      </c>
      <c r="D34" s="377" t="s">
        <v>920</v>
      </c>
      <c r="E34" s="378">
        <v>285</v>
      </c>
      <c r="F34" s="375">
        <v>123975000</v>
      </c>
    </row>
    <row r="35" spans="1:6" ht="24">
      <c r="A35" s="371" t="s">
        <v>226</v>
      </c>
      <c r="B35" s="376" t="s">
        <v>227</v>
      </c>
      <c r="C35" s="372" t="s">
        <v>228</v>
      </c>
      <c r="D35" s="377" t="s">
        <v>921</v>
      </c>
      <c r="E35" s="378">
        <v>178</v>
      </c>
      <c r="F35" s="375">
        <v>77430000</v>
      </c>
    </row>
    <row r="36" spans="1:6" ht="24">
      <c r="A36" s="371" t="s">
        <v>229</v>
      </c>
      <c r="B36" s="371" t="s">
        <v>229</v>
      </c>
      <c r="C36" s="372" t="s">
        <v>230</v>
      </c>
      <c r="D36" s="377" t="s">
        <v>922</v>
      </c>
      <c r="E36" s="378">
        <v>5800</v>
      </c>
      <c r="F36" s="375">
        <v>1320000000</v>
      </c>
    </row>
    <row r="37" spans="1:6" ht="24">
      <c r="A37" s="371" t="s">
        <v>231</v>
      </c>
      <c r="B37" s="376" t="s">
        <v>232</v>
      </c>
      <c r="C37" s="372" t="s">
        <v>233</v>
      </c>
      <c r="D37" s="377" t="s">
        <v>923</v>
      </c>
      <c r="E37" s="378">
        <v>180</v>
      </c>
      <c r="F37" s="375">
        <v>78300000</v>
      </c>
    </row>
    <row r="38" spans="1:6" ht="24">
      <c r="A38" s="371" t="s">
        <v>234</v>
      </c>
      <c r="B38" s="376" t="s">
        <v>171</v>
      </c>
      <c r="C38" s="372" t="s">
        <v>235</v>
      </c>
      <c r="D38" s="377" t="s">
        <v>918</v>
      </c>
      <c r="E38" s="378">
        <v>170</v>
      </c>
      <c r="F38" s="375">
        <v>73950000</v>
      </c>
    </row>
    <row r="39" spans="1:6" ht="24">
      <c r="A39" s="371" t="s">
        <v>234</v>
      </c>
      <c r="B39" s="376" t="s">
        <v>171</v>
      </c>
      <c r="C39" s="372" t="s">
        <v>236</v>
      </c>
      <c r="D39" s="377" t="s">
        <v>918</v>
      </c>
      <c r="E39" s="378">
        <v>170</v>
      </c>
      <c r="F39" s="375">
        <v>73950000</v>
      </c>
    </row>
    <row r="40" spans="1:6">
      <c r="A40" s="371" t="s">
        <v>237</v>
      </c>
      <c r="B40" s="376" t="s">
        <v>238</v>
      </c>
      <c r="C40" s="372" t="s">
        <v>239</v>
      </c>
      <c r="D40" s="377" t="s">
        <v>915</v>
      </c>
      <c r="E40" s="378">
        <v>252</v>
      </c>
      <c r="F40" s="375">
        <v>109620000</v>
      </c>
    </row>
    <row r="41" spans="1:6" ht="24">
      <c r="A41" s="371" t="s">
        <v>240</v>
      </c>
      <c r="B41" s="376" t="s">
        <v>241</v>
      </c>
      <c r="C41" s="372" t="s">
        <v>242</v>
      </c>
      <c r="D41" s="377" t="s">
        <v>924</v>
      </c>
      <c r="E41" s="378">
        <v>320</v>
      </c>
      <c r="F41" s="375">
        <v>139200000</v>
      </c>
    </row>
    <row r="42" spans="1:6">
      <c r="A42" s="371" t="s">
        <v>243</v>
      </c>
      <c r="B42" s="376" t="s">
        <v>244</v>
      </c>
      <c r="C42" s="372" t="s">
        <v>245</v>
      </c>
      <c r="D42" s="377" t="s">
        <v>907</v>
      </c>
      <c r="E42" s="378">
        <v>350</v>
      </c>
      <c r="F42" s="375">
        <v>152250000</v>
      </c>
    </row>
    <row r="43" spans="1:6">
      <c r="A43" s="371" t="s">
        <v>246</v>
      </c>
      <c r="B43" s="371" t="s">
        <v>247</v>
      </c>
      <c r="C43" s="372" t="s">
        <v>248</v>
      </c>
      <c r="D43" s="377" t="s">
        <v>925</v>
      </c>
      <c r="E43" s="378">
        <v>252</v>
      </c>
      <c r="F43" s="375">
        <v>133560000</v>
      </c>
    </row>
    <row r="44" spans="1:6">
      <c r="A44" s="371" t="s">
        <v>229</v>
      </c>
      <c r="B44" s="371" t="s">
        <v>229</v>
      </c>
      <c r="C44" s="372" t="s">
        <v>249</v>
      </c>
      <c r="D44" s="377" t="s">
        <v>926</v>
      </c>
      <c r="E44" s="378">
        <v>20</v>
      </c>
      <c r="F44" s="375">
        <v>32000000</v>
      </c>
    </row>
    <row r="45" spans="1:6">
      <c r="A45" s="371" t="s">
        <v>171</v>
      </c>
      <c r="B45" s="371" t="s">
        <v>171</v>
      </c>
      <c r="C45" s="372" t="s">
        <v>250</v>
      </c>
      <c r="D45" s="377" t="s">
        <v>927</v>
      </c>
      <c r="E45" s="378">
        <v>100</v>
      </c>
      <c r="F45" s="375">
        <v>802751328</v>
      </c>
    </row>
    <row r="46" spans="1:6">
      <c r="A46" s="371" t="s">
        <v>171</v>
      </c>
      <c r="B46" s="371" t="s">
        <v>171</v>
      </c>
      <c r="C46" s="372" t="s">
        <v>251</v>
      </c>
      <c r="D46" s="377" t="s">
        <v>912</v>
      </c>
      <c r="E46" s="378">
        <v>290</v>
      </c>
      <c r="F46" s="375">
        <v>325000000</v>
      </c>
    </row>
    <row r="47" spans="1:6">
      <c r="A47" s="371" t="s">
        <v>171</v>
      </c>
      <c r="B47" s="371" t="s">
        <v>171</v>
      </c>
      <c r="C47" s="372" t="s">
        <v>251</v>
      </c>
      <c r="D47" s="377" t="s">
        <v>925</v>
      </c>
      <c r="E47" s="378">
        <v>112</v>
      </c>
      <c r="F47" s="375">
        <v>195000000</v>
      </c>
    </row>
    <row r="48" spans="1:6" ht="24">
      <c r="A48" s="371" t="s">
        <v>229</v>
      </c>
      <c r="B48" s="371" t="s">
        <v>229</v>
      </c>
      <c r="C48" s="372" t="s">
        <v>252</v>
      </c>
      <c r="D48" s="377" t="s">
        <v>920</v>
      </c>
      <c r="E48" s="378">
        <v>36</v>
      </c>
      <c r="F48" s="375">
        <v>25500000</v>
      </c>
    </row>
    <row r="49" spans="1:6" ht="24">
      <c r="A49" s="371" t="s">
        <v>229</v>
      </c>
      <c r="B49" s="371" t="s">
        <v>229</v>
      </c>
      <c r="C49" s="372" t="s">
        <v>253</v>
      </c>
      <c r="D49" s="377" t="s">
        <v>920</v>
      </c>
      <c r="E49" s="378">
        <v>70</v>
      </c>
      <c r="F49" s="375">
        <v>56525000</v>
      </c>
    </row>
    <row r="50" spans="1:6" ht="24">
      <c r="A50" s="371" t="s">
        <v>254</v>
      </c>
      <c r="B50" s="371" t="s">
        <v>229</v>
      </c>
      <c r="C50" s="372" t="s">
        <v>255</v>
      </c>
      <c r="D50" s="377" t="s">
        <v>928</v>
      </c>
      <c r="E50" s="378">
        <v>70</v>
      </c>
      <c r="F50" s="375">
        <v>56525000</v>
      </c>
    </row>
    <row r="51" spans="1:6" ht="24">
      <c r="A51" s="371" t="s">
        <v>229</v>
      </c>
      <c r="B51" s="371" t="s">
        <v>229</v>
      </c>
      <c r="C51" s="372" t="s">
        <v>256</v>
      </c>
      <c r="D51" s="377" t="s">
        <v>928</v>
      </c>
      <c r="E51" s="378">
        <v>65</v>
      </c>
      <c r="F51" s="375">
        <v>98650000</v>
      </c>
    </row>
    <row r="52" spans="1:6">
      <c r="A52" s="371"/>
      <c r="B52" s="371"/>
      <c r="C52" s="372" t="s">
        <v>257</v>
      </c>
      <c r="D52" s="377" t="s">
        <v>929</v>
      </c>
      <c r="E52" s="378"/>
      <c r="F52" s="375">
        <v>135538109</v>
      </c>
    </row>
    <row r="53" spans="1:6" ht="24">
      <c r="A53" s="371"/>
      <c r="B53" s="371"/>
      <c r="C53" s="372" t="s">
        <v>258</v>
      </c>
      <c r="D53" s="377" t="s">
        <v>930</v>
      </c>
      <c r="E53" s="378"/>
      <c r="F53" s="375">
        <v>195116200</v>
      </c>
    </row>
    <row r="54" spans="1:6">
      <c r="A54" s="371"/>
      <c r="B54" s="371"/>
      <c r="C54" s="372" t="s">
        <v>259</v>
      </c>
      <c r="D54" s="377" t="s">
        <v>931</v>
      </c>
      <c r="E54" s="378"/>
      <c r="F54" s="375">
        <v>8204400</v>
      </c>
    </row>
    <row r="55" spans="1:6">
      <c r="A55" s="371"/>
      <c r="B55" s="371"/>
      <c r="C55" s="372" t="s">
        <v>260</v>
      </c>
      <c r="D55" s="377" t="s">
        <v>932</v>
      </c>
      <c r="E55" s="378"/>
      <c r="F55" s="375">
        <v>73682374</v>
      </c>
    </row>
    <row r="56" spans="1:6">
      <c r="A56" s="371"/>
      <c r="B56" s="371"/>
      <c r="C56" s="372" t="s">
        <v>261</v>
      </c>
      <c r="D56" s="377" t="s">
        <v>932</v>
      </c>
      <c r="E56" s="378"/>
      <c r="F56" s="375">
        <v>300000000</v>
      </c>
    </row>
    <row r="57" spans="1:6">
      <c r="A57" s="371" t="s">
        <v>262</v>
      </c>
      <c r="B57" s="376" t="s">
        <v>263</v>
      </c>
      <c r="C57" s="372" t="s">
        <v>264</v>
      </c>
      <c r="D57" s="377" t="s">
        <v>933</v>
      </c>
      <c r="E57" s="378">
        <v>85</v>
      </c>
      <c r="F57" s="375">
        <v>36820000</v>
      </c>
    </row>
    <row r="58" spans="1:6">
      <c r="A58" s="599" t="s">
        <v>265</v>
      </c>
      <c r="B58" s="599"/>
      <c r="C58" s="599"/>
      <c r="D58" s="599"/>
      <c r="E58" s="599"/>
      <c r="F58" s="382">
        <f>SUM(F7:F57)</f>
        <v>11658707411</v>
      </c>
    </row>
    <row r="59" spans="1:6" ht="24">
      <c r="A59" s="383" t="s">
        <v>173</v>
      </c>
      <c r="B59" s="380">
        <v>10303040067264</v>
      </c>
      <c r="C59" s="372" t="s">
        <v>266</v>
      </c>
      <c r="D59" s="377" t="s">
        <v>934</v>
      </c>
      <c r="E59" s="384">
        <v>30</v>
      </c>
      <c r="F59" s="385">
        <v>1050000</v>
      </c>
    </row>
    <row r="60" spans="1:6">
      <c r="A60" s="371" t="s">
        <v>185</v>
      </c>
      <c r="B60" s="380">
        <v>10402980104274</v>
      </c>
      <c r="C60" s="372" t="s">
        <v>267</v>
      </c>
      <c r="D60" s="377" t="s">
        <v>935</v>
      </c>
      <c r="E60" s="384">
        <v>40</v>
      </c>
      <c r="F60" s="385">
        <v>15200000</v>
      </c>
    </row>
    <row r="61" spans="1:6" ht="24">
      <c r="A61" s="383" t="s">
        <v>171</v>
      </c>
      <c r="B61" s="383" t="s">
        <v>171</v>
      </c>
      <c r="C61" s="372" t="s">
        <v>266</v>
      </c>
      <c r="D61" s="377" t="s">
        <v>936</v>
      </c>
      <c r="E61" s="384">
        <v>30</v>
      </c>
      <c r="F61" s="385">
        <v>19500000</v>
      </c>
    </row>
    <row r="62" spans="1:6" ht="24">
      <c r="A62" s="383" t="s">
        <v>229</v>
      </c>
      <c r="B62" s="383" t="s">
        <v>229</v>
      </c>
      <c r="C62" s="372" t="s">
        <v>267</v>
      </c>
      <c r="D62" s="377" t="s">
        <v>937</v>
      </c>
      <c r="E62" s="384">
        <v>35</v>
      </c>
      <c r="F62" s="385">
        <v>11200000</v>
      </c>
    </row>
    <row r="63" spans="1:6" ht="36">
      <c r="A63" s="383" t="s">
        <v>171</v>
      </c>
      <c r="B63" s="383" t="s">
        <v>171</v>
      </c>
      <c r="C63" s="372" t="s">
        <v>268</v>
      </c>
      <c r="D63" s="377" t="s">
        <v>938</v>
      </c>
      <c r="E63" s="384">
        <v>500</v>
      </c>
      <c r="F63" s="385">
        <v>12500000</v>
      </c>
    </row>
    <row r="64" spans="1:6">
      <c r="A64" s="386">
        <v>10000030008000</v>
      </c>
      <c r="B64" s="387"/>
      <c r="C64" s="388" t="s">
        <v>269</v>
      </c>
      <c r="D64" s="389" t="s">
        <v>939</v>
      </c>
      <c r="E64" s="387"/>
      <c r="F64" s="390">
        <v>30775000</v>
      </c>
    </row>
    <row r="65" spans="1:6">
      <c r="A65" s="388" t="s">
        <v>814</v>
      </c>
      <c r="B65" s="388" t="s">
        <v>815</v>
      </c>
      <c r="C65" s="372"/>
      <c r="D65" s="372"/>
      <c r="E65" s="391"/>
      <c r="F65" s="385">
        <v>20000000</v>
      </c>
    </row>
    <row r="66" spans="1:6">
      <c r="A66" s="599" t="s">
        <v>265</v>
      </c>
      <c r="B66" s="599"/>
      <c r="C66" s="599"/>
      <c r="D66" s="599"/>
      <c r="E66" s="599"/>
      <c r="F66" s="382">
        <f>SUM(F59:F65)</f>
        <v>110225000</v>
      </c>
    </row>
    <row r="67" spans="1:6">
      <c r="A67" s="598" t="s">
        <v>270</v>
      </c>
      <c r="B67" s="598"/>
      <c r="C67" s="598"/>
      <c r="D67" s="598"/>
      <c r="E67" s="598"/>
      <c r="F67" s="392">
        <f>+F58+F66</f>
        <v>11768932411</v>
      </c>
    </row>
    <row r="68" spans="1:6">
      <c r="A68" s="393"/>
      <c r="B68" s="393"/>
      <c r="C68" s="393"/>
      <c r="D68" s="393"/>
      <c r="E68" s="393"/>
      <c r="F68" s="394"/>
    </row>
    <row r="69" spans="1:6">
      <c r="A69" s="593" t="s">
        <v>953</v>
      </c>
      <c r="B69" s="594"/>
      <c r="C69" s="594"/>
      <c r="D69" s="594"/>
      <c r="E69" s="595"/>
      <c r="F69" s="395">
        <f>+F67*5%</f>
        <v>588446620.55000007</v>
      </c>
    </row>
    <row r="70" spans="1:6">
      <c r="A70" s="592" t="s">
        <v>23</v>
      </c>
      <c r="B70" s="592"/>
      <c r="C70" s="592"/>
      <c r="D70" s="592"/>
      <c r="E70" s="592"/>
      <c r="F70" s="398"/>
    </row>
    <row r="72" spans="1:6">
      <c r="A72" s="386" t="s">
        <v>940</v>
      </c>
      <c r="B72" s="387"/>
      <c r="C72" s="388"/>
      <c r="D72" s="389"/>
      <c r="E72" s="387"/>
      <c r="F72" s="390">
        <v>500000000</v>
      </c>
    </row>
    <row r="73" spans="1:6" ht="24">
      <c r="A73" s="388" t="s">
        <v>941</v>
      </c>
      <c r="B73" s="388" t="s">
        <v>942</v>
      </c>
      <c r="C73" s="372" t="s">
        <v>943</v>
      </c>
      <c r="D73" s="372" t="s">
        <v>944</v>
      </c>
      <c r="E73" s="391"/>
      <c r="F73" s="385">
        <v>560000000</v>
      </c>
    </row>
    <row r="74" spans="1:6">
      <c r="A74" s="591" t="s">
        <v>945</v>
      </c>
      <c r="B74" s="591"/>
      <c r="C74" s="591"/>
      <c r="D74" s="591"/>
      <c r="E74" s="591"/>
      <c r="F74" s="396">
        <f>+F72+F73</f>
        <v>1060000000</v>
      </c>
    </row>
    <row r="77" spans="1:6">
      <c r="F77" s="399"/>
    </row>
    <row r="78" spans="1:6">
      <c r="F78" s="399"/>
    </row>
  </sheetData>
  <mergeCells count="9">
    <mergeCell ref="A74:E74"/>
    <mergeCell ref="A70:E70"/>
    <mergeCell ref="A69:E69"/>
    <mergeCell ref="A1:F1"/>
    <mergeCell ref="A2:F2"/>
    <mergeCell ref="A4:F4"/>
    <mergeCell ref="A67:E67"/>
    <mergeCell ref="A58:E58"/>
    <mergeCell ref="A66:E66"/>
  </mergeCells>
  <conditionalFormatting sqref="A60">
    <cfRule type="duplicateValues" dxfId="2" priority="2"/>
  </conditionalFormatting>
  <conditionalFormatting sqref="B59">
    <cfRule type="duplicateValues" dxfId="1" priority="3"/>
  </conditionalFormatting>
  <conditionalFormatting sqref="B60">
    <cfRule type="duplicateValues" dxfId="0" priority="1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79998168889431442"/>
  </sheetPr>
  <dimension ref="A1:F18"/>
  <sheetViews>
    <sheetView workbookViewId="0">
      <selection activeCell="F4" sqref="F4"/>
    </sheetView>
  </sheetViews>
  <sheetFormatPr baseColWidth="10" defaultColWidth="47.28515625" defaultRowHeight="14.25" customHeight="1"/>
  <cols>
    <col min="1" max="1" width="47.28515625" style="370"/>
    <col min="2" max="2" width="21.28515625" style="370" customWidth="1"/>
    <col min="3" max="3" width="12" style="370" bestFit="1" customWidth="1"/>
    <col min="4" max="16384" width="47.28515625" style="370"/>
  </cols>
  <sheetData>
    <row r="1" spans="1:6" ht="14.25" customHeight="1">
      <c r="A1" s="596" t="s">
        <v>0</v>
      </c>
      <c r="B1" s="597"/>
      <c r="C1" s="401"/>
      <c r="D1" s="401"/>
      <c r="E1" s="401"/>
      <c r="F1" s="401"/>
    </row>
    <row r="2" spans="1:6" ht="14.25" customHeight="1">
      <c r="A2" s="596" t="s">
        <v>987</v>
      </c>
      <c r="B2" s="597"/>
      <c r="C2" s="401"/>
      <c r="D2" s="401"/>
      <c r="E2" s="401"/>
      <c r="F2" s="401"/>
    </row>
    <row r="4" spans="1:6" ht="14.25" customHeight="1">
      <c r="A4" s="592" t="s">
        <v>817</v>
      </c>
      <c r="B4" s="592"/>
    </row>
    <row r="6" spans="1:6" ht="14.25" customHeight="1">
      <c r="A6" s="406" t="s">
        <v>816</v>
      </c>
      <c r="B6" s="406" t="s">
        <v>158</v>
      </c>
    </row>
    <row r="7" spans="1:6" ht="14.25" customHeight="1">
      <c r="A7" s="109" t="s">
        <v>12</v>
      </c>
      <c r="B7" s="402">
        <v>87296029</v>
      </c>
    </row>
    <row r="8" spans="1:6" ht="14.25" customHeight="1">
      <c r="A8" s="109" t="s">
        <v>13</v>
      </c>
      <c r="B8" s="402">
        <v>99527101</v>
      </c>
    </row>
    <row r="9" spans="1:6" ht="14.25" customHeight="1">
      <c r="A9" s="109" t="s">
        <v>14</v>
      </c>
      <c r="B9" s="402">
        <v>17065927</v>
      </c>
    </row>
    <row r="10" spans="1:6" ht="14.25" customHeight="1">
      <c r="A10" s="109" t="s">
        <v>15</v>
      </c>
      <c r="B10" s="402">
        <v>7999598</v>
      </c>
    </row>
    <row r="11" spans="1:6" ht="14.25" customHeight="1">
      <c r="A11" s="109" t="s">
        <v>16</v>
      </c>
      <c r="B11" s="402">
        <v>19449649</v>
      </c>
    </row>
    <row r="12" spans="1:6" ht="14.25" customHeight="1">
      <c r="A12" s="109" t="s">
        <v>17</v>
      </c>
      <c r="B12" s="402">
        <v>164028299</v>
      </c>
    </row>
    <row r="13" spans="1:6" ht="14.25" customHeight="1">
      <c r="A13" s="109" t="s">
        <v>18</v>
      </c>
      <c r="B13" s="402">
        <v>82816945</v>
      </c>
      <c r="C13" s="403">
        <f>+B13+B7</f>
        <v>170112974</v>
      </c>
    </row>
    <row r="14" spans="1:6" ht="14.25" customHeight="1">
      <c r="A14" s="109" t="s">
        <v>19</v>
      </c>
      <c r="B14" s="402">
        <v>20000000</v>
      </c>
    </row>
    <row r="15" spans="1:6" ht="14.25" customHeight="1">
      <c r="A15" s="109" t="s">
        <v>20</v>
      </c>
      <c r="B15" s="402">
        <v>2000000</v>
      </c>
    </row>
    <row r="16" spans="1:6" ht="14.25" customHeight="1">
      <c r="A16" s="109" t="s">
        <v>370</v>
      </c>
      <c r="B16" s="402">
        <v>60073750</v>
      </c>
      <c r="C16" s="403"/>
    </row>
    <row r="17" spans="2:2" ht="14.25" customHeight="1">
      <c r="B17" s="404"/>
    </row>
    <row r="18" spans="2:2" ht="14.25" customHeight="1">
      <c r="B18" s="405"/>
    </row>
  </sheetData>
  <mergeCells count="3">
    <mergeCell ref="A4:B4"/>
    <mergeCell ref="A1:B1"/>
    <mergeCell ref="A2:B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79998168889431442"/>
  </sheetPr>
  <dimension ref="A1:F22"/>
  <sheetViews>
    <sheetView workbookViewId="0">
      <selection activeCell="A20" sqref="A20:D20"/>
    </sheetView>
  </sheetViews>
  <sheetFormatPr baseColWidth="10" defaultColWidth="11.42578125" defaultRowHeight="12"/>
  <cols>
    <col min="1" max="1" width="11.42578125" style="370"/>
    <col min="2" max="2" width="46.28515625" style="370" customWidth="1"/>
    <col min="3" max="3" width="19.28515625" style="370" customWidth="1"/>
    <col min="4" max="4" width="20.42578125" style="370" customWidth="1"/>
    <col min="5" max="5" width="14.85546875" style="370" bestFit="1" customWidth="1"/>
    <col min="6" max="16384" width="11.42578125" style="370"/>
  </cols>
  <sheetData>
    <row r="1" spans="1:6" ht="12.75" customHeight="1">
      <c r="A1" s="596" t="s">
        <v>0</v>
      </c>
      <c r="B1" s="597"/>
      <c r="C1" s="597"/>
      <c r="D1" s="597"/>
    </row>
    <row r="2" spans="1:6" ht="12.75" customHeight="1">
      <c r="A2" s="596" t="s">
        <v>987</v>
      </c>
      <c r="B2" s="597"/>
      <c r="C2" s="597"/>
      <c r="D2" s="597"/>
    </row>
    <row r="3" spans="1:6">
      <c r="A3" s="397"/>
      <c r="B3" s="397"/>
    </row>
    <row r="4" spans="1:6">
      <c r="A4" s="592" t="s">
        <v>21</v>
      </c>
      <c r="B4" s="592"/>
      <c r="C4" s="592"/>
      <c r="D4" s="592"/>
    </row>
    <row r="6" spans="1:6">
      <c r="A6" s="414" t="s">
        <v>108</v>
      </c>
      <c r="B6" s="414" t="s">
        <v>21</v>
      </c>
      <c r="C6" s="414" t="s">
        <v>323</v>
      </c>
      <c r="D6" s="415" t="s">
        <v>2</v>
      </c>
      <c r="F6" s="408"/>
    </row>
    <row r="7" spans="1:6" ht="60">
      <c r="A7" s="409" t="s">
        <v>144</v>
      </c>
      <c r="B7" s="410" t="s">
        <v>989</v>
      </c>
      <c r="C7" s="538" t="s">
        <v>804</v>
      </c>
      <c r="D7" s="537">
        <v>28600000</v>
      </c>
    </row>
    <row r="8" spans="1:6" ht="24">
      <c r="A8" s="409" t="s">
        <v>324</v>
      </c>
      <c r="B8" s="410" t="s">
        <v>325</v>
      </c>
      <c r="C8" s="538" t="s">
        <v>993</v>
      </c>
      <c r="D8" s="537">
        <v>69200000</v>
      </c>
    </row>
    <row r="9" spans="1:6">
      <c r="A9" s="601" t="s">
        <v>807</v>
      </c>
      <c r="B9" s="601"/>
      <c r="C9" s="601"/>
      <c r="D9" s="411">
        <f>SUM(D7:D8)</f>
        <v>97800000</v>
      </c>
    </row>
    <row r="12" spans="1:6">
      <c r="A12" s="592" t="s">
        <v>964</v>
      </c>
      <c r="B12" s="592"/>
      <c r="C12" s="592"/>
      <c r="D12" s="592"/>
    </row>
    <row r="14" spans="1:6">
      <c r="A14" s="416" t="s">
        <v>271</v>
      </c>
      <c r="B14" s="603" t="s">
        <v>272</v>
      </c>
      <c r="C14" s="603"/>
      <c r="D14" s="416" t="s">
        <v>158</v>
      </c>
      <c r="E14" s="412"/>
    </row>
    <row r="15" spans="1:6">
      <c r="A15" s="342" t="s">
        <v>280</v>
      </c>
      <c r="B15" s="604" t="s">
        <v>281</v>
      </c>
      <c r="C15" s="604"/>
      <c r="D15" s="344">
        <v>26100000</v>
      </c>
      <c r="E15" s="412"/>
    </row>
    <row r="16" spans="1:6">
      <c r="A16" s="342" t="s">
        <v>286</v>
      </c>
      <c r="B16" s="604" t="s">
        <v>287</v>
      </c>
      <c r="C16" s="604"/>
      <c r="D16" s="345">
        <v>4000000</v>
      </c>
      <c r="E16" s="412"/>
    </row>
    <row r="17" spans="1:5">
      <c r="A17" s="602" t="s">
        <v>965</v>
      </c>
      <c r="B17" s="602"/>
      <c r="C17" s="602"/>
      <c r="D17" s="411">
        <f>SUM(D15:D16)</f>
        <v>30100000</v>
      </c>
      <c r="E17" s="412"/>
    </row>
    <row r="18" spans="1:5">
      <c r="E18" s="412"/>
    </row>
    <row r="20" spans="1:5">
      <c r="A20" s="600" t="s">
        <v>966</v>
      </c>
      <c r="B20" s="600"/>
      <c r="C20" s="600"/>
      <c r="D20" s="552">
        <f>+D9+D17</f>
        <v>127900000</v>
      </c>
    </row>
    <row r="22" spans="1:5">
      <c r="D22" s="413"/>
    </row>
  </sheetData>
  <mergeCells count="10">
    <mergeCell ref="A1:D1"/>
    <mergeCell ref="A2:D2"/>
    <mergeCell ref="A20:C20"/>
    <mergeCell ref="A9:C9"/>
    <mergeCell ref="A4:D4"/>
    <mergeCell ref="A12:D12"/>
    <mergeCell ref="A17:C17"/>
    <mergeCell ref="B14:C14"/>
    <mergeCell ref="B15:C15"/>
    <mergeCell ref="B16:C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79998168889431442"/>
  </sheetPr>
  <dimension ref="A1:C18"/>
  <sheetViews>
    <sheetView workbookViewId="0">
      <selection activeCell="F4" sqref="F4"/>
    </sheetView>
  </sheetViews>
  <sheetFormatPr baseColWidth="10" defaultColWidth="32.140625" defaultRowHeight="12"/>
  <cols>
    <col min="1" max="16384" width="32.140625" style="370"/>
  </cols>
  <sheetData>
    <row r="1" spans="1:3">
      <c r="A1" s="596" t="s">
        <v>0</v>
      </c>
      <c r="B1" s="597"/>
    </row>
    <row r="2" spans="1:3">
      <c r="A2" s="596" t="s">
        <v>987</v>
      </c>
      <c r="B2" s="597"/>
    </row>
    <row r="4" spans="1:3">
      <c r="A4" s="592" t="s">
        <v>818</v>
      </c>
      <c r="B4" s="592"/>
    </row>
    <row r="6" spans="1:3">
      <c r="A6" s="406" t="s">
        <v>816</v>
      </c>
      <c r="B6" s="406" t="s">
        <v>158</v>
      </c>
      <c r="C6" s="418"/>
    </row>
    <row r="7" spans="1:3" ht="24">
      <c r="A7" s="419" t="s">
        <v>26</v>
      </c>
      <c r="B7" s="420">
        <v>140542175</v>
      </c>
      <c r="C7" s="403">
        <f>+B7+B8+B10+B11</f>
        <v>828192878</v>
      </c>
    </row>
    <row r="8" spans="1:3" ht="24">
      <c r="A8" s="419" t="s">
        <v>27</v>
      </c>
      <c r="B8" s="420">
        <v>155354954</v>
      </c>
    </row>
    <row r="9" spans="1:3">
      <c r="A9" s="419" t="s">
        <v>13</v>
      </c>
      <c r="B9" s="420">
        <v>70344580</v>
      </c>
      <c r="C9" s="403">
        <f>+B9+'CONTENIDOS - ENSERES - OTROS'!B8</f>
        <v>169871681</v>
      </c>
    </row>
    <row r="10" spans="1:3">
      <c r="A10" s="419" t="s">
        <v>28</v>
      </c>
      <c r="B10" s="420">
        <v>281439098</v>
      </c>
    </row>
    <row r="11" spans="1:3">
      <c r="A11" s="419" t="s">
        <v>29</v>
      </c>
      <c r="B11" s="420">
        <v>250856651</v>
      </c>
      <c r="C11" s="421"/>
    </row>
    <row r="12" spans="1:3">
      <c r="A12" s="419" t="s">
        <v>30</v>
      </c>
      <c r="B12" s="420">
        <f>139239992+398473</f>
        <v>139638465</v>
      </c>
    </row>
    <row r="13" spans="1:3">
      <c r="A13" s="422" t="s">
        <v>371</v>
      </c>
      <c r="B13" s="423">
        <f>SUM(B7:B12)</f>
        <v>1038175923</v>
      </c>
      <c r="C13" s="403"/>
    </row>
    <row r="15" spans="1:3">
      <c r="A15" s="424" t="s">
        <v>952</v>
      </c>
      <c r="B15" s="425">
        <f>+B13*5%</f>
        <v>51908796.150000006</v>
      </c>
      <c r="C15" s="370" t="s">
        <v>954</v>
      </c>
    </row>
    <row r="18" spans="2:2">
      <c r="B18" s="405"/>
    </row>
  </sheetData>
  <mergeCells count="3">
    <mergeCell ref="A4:B4"/>
    <mergeCell ref="A1:B1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79998168889431442"/>
  </sheetPr>
  <dimension ref="A1:D22"/>
  <sheetViews>
    <sheetView workbookViewId="0">
      <selection activeCell="E22" sqref="E22"/>
    </sheetView>
  </sheetViews>
  <sheetFormatPr baseColWidth="10" defaultColWidth="11.42578125" defaultRowHeight="12"/>
  <cols>
    <col min="1" max="1" width="27" style="370" customWidth="1"/>
    <col min="2" max="2" width="55.28515625" style="370" customWidth="1"/>
    <col min="3" max="3" width="23.5703125" style="349" customWidth="1"/>
    <col min="4" max="4" width="16.28515625" style="370" customWidth="1"/>
    <col min="5" max="16384" width="11.42578125" style="370"/>
  </cols>
  <sheetData>
    <row r="1" spans="1:4">
      <c r="A1" s="596" t="s">
        <v>0</v>
      </c>
      <c r="B1" s="597"/>
      <c r="C1" s="597"/>
    </row>
    <row r="2" spans="1:4">
      <c r="A2" s="596" t="s">
        <v>987</v>
      </c>
      <c r="B2" s="597"/>
      <c r="C2" s="597"/>
    </row>
    <row r="4" spans="1:4">
      <c r="A4" s="592" t="s">
        <v>810</v>
      </c>
      <c r="B4" s="592"/>
      <c r="C4" s="592"/>
    </row>
    <row r="6" spans="1:4">
      <c r="A6" s="416" t="s">
        <v>271</v>
      </c>
      <c r="B6" s="417" t="s">
        <v>272</v>
      </c>
      <c r="C6" s="416" t="s">
        <v>793</v>
      </c>
    </row>
    <row r="7" spans="1:4" ht="24">
      <c r="A7" s="342" t="s">
        <v>273</v>
      </c>
      <c r="B7" s="343" t="s">
        <v>274</v>
      </c>
      <c r="C7" s="344">
        <v>520000000</v>
      </c>
      <c r="D7" s="418"/>
    </row>
    <row r="8" spans="1:4" ht="36">
      <c r="A8" s="342" t="s">
        <v>273</v>
      </c>
      <c r="B8" s="343" t="s">
        <v>946</v>
      </c>
      <c r="C8" s="344">
        <v>653266699</v>
      </c>
    </row>
    <row r="9" spans="1:4" ht="36">
      <c r="A9" s="342" t="s">
        <v>275</v>
      </c>
      <c r="B9" s="343" t="s">
        <v>276</v>
      </c>
      <c r="C9" s="344">
        <v>400000000</v>
      </c>
    </row>
    <row r="10" spans="1:4" ht="36">
      <c r="A10" s="342" t="s">
        <v>275</v>
      </c>
      <c r="B10" s="343" t="s">
        <v>277</v>
      </c>
      <c r="C10" s="344">
        <v>400000000</v>
      </c>
    </row>
    <row r="11" spans="1:4" ht="24">
      <c r="A11" s="342" t="s">
        <v>278</v>
      </c>
      <c r="B11" s="343" t="s">
        <v>279</v>
      </c>
      <c r="C11" s="344">
        <v>350000000</v>
      </c>
    </row>
    <row r="12" spans="1:4">
      <c r="A12" s="342" t="s">
        <v>282</v>
      </c>
      <c r="B12" s="343" t="s">
        <v>283</v>
      </c>
      <c r="C12" s="344">
        <v>2488748.85</v>
      </c>
    </row>
    <row r="13" spans="1:4">
      <c r="A13" s="342" t="s">
        <v>284</v>
      </c>
      <c r="B13" s="343" t="s">
        <v>285</v>
      </c>
      <c r="C13" s="344">
        <v>12000000</v>
      </c>
    </row>
    <row r="14" spans="1:4" ht="36">
      <c r="A14" s="342" t="s">
        <v>284</v>
      </c>
      <c r="B14" s="343" t="s">
        <v>792</v>
      </c>
      <c r="C14" s="345">
        <v>213875000</v>
      </c>
    </row>
    <row r="15" spans="1:4" ht="24">
      <c r="A15" s="346" t="s">
        <v>288</v>
      </c>
      <c r="B15" s="343" t="s">
        <v>289</v>
      </c>
      <c r="C15" s="345">
        <v>160000000</v>
      </c>
    </row>
    <row r="16" spans="1:4">
      <c r="A16" s="346" t="s">
        <v>961</v>
      </c>
      <c r="B16" s="343" t="s">
        <v>962</v>
      </c>
      <c r="C16" s="345">
        <v>15000000</v>
      </c>
    </row>
    <row r="17" spans="1:4" ht="24">
      <c r="A17" s="346" t="s">
        <v>290</v>
      </c>
      <c r="B17" s="343" t="s">
        <v>291</v>
      </c>
      <c r="C17" s="345">
        <v>2060572.5</v>
      </c>
    </row>
    <row r="18" spans="1:4" ht="36">
      <c r="A18" s="605" t="s">
        <v>284</v>
      </c>
      <c r="B18" s="343" t="s">
        <v>292</v>
      </c>
      <c r="C18" s="345">
        <v>213875000</v>
      </c>
      <c r="D18" s="418">
        <f>+C18+C19</f>
        <v>230171000</v>
      </c>
    </row>
    <row r="19" spans="1:4" ht="13.5" customHeight="1">
      <c r="A19" s="606"/>
      <c r="B19" s="343" t="s">
        <v>293</v>
      </c>
      <c r="C19" s="345">
        <v>16296000</v>
      </c>
    </row>
    <row r="20" spans="1:4" ht="20.25" customHeight="1">
      <c r="A20" s="607" t="s">
        <v>806</v>
      </c>
      <c r="B20" s="608"/>
      <c r="C20" s="553">
        <f>SUM(C7:C19)</f>
        <v>2958862020.3499999</v>
      </c>
    </row>
    <row r="21" spans="1:4">
      <c r="C21" s="426"/>
    </row>
    <row r="22" spans="1:4">
      <c r="B22" s="405"/>
      <c r="C22" s="405"/>
    </row>
  </sheetData>
  <mergeCells count="5">
    <mergeCell ref="A18:A19"/>
    <mergeCell ref="A20:B20"/>
    <mergeCell ref="A4:C4"/>
    <mergeCell ref="A1:C1"/>
    <mergeCell ref="A2:C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I30"/>
  <sheetViews>
    <sheetView workbookViewId="0">
      <selection activeCell="J16" sqref="J16"/>
    </sheetView>
  </sheetViews>
  <sheetFormatPr baseColWidth="10" defaultColWidth="11.42578125" defaultRowHeight="12"/>
  <cols>
    <col min="1" max="1" width="5.85546875" style="427" customWidth="1"/>
    <col min="2" max="2" width="11.42578125" style="370"/>
    <col min="3" max="3" width="36" style="370" customWidth="1"/>
    <col min="4" max="4" width="17.5703125" style="370" customWidth="1"/>
    <col min="5" max="5" width="17.7109375" style="349" customWidth="1"/>
    <col min="6" max="6" width="17.28515625" style="370" customWidth="1"/>
    <col min="7" max="7" width="21" style="370" customWidth="1"/>
    <col min="8" max="8" width="19.28515625" style="428" customWidth="1"/>
    <col min="9" max="9" width="17.42578125" style="370" customWidth="1"/>
    <col min="10" max="16384" width="11.42578125" style="370"/>
  </cols>
  <sheetData>
    <row r="1" spans="1:8" ht="12" customHeight="1">
      <c r="B1" s="597" t="s">
        <v>0</v>
      </c>
      <c r="C1" s="597"/>
      <c r="D1" s="597"/>
      <c r="E1" s="597"/>
      <c r="F1" s="597"/>
      <c r="G1" s="597"/>
    </row>
    <row r="2" spans="1:8" ht="12" customHeight="1">
      <c r="B2" s="597" t="s">
        <v>987</v>
      </c>
      <c r="C2" s="597"/>
      <c r="D2" s="597"/>
      <c r="E2" s="597"/>
      <c r="F2" s="597"/>
      <c r="G2" s="597"/>
    </row>
    <row r="4" spans="1:8">
      <c r="B4" s="592" t="s">
        <v>811</v>
      </c>
      <c r="C4" s="592"/>
      <c r="D4" s="592"/>
      <c r="E4" s="592"/>
      <c r="F4" s="592"/>
      <c r="G4" s="592"/>
    </row>
    <row r="5" spans="1:8" ht="12.75" thickBot="1"/>
    <row r="6" spans="1:8" ht="24.75" thickBot="1">
      <c r="B6" s="429" t="s">
        <v>108</v>
      </c>
      <c r="C6" s="430" t="s">
        <v>109</v>
      </c>
      <c r="D6" s="431" t="s">
        <v>294</v>
      </c>
      <c r="E6" s="432" t="s">
        <v>991</v>
      </c>
      <c r="F6" s="433" t="s">
        <v>295</v>
      </c>
      <c r="G6" s="434" t="s">
        <v>296</v>
      </c>
    </row>
    <row r="7" spans="1:8" s="412" customFormat="1" ht="48">
      <c r="A7" s="435">
        <v>1</v>
      </c>
      <c r="B7" s="436" t="s">
        <v>115</v>
      </c>
      <c r="C7" s="437" t="s">
        <v>116</v>
      </c>
      <c r="D7" s="438" t="s">
        <v>798</v>
      </c>
      <c r="E7" s="439">
        <v>8100000</v>
      </c>
      <c r="F7" s="440" t="s">
        <v>309</v>
      </c>
      <c r="G7" s="441" t="s">
        <v>310</v>
      </c>
      <c r="H7" s="442">
        <v>8100000</v>
      </c>
    </row>
    <row r="8" spans="1:8" s="412" customFormat="1" ht="24">
      <c r="A8" s="435">
        <f>+A7+1</f>
        <v>2</v>
      </c>
      <c r="B8" s="443" t="s">
        <v>132</v>
      </c>
      <c r="C8" s="444" t="s">
        <v>133</v>
      </c>
      <c r="D8" s="445" t="s">
        <v>697</v>
      </c>
      <c r="E8" s="446">
        <v>5800000</v>
      </c>
      <c r="F8" s="447" t="s">
        <v>307</v>
      </c>
      <c r="G8" s="448" t="s">
        <v>308</v>
      </c>
      <c r="H8" s="442">
        <v>5800000</v>
      </c>
    </row>
    <row r="9" spans="1:8" s="412" customFormat="1" ht="24">
      <c r="A9" s="435">
        <f t="shared" ref="A9:A25" si="0">+A8+1</f>
        <v>3</v>
      </c>
      <c r="B9" s="443" t="s">
        <v>125</v>
      </c>
      <c r="C9" s="444" t="s">
        <v>126</v>
      </c>
      <c r="D9" s="445" t="s">
        <v>796</v>
      </c>
      <c r="E9" s="446">
        <v>7200000</v>
      </c>
      <c r="F9" s="447" t="s">
        <v>302</v>
      </c>
      <c r="G9" s="448" t="s">
        <v>302</v>
      </c>
      <c r="H9" s="442">
        <v>7200000</v>
      </c>
    </row>
    <row r="10" spans="1:8" s="412" customFormat="1" ht="24">
      <c r="A10" s="435">
        <f t="shared" si="0"/>
        <v>4</v>
      </c>
      <c r="B10" s="443" t="s">
        <v>134</v>
      </c>
      <c r="C10" s="444" t="s">
        <v>135</v>
      </c>
      <c r="D10" s="445" t="s">
        <v>697</v>
      </c>
      <c r="E10" s="446">
        <v>6300000</v>
      </c>
      <c r="F10" s="447" t="s">
        <v>305</v>
      </c>
      <c r="G10" s="448" t="s">
        <v>306</v>
      </c>
      <c r="H10" s="442">
        <v>6300000</v>
      </c>
    </row>
    <row r="11" spans="1:8" s="412" customFormat="1" ht="36">
      <c r="A11" s="435">
        <f t="shared" si="0"/>
        <v>5</v>
      </c>
      <c r="B11" s="443" t="s">
        <v>127</v>
      </c>
      <c r="C11" s="444" t="s">
        <v>990</v>
      </c>
      <c r="D11" s="449" t="s">
        <v>805</v>
      </c>
      <c r="E11" s="450">
        <v>7600000</v>
      </c>
      <c r="F11" s="447" t="s">
        <v>321</v>
      </c>
      <c r="G11" s="448" t="s">
        <v>322</v>
      </c>
      <c r="H11" s="442">
        <v>7700000</v>
      </c>
    </row>
    <row r="12" spans="1:8" s="412" customFormat="1" ht="36">
      <c r="A12" s="435">
        <f t="shared" si="0"/>
        <v>6</v>
      </c>
      <c r="B12" s="443" t="s">
        <v>150</v>
      </c>
      <c r="C12" s="444" t="s">
        <v>151</v>
      </c>
      <c r="D12" s="445" t="s">
        <v>697</v>
      </c>
      <c r="E12" s="446">
        <v>5800000</v>
      </c>
      <c r="F12" s="447" t="s">
        <v>297</v>
      </c>
      <c r="G12" s="448" t="s">
        <v>298</v>
      </c>
      <c r="H12" s="442">
        <v>5800000</v>
      </c>
    </row>
    <row r="13" spans="1:8" s="412" customFormat="1" ht="24">
      <c r="A13" s="435">
        <f t="shared" si="0"/>
        <v>7</v>
      </c>
      <c r="B13" s="443" t="s">
        <v>131</v>
      </c>
      <c r="C13" s="444" t="s">
        <v>160</v>
      </c>
      <c r="D13" s="445" t="s">
        <v>697</v>
      </c>
      <c r="E13" s="451">
        <v>6300000</v>
      </c>
      <c r="F13" s="447" t="s">
        <v>303</v>
      </c>
      <c r="G13" s="448" t="s">
        <v>304</v>
      </c>
      <c r="H13" s="442">
        <v>6300000</v>
      </c>
    </row>
    <row r="14" spans="1:8" s="412" customFormat="1" ht="24">
      <c r="A14" s="435">
        <f t="shared" si="0"/>
        <v>8</v>
      </c>
      <c r="B14" s="443" t="s">
        <v>948</v>
      </c>
      <c r="C14" s="444" t="s">
        <v>949</v>
      </c>
      <c r="D14" s="445" t="s">
        <v>805</v>
      </c>
      <c r="E14" s="446">
        <v>10200000</v>
      </c>
      <c r="F14" s="447" t="s">
        <v>950</v>
      </c>
      <c r="G14" s="448" t="s">
        <v>951</v>
      </c>
      <c r="H14" s="442">
        <v>8900000</v>
      </c>
    </row>
    <row r="15" spans="1:8" s="412" customFormat="1" ht="24.75" thickBot="1">
      <c r="A15" s="435">
        <f t="shared" si="0"/>
        <v>9</v>
      </c>
      <c r="B15" s="452" t="s">
        <v>977</v>
      </c>
      <c r="C15" s="453" t="s">
        <v>978</v>
      </c>
      <c r="D15" s="454" t="s">
        <v>981</v>
      </c>
      <c r="E15" s="455">
        <v>9700000</v>
      </c>
      <c r="F15" s="456" t="s">
        <v>979</v>
      </c>
      <c r="G15" s="457" t="s">
        <v>980</v>
      </c>
      <c r="H15" s="458"/>
    </row>
    <row r="16" spans="1:8" ht="26.25" customHeight="1" thickBot="1">
      <c r="B16" s="612" t="s">
        <v>851</v>
      </c>
      <c r="C16" s="613"/>
      <c r="D16" s="614"/>
      <c r="E16" s="459">
        <f>SUM(E7:E15)</f>
        <v>67000000</v>
      </c>
    </row>
    <row r="17" spans="1:9" s="412" customFormat="1" ht="36">
      <c r="A17" s="435">
        <v>10</v>
      </c>
      <c r="B17" s="436" t="s">
        <v>154</v>
      </c>
      <c r="C17" s="437" t="s">
        <v>155</v>
      </c>
      <c r="D17" s="438" t="s">
        <v>802</v>
      </c>
      <c r="E17" s="439">
        <v>117600000</v>
      </c>
      <c r="F17" s="440" t="s">
        <v>317</v>
      </c>
      <c r="G17" s="441" t="s">
        <v>318</v>
      </c>
      <c r="H17" s="442">
        <v>121900000</v>
      </c>
    </row>
    <row r="18" spans="1:9" s="412" customFormat="1" ht="36">
      <c r="A18" s="435">
        <f t="shared" si="0"/>
        <v>11</v>
      </c>
      <c r="B18" s="443" t="s">
        <v>955</v>
      </c>
      <c r="C18" s="444" t="s">
        <v>956</v>
      </c>
      <c r="D18" s="445" t="s">
        <v>963</v>
      </c>
      <c r="E18" s="460">
        <v>149000000</v>
      </c>
      <c r="F18" s="447" t="s">
        <v>957</v>
      </c>
      <c r="G18" s="448" t="s">
        <v>958</v>
      </c>
      <c r="H18" s="442"/>
      <c r="I18" s="461"/>
    </row>
    <row r="19" spans="1:9" s="412" customFormat="1" ht="36">
      <c r="A19" s="435">
        <f t="shared" si="0"/>
        <v>12</v>
      </c>
      <c r="B19" s="443" t="s">
        <v>140</v>
      </c>
      <c r="C19" s="444" t="s">
        <v>791</v>
      </c>
      <c r="D19" s="445" t="s">
        <v>799</v>
      </c>
      <c r="E19" s="446">
        <v>112800000</v>
      </c>
      <c r="F19" s="447" t="s">
        <v>311</v>
      </c>
      <c r="G19" s="448" t="s">
        <v>312</v>
      </c>
      <c r="H19" s="442"/>
    </row>
    <row r="20" spans="1:9" s="412" customFormat="1" ht="36">
      <c r="A20" s="435">
        <f t="shared" si="0"/>
        <v>13</v>
      </c>
      <c r="B20" s="443" t="s">
        <v>146</v>
      </c>
      <c r="C20" s="444" t="s">
        <v>147</v>
      </c>
      <c r="D20" s="445" t="s">
        <v>801</v>
      </c>
      <c r="E20" s="446">
        <v>146100000</v>
      </c>
      <c r="F20" s="447" t="s">
        <v>315</v>
      </c>
      <c r="G20" s="448" t="s">
        <v>316</v>
      </c>
      <c r="H20" s="462"/>
      <c r="I20" s="475"/>
    </row>
    <row r="21" spans="1:9" s="412" customFormat="1" ht="24">
      <c r="A21" s="435">
        <f t="shared" si="0"/>
        <v>14</v>
      </c>
      <c r="B21" s="443" t="s">
        <v>113</v>
      </c>
      <c r="C21" s="444" t="s">
        <v>114</v>
      </c>
      <c r="D21" s="445" t="s">
        <v>795</v>
      </c>
      <c r="E21" s="446">
        <v>138400000</v>
      </c>
      <c r="F21" s="447" t="s">
        <v>300</v>
      </c>
      <c r="G21" s="448" t="s">
        <v>301</v>
      </c>
      <c r="H21" s="442"/>
      <c r="I21" s="476"/>
    </row>
    <row r="22" spans="1:9" s="412" customFormat="1" ht="24">
      <c r="A22" s="435">
        <f t="shared" si="0"/>
        <v>15</v>
      </c>
      <c r="B22" s="443" t="s">
        <v>138</v>
      </c>
      <c r="C22" s="444" t="s">
        <v>139</v>
      </c>
      <c r="D22" s="445" t="s">
        <v>797</v>
      </c>
      <c r="E22" s="446">
        <v>156900000</v>
      </c>
      <c r="F22" s="447" t="s">
        <v>307</v>
      </c>
      <c r="G22" s="448" t="s">
        <v>308</v>
      </c>
      <c r="H22" s="442"/>
    </row>
    <row r="23" spans="1:9" s="412" customFormat="1" ht="36">
      <c r="A23" s="435">
        <f t="shared" si="0"/>
        <v>16</v>
      </c>
      <c r="B23" s="443" t="s">
        <v>129</v>
      </c>
      <c r="C23" s="444" t="s">
        <v>130</v>
      </c>
      <c r="D23" s="445" t="s">
        <v>803</v>
      </c>
      <c r="E23" s="446">
        <v>282300000</v>
      </c>
      <c r="F23" s="447" t="s">
        <v>319</v>
      </c>
      <c r="G23" s="448" t="s">
        <v>320</v>
      </c>
      <c r="H23" s="442"/>
    </row>
    <row r="24" spans="1:9" s="412" customFormat="1" ht="36">
      <c r="A24" s="435">
        <f t="shared" si="0"/>
        <v>17</v>
      </c>
      <c r="B24" s="463" t="s">
        <v>111</v>
      </c>
      <c r="C24" s="444" t="s">
        <v>112</v>
      </c>
      <c r="D24" s="445" t="s">
        <v>794</v>
      </c>
      <c r="E24" s="446">
        <v>135300000</v>
      </c>
      <c r="F24" s="447">
        <v>90698000716696</v>
      </c>
      <c r="G24" s="448" t="s">
        <v>299</v>
      </c>
      <c r="H24" s="442">
        <v>103100000</v>
      </c>
    </row>
    <row r="25" spans="1:9" s="412" customFormat="1" ht="24.75" thickBot="1">
      <c r="A25" s="435">
        <f t="shared" si="0"/>
        <v>18</v>
      </c>
      <c r="B25" s="464" t="s">
        <v>142</v>
      </c>
      <c r="C25" s="465" t="s">
        <v>143</v>
      </c>
      <c r="D25" s="466" t="s">
        <v>800</v>
      </c>
      <c r="E25" s="467">
        <v>212900000</v>
      </c>
      <c r="F25" s="468" t="s">
        <v>313</v>
      </c>
      <c r="G25" s="469" t="s">
        <v>314</v>
      </c>
      <c r="H25" s="442">
        <v>171700000</v>
      </c>
    </row>
    <row r="26" spans="1:9" ht="27" customHeight="1" thickBot="1">
      <c r="B26" s="615" t="s">
        <v>852</v>
      </c>
      <c r="C26" s="616"/>
      <c r="D26" s="617"/>
      <c r="E26" s="470">
        <f>SUM(E17:E25)</f>
        <v>1451300000</v>
      </c>
      <c r="F26" s="471"/>
      <c r="G26" s="472"/>
      <c r="H26" s="428">
        <f>SUM(H7:H25)</f>
        <v>452800000</v>
      </c>
    </row>
    <row r="27" spans="1:9" ht="12.75" thickBot="1">
      <c r="B27" s="609" t="s">
        <v>808</v>
      </c>
      <c r="C27" s="610"/>
      <c r="D27" s="611"/>
      <c r="E27" s="473">
        <f>+E16+E26</f>
        <v>1518300000</v>
      </c>
      <c r="F27" s="474"/>
      <c r="G27" s="405"/>
    </row>
    <row r="30" spans="1:9">
      <c r="E30" s="426"/>
    </row>
  </sheetData>
  <sortState xmlns:xlrd2="http://schemas.microsoft.com/office/spreadsheetml/2017/richdata2" ref="B7:G25">
    <sortCondition ref="C7:C25"/>
    <sortCondition ref="B7:B25"/>
    <sortCondition ref="D7:D25"/>
    <sortCondition ref="E7:E25"/>
    <sortCondition ref="F7:F25"/>
    <sortCondition ref="G7:G25"/>
  </sortState>
  <mergeCells count="6">
    <mergeCell ref="B27:D27"/>
    <mergeCell ref="B4:G4"/>
    <mergeCell ref="B16:D16"/>
    <mergeCell ref="B26:D26"/>
    <mergeCell ref="B1:G1"/>
    <mergeCell ref="B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D19:D25 D7:D14 D17:D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0.79998168889431442"/>
  </sheetPr>
  <dimension ref="A1:F13"/>
  <sheetViews>
    <sheetView topLeftCell="A4" zoomScaleNormal="100" workbookViewId="0">
      <selection activeCell="E13" sqref="E13"/>
    </sheetView>
  </sheetViews>
  <sheetFormatPr baseColWidth="10" defaultRowHeight="12"/>
  <cols>
    <col min="1" max="1" width="3" style="554" bestFit="1" customWidth="1"/>
    <col min="2" max="2" width="11.42578125" style="370"/>
    <col min="3" max="3" width="60.85546875" style="370" customWidth="1"/>
    <col min="4" max="4" width="14.7109375" style="370" customWidth="1"/>
    <col min="5" max="5" width="12.85546875" style="558" bestFit="1" customWidth="1"/>
    <col min="6" max="16384" width="11.42578125" style="370"/>
  </cols>
  <sheetData>
    <row r="1" spans="1:6" ht="12.75" customHeight="1">
      <c r="B1" s="597" t="s">
        <v>0</v>
      </c>
      <c r="C1" s="597"/>
      <c r="D1" s="597"/>
      <c r="E1" s="560"/>
      <c r="F1" s="401"/>
    </row>
    <row r="2" spans="1:6" ht="12.75" customHeight="1">
      <c r="B2" s="597" t="s">
        <v>987</v>
      </c>
      <c r="C2" s="597"/>
      <c r="D2" s="597"/>
      <c r="E2" s="560"/>
      <c r="F2" s="401"/>
    </row>
    <row r="4" spans="1:6">
      <c r="B4" s="618" t="s">
        <v>992</v>
      </c>
      <c r="C4" s="618"/>
      <c r="D4" s="618"/>
    </row>
    <row r="6" spans="1:6" ht="24">
      <c r="B6" s="477" t="s">
        <v>108</v>
      </c>
      <c r="C6" s="477" t="s">
        <v>109</v>
      </c>
      <c r="D6" s="477" t="s">
        <v>959</v>
      </c>
      <c r="E6" s="561" t="s">
        <v>994</v>
      </c>
    </row>
    <row r="7" spans="1:6">
      <c r="A7" s="554">
        <v>1</v>
      </c>
      <c r="B7" s="284" t="s">
        <v>132</v>
      </c>
      <c r="C7" s="444" t="s">
        <v>133</v>
      </c>
      <c r="D7" s="354">
        <v>46334</v>
      </c>
      <c r="E7" s="559">
        <v>343300</v>
      </c>
    </row>
    <row r="8" spans="1:6">
      <c r="A8" s="554">
        <f t="shared" ref="A8:A11" si="0">+A7+1</f>
        <v>2</v>
      </c>
      <c r="B8" s="284" t="s">
        <v>134</v>
      </c>
      <c r="C8" s="444" t="s">
        <v>135</v>
      </c>
      <c r="D8" s="354">
        <v>46334</v>
      </c>
      <c r="E8" s="559">
        <v>343300</v>
      </c>
    </row>
    <row r="9" spans="1:6">
      <c r="A9" s="554">
        <v>3</v>
      </c>
      <c r="B9" s="284" t="s">
        <v>977</v>
      </c>
      <c r="C9" s="444" t="s">
        <v>978</v>
      </c>
      <c r="D9" s="354">
        <v>46369</v>
      </c>
      <c r="E9" s="559">
        <v>343300</v>
      </c>
    </row>
    <row r="10" spans="1:6" ht="24">
      <c r="A10" s="554">
        <v>4</v>
      </c>
      <c r="B10" s="284" t="s">
        <v>955</v>
      </c>
      <c r="C10" s="444" t="s">
        <v>956</v>
      </c>
      <c r="D10" s="354">
        <v>46341</v>
      </c>
      <c r="E10" s="559">
        <v>1110300</v>
      </c>
    </row>
    <row r="11" spans="1:6" ht="24">
      <c r="A11" s="554">
        <f t="shared" si="0"/>
        <v>5</v>
      </c>
      <c r="B11" s="284" t="s">
        <v>140</v>
      </c>
      <c r="C11" s="444" t="s">
        <v>791</v>
      </c>
      <c r="D11" s="354">
        <v>46369</v>
      </c>
      <c r="E11" s="559">
        <v>946600</v>
      </c>
    </row>
    <row r="12" spans="1:6">
      <c r="A12" s="554">
        <v>6</v>
      </c>
      <c r="B12" s="284" t="s">
        <v>138</v>
      </c>
      <c r="C12" s="444" t="s">
        <v>139</v>
      </c>
      <c r="D12" s="354">
        <v>46333</v>
      </c>
      <c r="E12" s="559">
        <v>1510600</v>
      </c>
    </row>
    <row r="13" spans="1:6">
      <c r="E13" s="558">
        <f>SUM(E7:E12)</f>
        <v>4597400</v>
      </c>
    </row>
  </sheetData>
  <autoFilter ref="B6:D13" xr:uid="{00000000-0009-0000-0000-00000A000000}"/>
  <mergeCells count="3">
    <mergeCell ref="B1:D1"/>
    <mergeCell ref="B2:D2"/>
    <mergeCell ref="B4:D4"/>
  </mergeCells>
  <pageMargins left="0.7" right="0.7" top="0.75" bottom="0.75" header="0.3" footer="0.3"/>
  <pageSetup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5"/>
  <sheetViews>
    <sheetView workbookViewId="0">
      <selection activeCell="B29" sqref="B29"/>
    </sheetView>
  </sheetViews>
  <sheetFormatPr baseColWidth="10" defaultColWidth="11.42578125" defaultRowHeight="12.75"/>
  <cols>
    <col min="1" max="1" width="10.85546875" customWidth="1"/>
    <col min="2" max="2" width="36" customWidth="1"/>
    <col min="3" max="3" width="24.28515625" customWidth="1"/>
    <col min="4" max="4" width="18" style="293" customWidth="1"/>
    <col min="5" max="5" width="14.28515625" customWidth="1"/>
    <col min="6" max="6" width="13.140625" customWidth="1"/>
    <col min="7" max="7" width="13.5703125" customWidth="1"/>
    <col min="8" max="8" width="14.140625" customWidth="1"/>
  </cols>
  <sheetData>
    <row r="1" spans="1:5">
      <c r="A1" s="281" t="s">
        <v>108</v>
      </c>
      <c r="B1" s="281" t="s">
        <v>109</v>
      </c>
      <c r="C1" s="282" t="s">
        <v>156</v>
      </c>
      <c r="D1" s="283" t="s">
        <v>157</v>
      </c>
      <c r="E1" s="283" t="s">
        <v>158</v>
      </c>
    </row>
    <row r="2" spans="1:5" ht="60">
      <c r="A2" s="284" t="s">
        <v>144</v>
      </c>
      <c r="B2" s="285" t="s">
        <v>145</v>
      </c>
      <c r="C2" s="286" t="s">
        <v>159</v>
      </c>
      <c r="D2" s="287">
        <v>321</v>
      </c>
      <c r="E2" s="288">
        <v>942000</v>
      </c>
    </row>
    <row r="3" spans="1:5" ht="36">
      <c r="A3" s="284" t="s">
        <v>146</v>
      </c>
      <c r="B3" s="285" t="s">
        <v>147</v>
      </c>
      <c r="C3" s="289">
        <v>44277</v>
      </c>
      <c r="D3" s="287">
        <v>231</v>
      </c>
      <c r="E3" s="288">
        <v>815250</v>
      </c>
    </row>
    <row r="4" spans="1:5" ht="24">
      <c r="A4" s="284" t="s">
        <v>148</v>
      </c>
      <c r="B4" s="285" t="s">
        <v>149</v>
      </c>
      <c r="C4" s="289">
        <v>44306</v>
      </c>
      <c r="D4" s="287">
        <v>121</v>
      </c>
      <c r="E4" s="288">
        <v>495900</v>
      </c>
    </row>
    <row r="5" spans="1:5" ht="36">
      <c r="A5" s="284" t="s">
        <v>150</v>
      </c>
      <c r="B5" s="285" t="s">
        <v>151</v>
      </c>
      <c r="C5" s="289">
        <v>44306</v>
      </c>
      <c r="D5" s="287">
        <v>121</v>
      </c>
      <c r="E5" s="288">
        <v>495900</v>
      </c>
    </row>
    <row r="6" spans="1:5" ht="24">
      <c r="A6" s="284" t="s">
        <v>152</v>
      </c>
      <c r="B6" s="285" t="s">
        <v>153</v>
      </c>
      <c r="C6" s="289">
        <v>44306</v>
      </c>
      <c r="D6" s="287">
        <v>121</v>
      </c>
      <c r="E6" s="288">
        <v>495900</v>
      </c>
    </row>
    <row r="7" spans="1:5" ht="36">
      <c r="A7" s="284" t="s">
        <v>154</v>
      </c>
      <c r="B7" s="285" t="s">
        <v>155</v>
      </c>
      <c r="C7" s="289">
        <v>44306</v>
      </c>
      <c r="D7" s="287">
        <v>431</v>
      </c>
      <c r="E7" s="288">
        <v>1109250</v>
      </c>
    </row>
    <row r="8" spans="1:5" ht="36">
      <c r="A8" s="284" t="s">
        <v>111</v>
      </c>
      <c r="B8" s="285" t="s">
        <v>112</v>
      </c>
      <c r="C8" s="289">
        <v>44315</v>
      </c>
      <c r="D8" s="287">
        <v>331</v>
      </c>
      <c r="E8" s="288">
        <v>1191000</v>
      </c>
    </row>
    <row r="9" spans="1:5" ht="24">
      <c r="A9" s="284" t="s">
        <v>113</v>
      </c>
      <c r="B9" s="285" t="s">
        <v>114</v>
      </c>
      <c r="C9" s="289">
        <v>44318</v>
      </c>
      <c r="D9" s="287">
        <v>431</v>
      </c>
      <c r="E9" s="288">
        <v>1109250</v>
      </c>
    </row>
    <row r="10" spans="1:5" ht="48">
      <c r="A10" s="284" t="s">
        <v>115</v>
      </c>
      <c r="B10" s="285" t="s">
        <v>116</v>
      </c>
      <c r="C10" s="289">
        <v>44335</v>
      </c>
      <c r="D10" s="287">
        <v>121</v>
      </c>
      <c r="E10" s="288">
        <v>495900</v>
      </c>
    </row>
    <row r="11" spans="1:5" ht="24">
      <c r="A11" s="284" t="s">
        <v>117</v>
      </c>
      <c r="B11" s="285" t="s">
        <v>118</v>
      </c>
      <c r="C11" s="289">
        <v>44358</v>
      </c>
      <c r="D11" s="287">
        <v>121</v>
      </c>
      <c r="E11" s="288">
        <v>495900</v>
      </c>
    </row>
    <row r="12" spans="1:5" ht="36">
      <c r="A12" s="284" t="s">
        <v>119</v>
      </c>
      <c r="B12" s="285" t="s">
        <v>120</v>
      </c>
      <c r="C12" s="289">
        <v>44358</v>
      </c>
      <c r="D12" s="287">
        <v>121</v>
      </c>
      <c r="E12" s="288">
        <v>495900</v>
      </c>
    </row>
    <row r="13" spans="1:5" ht="24">
      <c r="A13" s="284" t="s">
        <v>121</v>
      </c>
      <c r="B13" s="285" t="s">
        <v>122</v>
      </c>
      <c r="C13" s="289">
        <v>44358</v>
      </c>
      <c r="D13" s="287">
        <v>121</v>
      </c>
      <c r="E13" s="288">
        <v>495900</v>
      </c>
    </row>
    <row r="14" spans="1:5" ht="24">
      <c r="A14" s="284" t="s">
        <v>123</v>
      </c>
      <c r="B14" s="285" t="s">
        <v>124</v>
      </c>
      <c r="C14" s="289">
        <v>44358</v>
      </c>
      <c r="D14" s="287">
        <v>121</v>
      </c>
      <c r="E14" s="288">
        <v>495900</v>
      </c>
    </row>
    <row r="15" spans="1:5" ht="24">
      <c r="A15" s="284" t="s">
        <v>125</v>
      </c>
      <c r="B15" s="285" t="s">
        <v>126</v>
      </c>
      <c r="C15" s="289">
        <v>44358</v>
      </c>
      <c r="D15" s="287">
        <v>121</v>
      </c>
      <c r="E15" s="288">
        <v>495900</v>
      </c>
    </row>
    <row r="16" spans="1:5" ht="24">
      <c r="A16" s="284" t="s">
        <v>127</v>
      </c>
      <c r="B16" s="285" t="s">
        <v>128</v>
      </c>
      <c r="C16" s="289">
        <v>44360</v>
      </c>
      <c r="D16" s="290">
        <v>121</v>
      </c>
      <c r="E16" s="288">
        <v>495900</v>
      </c>
    </row>
    <row r="17" spans="1:5" ht="36">
      <c r="A17" s="284" t="s">
        <v>129</v>
      </c>
      <c r="B17" s="285" t="s">
        <v>130</v>
      </c>
      <c r="C17" s="289">
        <v>44413</v>
      </c>
      <c r="D17" s="287">
        <v>321</v>
      </c>
      <c r="E17" s="288">
        <v>942000</v>
      </c>
    </row>
    <row r="18" spans="1:5" ht="24">
      <c r="A18" s="284" t="s">
        <v>131</v>
      </c>
      <c r="B18" s="285" t="s">
        <v>160</v>
      </c>
      <c r="C18" s="289">
        <v>44418</v>
      </c>
      <c r="D18" s="287">
        <v>121</v>
      </c>
      <c r="E18" s="288">
        <v>495900</v>
      </c>
    </row>
    <row r="19" spans="1:5" ht="24">
      <c r="A19" s="284" t="s">
        <v>132</v>
      </c>
      <c r="B19" s="285" t="s">
        <v>133</v>
      </c>
      <c r="C19" s="289">
        <v>44454</v>
      </c>
      <c r="D19" s="287">
        <v>121</v>
      </c>
      <c r="E19" s="288">
        <v>495900</v>
      </c>
    </row>
    <row r="20" spans="1:5" ht="24">
      <c r="A20" s="284" t="s">
        <v>134</v>
      </c>
      <c r="B20" s="285" t="s">
        <v>135</v>
      </c>
      <c r="C20" s="289">
        <v>44454</v>
      </c>
      <c r="D20" s="287">
        <v>121</v>
      </c>
      <c r="E20" s="288">
        <v>495900</v>
      </c>
    </row>
    <row r="21" spans="1:5" ht="24">
      <c r="A21" s="284" t="s">
        <v>136</v>
      </c>
      <c r="B21" s="285" t="s">
        <v>137</v>
      </c>
      <c r="C21" s="289">
        <v>44485</v>
      </c>
      <c r="D21" s="287">
        <v>121</v>
      </c>
      <c r="E21" s="288">
        <v>495900</v>
      </c>
    </row>
    <row r="22" spans="1:5" ht="24">
      <c r="A22" s="284" t="s">
        <v>138</v>
      </c>
      <c r="B22" s="285" t="s">
        <v>139</v>
      </c>
      <c r="C22" s="289">
        <v>44501</v>
      </c>
      <c r="D22" s="287">
        <v>431</v>
      </c>
      <c r="E22" s="288">
        <v>1109250</v>
      </c>
    </row>
    <row r="23" spans="1:5" ht="36">
      <c r="A23" s="284" t="s">
        <v>140</v>
      </c>
      <c r="B23" s="285" t="s">
        <v>141</v>
      </c>
      <c r="C23" s="289">
        <v>44543</v>
      </c>
      <c r="D23" s="290">
        <v>221</v>
      </c>
      <c r="E23" s="288">
        <v>695400</v>
      </c>
    </row>
    <row r="24" spans="1:5" ht="24">
      <c r="A24" s="284" t="s">
        <v>142</v>
      </c>
      <c r="B24" s="285" t="s">
        <v>161</v>
      </c>
      <c r="C24" s="289">
        <v>44583</v>
      </c>
      <c r="D24" s="287">
        <v>321</v>
      </c>
      <c r="E24" s="288">
        <v>942000</v>
      </c>
    </row>
    <row r="25" spans="1:5" ht="15">
      <c r="A25" s="278"/>
      <c r="B25" s="278"/>
      <c r="C25" s="278"/>
      <c r="D25" s="291" t="s">
        <v>6</v>
      </c>
      <c r="E25" s="292">
        <f>SUM(E2:E24)</f>
        <v>15798000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7" tint="0.79998168889431442"/>
  </sheetPr>
  <dimension ref="A1:F14"/>
  <sheetViews>
    <sheetView workbookViewId="0">
      <selection activeCell="A6" sqref="A6:XFD6"/>
    </sheetView>
  </sheetViews>
  <sheetFormatPr baseColWidth="10" defaultRowHeight="12"/>
  <cols>
    <col min="1" max="1" width="48.5703125" style="370" customWidth="1"/>
    <col min="2" max="2" width="36.28515625" style="370" bestFit="1" customWidth="1"/>
    <col min="3" max="3" width="13.42578125" style="418" bestFit="1" customWidth="1"/>
    <col min="4" max="4" width="12.42578125" style="370" bestFit="1" customWidth="1"/>
    <col min="5" max="16384" width="11.42578125" style="370"/>
  </cols>
  <sheetData>
    <row r="1" spans="1:6">
      <c r="A1" s="597" t="s">
        <v>0</v>
      </c>
      <c r="B1" s="597"/>
      <c r="C1" s="597"/>
      <c r="D1" s="597"/>
      <c r="E1" s="401"/>
      <c r="F1" s="401"/>
    </row>
    <row r="2" spans="1:6">
      <c r="A2" s="597" t="s">
        <v>987</v>
      </c>
      <c r="B2" s="597"/>
      <c r="C2" s="597"/>
      <c r="D2" s="597"/>
      <c r="E2" s="401"/>
      <c r="F2" s="401"/>
    </row>
    <row r="4" spans="1:6">
      <c r="A4" s="619" t="s">
        <v>820</v>
      </c>
      <c r="B4" s="619"/>
      <c r="C4" s="619"/>
      <c r="D4" s="619"/>
    </row>
    <row r="5" spans="1:6" ht="12.75" thickBot="1">
      <c r="A5" s="544"/>
      <c r="B5" s="544"/>
      <c r="C5" s="544"/>
      <c r="D5" s="544"/>
    </row>
    <row r="6" spans="1:6" s="525" customFormat="1" ht="20.25" customHeight="1" thickBot="1">
      <c r="A6" s="620" t="s">
        <v>819</v>
      </c>
      <c r="B6" s="621"/>
      <c r="C6" s="555"/>
      <c r="D6" s="556">
        <v>202000000</v>
      </c>
    </row>
    <row r="7" spans="1:6">
      <c r="A7" s="478" t="s">
        <v>331</v>
      </c>
      <c r="B7" s="479" t="s">
        <v>838</v>
      </c>
      <c r="C7" s="480">
        <v>1077295015</v>
      </c>
      <c r="D7" s="481"/>
    </row>
    <row r="8" spans="1:6">
      <c r="A8" s="482" t="s">
        <v>823</v>
      </c>
      <c r="B8" s="388" t="s">
        <v>967</v>
      </c>
      <c r="C8" s="483">
        <v>1075671540</v>
      </c>
      <c r="D8" s="484"/>
    </row>
    <row r="9" spans="1:6">
      <c r="A9" s="482" t="s">
        <v>824</v>
      </c>
      <c r="B9" s="388" t="s">
        <v>853</v>
      </c>
      <c r="C9" s="483">
        <v>79632936</v>
      </c>
      <c r="D9" s="484"/>
    </row>
    <row r="10" spans="1:6">
      <c r="A10" s="482" t="s">
        <v>833</v>
      </c>
      <c r="B10" s="388" t="s">
        <v>983</v>
      </c>
      <c r="C10" s="483">
        <v>20985486</v>
      </c>
      <c r="D10" s="484"/>
    </row>
    <row r="11" spans="1:6">
      <c r="A11" s="482" t="s">
        <v>834</v>
      </c>
      <c r="B11" s="485" t="s">
        <v>855</v>
      </c>
      <c r="C11" s="486">
        <v>1077294510</v>
      </c>
      <c r="D11" s="484"/>
    </row>
    <row r="12" spans="1:6">
      <c r="A12" s="482" t="s">
        <v>835</v>
      </c>
      <c r="B12" s="388" t="s">
        <v>854</v>
      </c>
      <c r="C12" s="483">
        <v>32531559</v>
      </c>
      <c r="D12" s="484"/>
    </row>
    <row r="13" spans="1:6">
      <c r="A13" s="482" t="s">
        <v>836</v>
      </c>
      <c r="B13" s="388" t="s">
        <v>856</v>
      </c>
      <c r="C13" s="483">
        <v>1077295037</v>
      </c>
      <c r="D13" s="484"/>
    </row>
    <row r="14" spans="1:6" ht="12.75" thickBot="1">
      <c r="A14" s="487" t="s">
        <v>837</v>
      </c>
      <c r="B14" s="488" t="s">
        <v>857</v>
      </c>
      <c r="C14" s="489">
        <v>20985723</v>
      </c>
      <c r="D14" s="490"/>
    </row>
  </sheetData>
  <mergeCells count="4">
    <mergeCell ref="A4:D4"/>
    <mergeCell ref="A6:B6"/>
    <mergeCell ref="A1:D1"/>
    <mergeCell ref="A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7" tint="0.79998168889431442"/>
  </sheetPr>
  <dimension ref="A1:E19"/>
  <sheetViews>
    <sheetView workbookViewId="0">
      <selection activeCell="A6" sqref="A6:XFD6"/>
    </sheetView>
  </sheetViews>
  <sheetFormatPr baseColWidth="10" defaultRowHeight="12"/>
  <cols>
    <col min="1" max="1" width="49" style="370" bestFit="1" customWidth="1"/>
    <col min="2" max="2" width="33" style="370" bestFit="1" customWidth="1"/>
    <col min="3" max="3" width="13.42578125" style="418" bestFit="1" customWidth="1"/>
    <col min="4" max="4" width="10.85546875" style="370" bestFit="1" customWidth="1"/>
    <col min="5" max="16384" width="11.42578125" style="370"/>
  </cols>
  <sheetData>
    <row r="1" spans="1:5">
      <c r="A1" s="597" t="s">
        <v>0</v>
      </c>
      <c r="B1" s="597"/>
      <c r="C1" s="597"/>
      <c r="D1" s="597"/>
    </row>
    <row r="2" spans="1:5">
      <c r="A2" s="597" t="s">
        <v>987</v>
      </c>
      <c r="B2" s="597"/>
      <c r="C2" s="597"/>
      <c r="D2" s="597"/>
    </row>
    <row r="4" spans="1:5">
      <c r="A4" s="619" t="s">
        <v>996</v>
      </c>
      <c r="B4" s="619"/>
      <c r="C4" s="619"/>
      <c r="D4" s="619"/>
    </row>
    <row r="5" spans="1:5" ht="12.75" thickBot="1">
      <c r="A5" s="544"/>
      <c r="B5" s="544"/>
      <c r="C5" s="544"/>
      <c r="D5" s="544"/>
    </row>
    <row r="6" spans="1:5" s="525" customFormat="1" ht="24.75" customHeight="1" thickBot="1">
      <c r="A6" s="620" t="s">
        <v>821</v>
      </c>
      <c r="B6" s="621"/>
      <c r="C6" s="622"/>
      <c r="D6" s="557">
        <v>100000000</v>
      </c>
    </row>
    <row r="7" spans="1:5" ht="12.75" thickBot="1">
      <c r="A7" s="491" t="s">
        <v>822</v>
      </c>
      <c r="B7" s="492"/>
      <c r="C7" s="493"/>
      <c r="D7" s="494"/>
    </row>
    <row r="8" spans="1:5">
      <c r="A8" s="495" t="s">
        <v>847</v>
      </c>
      <c r="B8" s="496" t="s">
        <v>838</v>
      </c>
      <c r="C8" s="497">
        <v>1077295015</v>
      </c>
      <c r="D8" s="481"/>
      <c r="E8" s="498"/>
    </row>
    <row r="9" spans="1:5">
      <c r="A9" s="482" t="s">
        <v>823</v>
      </c>
      <c r="B9" s="388" t="s">
        <v>967</v>
      </c>
      <c r="C9" s="499">
        <v>1075671540</v>
      </c>
      <c r="D9" s="484"/>
    </row>
    <row r="10" spans="1:5">
      <c r="A10" s="482" t="s">
        <v>824</v>
      </c>
      <c r="B10" s="388" t="s">
        <v>853</v>
      </c>
      <c r="C10" s="499">
        <v>79632936</v>
      </c>
      <c r="D10" s="484"/>
    </row>
    <row r="11" spans="1:5">
      <c r="A11" s="482" t="s">
        <v>833</v>
      </c>
      <c r="B11" s="388" t="s">
        <v>983</v>
      </c>
      <c r="C11" s="499">
        <v>20985486</v>
      </c>
      <c r="D11" s="484"/>
    </row>
    <row r="12" spans="1:5">
      <c r="A12" s="482" t="s">
        <v>834</v>
      </c>
      <c r="B12" s="485" t="s">
        <v>855</v>
      </c>
      <c r="C12" s="500">
        <v>1077294510</v>
      </c>
      <c r="D12" s="484"/>
    </row>
    <row r="13" spans="1:5">
      <c r="A13" s="482" t="s">
        <v>835</v>
      </c>
      <c r="B13" s="388" t="s">
        <v>854</v>
      </c>
      <c r="C13" s="499">
        <v>32531559</v>
      </c>
      <c r="D13" s="484"/>
    </row>
    <row r="14" spans="1:5">
      <c r="A14" s="482" t="s">
        <v>836</v>
      </c>
      <c r="B14" s="388" t="s">
        <v>856</v>
      </c>
      <c r="C14" s="499">
        <v>1077295037</v>
      </c>
      <c r="D14" s="484"/>
    </row>
    <row r="15" spans="1:5">
      <c r="A15" s="482" t="s">
        <v>774</v>
      </c>
      <c r="B15" s="388" t="s">
        <v>960</v>
      </c>
      <c r="C15" s="499">
        <v>1077295251</v>
      </c>
      <c r="D15" s="501"/>
    </row>
    <row r="16" spans="1:5">
      <c r="A16" s="482" t="s">
        <v>850</v>
      </c>
      <c r="B16" s="502" t="s">
        <v>974</v>
      </c>
      <c r="C16" s="503">
        <v>1075681334</v>
      </c>
      <c r="D16" s="501"/>
    </row>
    <row r="17" spans="1:4">
      <c r="A17" s="482" t="s">
        <v>837</v>
      </c>
      <c r="B17" s="388" t="s">
        <v>857</v>
      </c>
      <c r="C17" s="499">
        <v>20985723</v>
      </c>
      <c r="D17" s="484"/>
    </row>
    <row r="18" spans="1:4">
      <c r="A18" s="482" t="s">
        <v>848</v>
      </c>
      <c r="B18" s="388" t="s">
        <v>975</v>
      </c>
      <c r="C18" s="504" t="s">
        <v>947</v>
      </c>
      <c r="D18" s="484"/>
    </row>
    <row r="19" spans="1:4" ht="12.75" thickBot="1">
      <c r="A19" s="487" t="s">
        <v>849</v>
      </c>
      <c r="B19" s="488" t="s">
        <v>976</v>
      </c>
      <c r="C19" s="505">
        <v>1076658243</v>
      </c>
      <c r="D19" s="490"/>
    </row>
  </sheetData>
  <mergeCells count="4">
    <mergeCell ref="A4:D4"/>
    <mergeCell ref="A6:C6"/>
    <mergeCell ref="A1:D1"/>
    <mergeCell ref="A2:D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84873-7197-4F1F-AC3A-AD65B2C47A2A}">
  <sheetPr>
    <tabColor theme="7" tint="0.79998168889431442"/>
  </sheetPr>
  <dimension ref="A1:C7"/>
  <sheetViews>
    <sheetView workbookViewId="0">
      <selection activeCell="A6" sqref="A6"/>
    </sheetView>
  </sheetViews>
  <sheetFormatPr baseColWidth="10" defaultRowHeight="12"/>
  <cols>
    <col min="1" max="1" width="29.28515625" style="370" customWidth="1"/>
    <col min="2" max="2" width="19.28515625" style="370" customWidth="1"/>
    <col min="3" max="16384" width="11.42578125" style="370"/>
  </cols>
  <sheetData>
    <row r="1" spans="1:3">
      <c r="A1" s="597" t="s">
        <v>0</v>
      </c>
      <c r="B1" s="597"/>
      <c r="C1" s="401"/>
    </row>
    <row r="2" spans="1:3">
      <c r="A2" s="597" t="s">
        <v>987</v>
      </c>
      <c r="B2" s="597"/>
      <c r="C2" s="401"/>
    </row>
    <row r="4" spans="1:3" ht="12.75" customHeight="1">
      <c r="A4" s="623" t="s">
        <v>985</v>
      </c>
      <c r="B4" s="623"/>
    </row>
    <row r="5" spans="1:3">
      <c r="A5" s="509"/>
    </row>
    <row r="6" spans="1:3" ht="21" customHeight="1">
      <c r="A6" s="506" t="s">
        <v>997</v>
      </c>
      <c r="B6" s="506" t="s">
        <v>2</v>
      </c>
    </row>
    <row r="7" spans="1:3">
      <c r="A7" s="507" t="s">
        <v>986</v>
      </c>
      <c r="B7" s="510">
        <v>150000000</v>
      </c>
    </row>
  </sheetData>
  <mergeCells count="3">
    <mergeCell ref="A4:B4"/>
    <mergeCell ref="A1:B1"/>
    <mergeCell ref="A2:B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 tint="0.79998168889431442"/>
  </sheetPr>
  <dimension ref="A1:C8"/>
  <sheetViews>
    <sheetView workbookViewId="0">
      <selection activeCell="F4" sqref="F4"/>
    </sheetView>
  </sheetViews>
  <sheetFormatPr baseColWidth="10" defaultColWidth="11.42578125" defaultRowHeight="12"/>
  <cols>
    <col min="1" max="1" width="16.5703125" style="370" customWidth="1"/>
    <col min="2" max="2" width="44.5703125" style="370" customWidth="1"/>
    <col min="3" max="16384" width="11.42578125" style="370"/>
  </cols>
  <sheetData>
    <row r="1" spans="1:3">
      <c r="A1" s="597" t="s">
        <v>0</v>
      </c>
      <c r="B1" s="597"/>
      <c r="C1" s="597"/>
    </row>
    <row r="2" spans="1:3">
      <c r="A2" s="597" t="s">
        <v>987</v>
      </c>
      <c r="B2" s="597"/>
      <c r="C2" s="597"/>
    </row>
    <row r="4" spans="1:3" ht="34.5" customHeight="1">
      <c r="A4" s="624" t="s">
        <v>812</v>
      </c>
      <c r="B4" s="624"/>
      <c r="C4" s="624"/>
    </row>
    <row r="5" spans="1:3" ht="15" customHeight="1">
      <c r="A5" s="509"/>
      <c r="B5" s="509"/>
    </row>
    <row r="6" spans="1:3" ht="24">
      <c r="A6" s="506" t="s">
        <v>108</v>
      </c>
      <c r="B6" s="506" t="s">
        <v>109</v>
      </c>
      <c r="C6" s="506" t="s">
        <v>2</v>
      </c>
    </row>
    <row r="7" spans="1:3" ht="24">
      <c r="A7" s="507" t="s">
        <v>113</v>
      </c>
      <c r="B7" s="508" t="s">
        <v>789</v>
      </c>
      <c r="C7" s="511" t="s">
        <v>813</v>
      </c>
    </row>
    <row r="8" spans="1:3" ht="24">
      <c r="A8" s="507" t="s">
        <v>138</v>
      </c>
      <c r="B8" s="508" t="s">
        <v>790</v>
      </c>
      <c r="C8" s="511" t="s">
        <v>813</v>
      </c>
    </row>
  </sheetData>
  <mergeCells count="3">
    <mergeCell ref="A4:C4"/>
    <mergeCell ref="A1:C1"/>
    <mergeCell ref="A2: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 tint="0.79998168889431442"/>
  </sheetPr>
  <dimension ref="A1:K24"/>
  <sheetViews>
    <sheetView topLeftCell="A10" workbookViewId="0">
      <selection activeCell="A33" sqref="A33"/>
    </sheetView>
  </sheetViews>
  <sheetFormatPr baseColWidth="10" defaultColWidth="11.42578125" defaultRowHeight="12"/>
  <cols>
    <col min="1" max="1" width="17.85546875" style="525" customWidth="1"/>
    <col min="2" max="2" width="39.85546875" style="525" customWidth="1"/>
    <col min="3" max="3" width="22.5703125" style="525" customWidth="1"/>
    <col min="4" max="4" width="18.85546875" style="525" customWidth="1"/>
    <col min="5" max="5" width="17.28515625" style="525" customWidth="1"/>
    <col min="6" max="6" width="14.85546875" style="530" bestFit="1" customWidth="1"/>
    <col min="7" max="7" width="13.85546875" style="530" bestFit="1" customWidth="1"/>
    <col min="8" max="11" width="11.42578125" style="530"/>
    <col min="12" max="16384" width="11.42578125" style="525"/>
  </cols>
  <sheetData>
    <row r="1" spans="1:11" ht="12" customHeight="1">
      <c r="A1" s="597" t="s">
        <v>0</v>
      </c>
      <c r="B1" s="597"/>
      <c r="C1" s="597"/>
      <c r="D1" s="597"/>
    </row>
    <row r="2" spans="1:11">
      <c r="A2" s="597" t="s">
        <v>987</v>
      </c>
      <c r="B2" s="597"/>
      <c r="C2" s="597"/>
      <c r="D2" s="597"/>
    </row>
    <row r="4" spans="1:11">
      <c r="A4" s="625" t="s">
        <v>825</v>
      </c>
      <c r="B4" s="625"/>
      <c r="C4" s="625"/>
      <c r="D4" s="625"/>
      <c r="F4" s="526"/>
      <c r="G4" s="526"/>
      <c r="H4" s="526"/>
      <c r="I4" s="526"/>
      <c r="J4" s="526"/>
      <c r="K4" s="526"/>
    </row>
    <row r="5" spans="1:11" ht="12.75" thickBot="1">
      <c r="A5" s="524"/>
      <c r="B5" s="524"/>
      <c r="C5" s="524"/>
      <c r="D5" s="524"/>
      <c r="F5" s="526"/>
      <c r="G5" s="526"/>
      <c r="H5" s="526"/>
      <c r="I5" s="526"/>
      <c r="J5" s="526"/>
      <c r="K5" s="526"/>
    </row>
    <row r="6" spans="1:11" ht="21.75" customHeight="1" thickBot="1">
      <c r="A6" s="545" t="s">
        <v>825</v>
      </c>
      <c r="B6" s="546" t="s">
        <v>826</v>
      </c>
      <c r="C6" s="547"/>
      <c r="D6" s="527">
        <v>5960985</v>
      </c>
      <c r="F6" s="526"/>
      <c r="G6" s="526"/>
      <c r="H6" s="526"/>
      <c r="I6" s="526"/>
      <c r="J6" s="526"/>
      <c r="K6" s="526"/>
    </row>
    <row r="7" spans="1:11" ht="21.75" customHeight="1" thickBot="1">
      <c r="A7" s="626" t="s">
        <v>827</v>
      </c>
      <c r="B7" s="629" t="s">
        <v>828</v>
      </c>
      <c r="C7" s="630"/>
      <c r="D7" s="551">
        <f>+D6*20</f>
        <v>119219700</v>
      </c>
      <c r="E7" s="528">
        <f>+D7*11</f>
        <v>1311416700</v>
      </c>
      <c r="F7" s="526"/>
      <c r="G7" s="526"/>
      <c r="H7" s="526"/>
      <c r="I7" s="526"/>
      <c r="J7" s="526"/>
      <c r="K7" s="526"/>
    </row>
    <row r="8" spans="1:11" ht="21.75" customHeight="1" thickBot="1">
      <c r="A8" s="627"/>
      <c r="B8" s="629" t="s">
        <v>829</v>
      </c>
      <c r="C8" s="630"/>
      <c r="D8" s="551">
        <f>+D6*20</f>
        <v>119219700</v>
      </c>
      <c r="F8" s="526"/>
      <c r="G8" s="526"/>
      <c r="H8" s="526"/>
      <c r="I8" s="526"/>
      <c r="J8" s="526"/>
      <c r="K8" s="526"/>
    </row>
    <row r="9" spans="1:11" ht="21.75" customHeight="1" thickBot="1">
      <c r="A9" s="627"/>
      <c r="B9" s="629" t="s">
        <v>830</v>
      </c>
      <c r="C9" s="630"/>
      <c r="D9" s="551">
        <f>+D6*20</f>
        <v>119219700</v>
      </c>
      <c r="F9" s="526"/>
      <c r="G9" s="526"/>
      <c r="H9" s="526"/>
      <c r="I9" s="526"/>
      <c r="J9" s="526"/>
      <c r="K9" s="526"/>
    </row>
    <row r="10" spans="1:11" ht="21.75" customHeight="1" thickBot="1">
      <c r="A10" s="627"/>
      <c r="B10" s="629" t="s">
        <v>831</v>
      </c>
      <c r="C10" s="630"/>
      <c r="D10" s="551">
        <f>SUM(D6*20)/2</f>
        <v>59609850</v>
      </c>
      <c r="F10" s="526"/>
      <c r="G10" s="526"/>
      <c r="H10" s="526"/>
      <c r="I10" s="526"/>
      <c r="J10" s="526"/>
      <c r="K10" s="526"/>
    </row>
    <row r="11" spans="1:11" ht="21.75" customHeight="1" thickBot="1">
      <c r="A11" s="627"/>
      <c r="B11" s="629" t="s">
        <v>832</v>
      </c>
      <c r="C11" s="630"/>
      <c r="D11" s="551">
        <v>10000000</v>
      </c>
      <c r="F11" s="526"/>
      <c r="G11" s="526"/>
      <c r="H11" s="526"/>
      <c r="I11" s="526"/>
      <c r="J11" s="526"/>
      <c r="K11" s="526"/>
    </row>
    <row r="12" spans="1:11" ht="21.75" customHeight="1" thickBot="1">
      <c r="A12" s="628"/>
      <c r="B12" s="629" t="s">
        <v>97</v>
      </c>
      <c r="C12" s="630"/>
      <c r="D12" s="551">
        <v>15000000</v>
      </c>
      <c r="F12" s="526"/>
      <c r="G12" s="526"/>
      <c r="H12" s="526"/>
      <c r="I12" s="526"/>
      <c r="J12" s="526"/>
      <c r="K12" s="526"/>
    </row>
    <row r="13" spans="1:11" ht="17.25" customHeight="1" thickBot="1">
      <c r="A13" s="548" t="s">
        <v>326</v>
      </c>
      <c r="B13" s="549" t="s">
        <v>327</v>
      </c>
      <c r="C13" s="549" t="s">
        <v>328</v>
      </c>
      <c r="D13" s="550" t="s">
        <v>329</v>
      </c>
      <c r="E13" s="529"/>
      <c r="F13" s="526"/>
      <c r="G13" s="526"/>
      <c r="H13" s="526"/>
      <c r="I13" s="526"/>
      <c r="J13" s="526"/>
      <c r="K13" s="526"/>
    </row>
    <row r="14" spans="1:11">
      <c r="A14" s="512" t="s">
        <v>331</v>
      </c>
      <c r="B14" s="479" t="s">
        <v>838</v>
      </c>
      <c r="C14" s="513">
        <v>33487</v>
      </c>
      <c r="D14" s="514">
        <v>1077295015</v>
      </c>
    </row>
    <row r="15" spans="1:11">
      <c r="A15" s="515" t="s">
        <v>774</v>
      </c>
      <c r="B15" s="531" t="s">
        <v>960</v>
      </c>
      <c r="C15" s="516">
        <v>34291</v>
      </c>
      <c r="D15" s="517">
        <v>1077295251</v>
      </c>
    </row>
    <row r="16" spans="1:11">
      <c r="A16" s="512" t="s">
        <v>335</v>
      </c>
      <c r="B16" s="479" t="s">
        <v>839</v>
      </c>
      <c r="C16" s="513">
        <v>30151</v>
      </c>
      <c r="D16" s="514">
        <v>20985939</v>
      </c>
    </row>
    <row r="17" spans="1:4">
      <c r="A17" s="515" t="s">
        <v>335</v>
      </c>
      <c r="B17" s="419" t="s">
        <v>840</v>
      </c>
      <c r="C17" s="518">
        <v>35378</v>
      </c>
      <c r="D17" s="519">
        <v>1075682334</v>
      </c>
    </row>
    <row r="18" spans="1:4">
      <c r="A18" s="515" t="s">
        <v>335</v>
      </c>
      <c r="B18" s="419" t="s">
        <v>841</v>
      </c>
      <c r="C18" s="518">
        <v>35899</v>
      </c>
      <c r="D18" s="519">
        <v>1077295767</v>
      </c>
    </row>
    <row r="19" spans="1:4">
      <c r="A19" s="515" t="s">
        <v>335</v>
      </c>
      <c r="B19" s="419" t="s">
        <v>842</v>
      </c>
      <c r="C19" s="518">
        <v>31265</v>
      </c>
      <c r="D19" s="519">
        <v>1077294259</v>
      </c>
    </row>
    <row r="20" spans="1:4">
      <c r="A20" s="515" t="s">
        <v>335</v>
      </c>
      <c r="B20" s="419" t="s">
        <v>843</v>
      </c>
      <c r="C20" s="518">
        <v>31635</v>
      </c>
      <c r="D20" s="519">
        <v>1076647569</v>
      </c>
    </row>
    <row r="21" spans="1:4">
      <c r="A21" s="515" t="s">
        <v>335</v>
      </c>
      <c r="B21" s="419" t="s">
        <v>844</v>
      </c>
      <c r="C21" s="518">
        <v>25477</v>
      </c>
      <c r="D21" s="519">
        <v>3145889</v>
      </c>
    </row>
    <row r="22" spans="1:4">
      <c r="A22" s="515" t="s">
        <v>335</v>
      </c>
      <c r="B22" s="419" t="s">
        <v>984</v>
      </c>
      <c r="C22" s="518">
        <v>34142</v>
      </c>
      <c r="D22" s="519">
        <v>1077295194</v>
      </c>
    </row>
    <row r="23" spans="1:4">
      <c r="A23" s="515" t="s">
        <v>335</v>
      </c>
      <c r="B23" s="419" t="s">
        <v>845</v>
      </c>
      <c r="C23" s="518">
        <v>29397</v>
      </c>
      <c r="D23" s="519">
        <v>80877911</v>
      </c>
    </row>
    <row r="24" spans="1:4" ht="12.75" thickBot="1">
      <c r="A24" s="520" t="s">
        <v>335</v>
      </c>
      <c r="B24" s="521" t="s">
        <v>846</v>
      </c>
      <c r="C24" s="522">
        <v>23472</v>
      </c>
      <c r="D24" s="523">
        <v>79296551</v>
      </c>
    </row>
  </sheetData>
  <mergeCells count="10">
    <mergeCell ref="A1:D1"/>
    <mergeCell ref="A2:D2"/>
    <mergeCell ref="A4:D4"/>
    <mergeCell ref="A7:A12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25"/>
  <sheetViews>
    <sheetView topLeftCell="A16" workbookViewId="0">
      <selection activeCell="B15" sqref="B15"/>
    </sheetView>
  </sheetViews>
  <sheetFormatPr baseColWidth="10" defaultColWidth="11.42578125" defaultRowHeight="12.75"/>
  <cols>
    <col min="1" max="1" width="10.85546875" customWidth="1"/>
    <col min="2" max="2" width="36" customWidth="1"/>
    <col min="3" max="3" width="24.28515625" customWidth="1"/>
    <col min="4" max="4" width="18" customWidth="1"/>
    <col min="5" max="5" width="14.28515625" style="258" customWidth="1"/>
    <col min="6" max="6" width="13.140625" style="258" customWidth="1"/>
    <col min="7" max="7" width="13.5703125" style="258" customWidth="1"/>
    <col min="8" max="8" width="14.140625" customWidth="1"/>
  </cols>
  <sheetData>
    <row r="1" spans="1:4" ht="24">
      <c r="A1" s="281" t="s">
        <v>108</v>
      </c>
      <c r="B1" s="281" t="s">
        <v>109</v>
      </c>
      <c r="C1" s="282" t="s">
        <v>156</v>
      </c>
      <c r="D1" s="283" t="s">
        <v>345</v>
      </c>
    </row>
    <row r="2" spans="1:4" ht="60">
      <c r="A2" s="284" t="s">
        <v>144</v>
      </c>
      <c r="B2" s="285" t="s">
        <v>145</v>
      </c>
      <c r="C2" s="286" t="s">
        <v>159</v>
      </c>
      <c r="D2" s="335"/>
    </row>
    <row r="3" spans="1:4" ht="36">
      <c r="A3" s="284" t="s">
        <v>146</v>
      </c>
      <c r="B3" s="285" t="s">
        <v>147</v>
      </c>
      <c r="C3" s="289">
        <v>44277</v>
      </c>
      <c r="D3" s="335"/>
    </row>
    <row r="4" spans="1:4" ht="24">
      <c r="A4" s="284" t="s">
        <v>148</v>
      </c>
      <c r="B4" s="285" t="s">
        <v>149</v>
      </c>
      <c r="C4" s="289">
        <v>44306</v>
      </c>
      <c r="D4" s="335"/>
    </row>
    <row r="5" spans="1:4" ht="36">
      <c r="A5" s="284" t="s">
        <v>150</v>
      </c>
      <c r="B5" s="285" t="s">
        <v>151</v>
      </c>
      <c r="C5" s="289">
        <v>44306</v>
      </c>
      <c r="D5" s="335"/>
    </row>
    <row r="6" spans="1:4" ht="24">
      <c r="A6" s="284" t="s">
        <v>152</v>
      </c>
      <c r="B6" s="285" t="s">
        <v>153</v>
      </c>
      <c r="C6" s="289">
        <v>44306</v>
      </c>
      <c r="D6" s="335"/>
    </row>
    <row r="7" spans="1:4" ht="36">
      <c r="A7" s="284" t="s">
        <v>154</v>
      </c>
      <c r="B7" s="285" t="s">
        <v>155</v>
      </c>
      <c r="C7" s="289">
        <v>44306</v>
      </c>
      <c r="D7" s="335"/>
    </row>
    <row r="8" spans="1:4" ht="36">
      <c r="A8" s="284" t="s">
        <v>111</v>
      </c>
      <c r="B8" s="285" t="s">
        <v>112</v>
      </c>
      <c r="C8" s="289">
        <v>44315</v>
      </c>
      <c r="D8" s="335"/>
    </row>
    <row r="9" spans="1:4" ht="24">
      <c r="A9" s="284" t="s">
        <v>113</v>
      </c>
      <c r="B9" s="285" t="s">
        <v>114</v>
      </c>
      <c r="C9" s="289">
        <v>44318</v>
      </c>
      <c r="D9" s="335"/>
    </row>
    <row r="10" spans="1:4" ht="48">
      <c r="A10" s="284" t="s">
        <v>115</v>
      </c>
      <c r="B10" s="285" t="s">
        <v>116</v>
      </c>
      <c r="C10" s="289">
        <v>44335</v>
      </c>
      <c r="D10" s="335"/>
    </row>
    <row r="11" spans="1:4" ht="24">
      <c r="A11" s="284" t="s">
        <v>117</v>
      </c>
      <c r="B11" s="285" t="s">
        <v>118</v>
      </c>
      <c r="C11" s="289">
        <v>44358</v>
      </c>
      <c r="D11" s="335"/>
    </row>
    <row r="12" spans="1:4" ht="36">
      <c r="A12" s="284" t="s">
        <v>119</v>
      </c>
      <c r="B12" s="285" t="s">
        <v>120</v>
      </c>
      <c r="C12" s="289">
        <v>44358</v>
      </c>
      <c r="D12" s="335"/>
    </row>
    <row r="13" spans="1:4" ht="24">
      <c r="A13" s="284" t="s">
        <v>121</v>
      </c>
      <c r="B13" s="285" t="s">
        <v>122</v>
      </c>
      <c r="C13" s="289">
        <v>44358</v>
      </c>
      <c r="D13" s="335"/>
    </row>
    <row r="14" spans="1:4" ht="24">
      <c r="A14" s="284" t="s">
        <v>123</v>
      </c>
      <c r="B14" s="285" t="s">
        <v>124</v>
      </c>
      <c r="C14" s="289">
        <v>44358</v>
      </c>
      <c r="D14" s="335"/>
    </row>
    <row r="15" spans="1:4" ht="24">
      <c r="A15" s="284" t="s">
        <v>125</v>
      </c>
      <c r="B15" s="285" t="s">
        <v>126</v>
      </c>
      <c r="C15" s="289">
        <v>44358</v>
      </c>
      <c r="D15" s="335"/>
    </row>
    <row r="16" spans="1:4" ht="24">
      <c r="A16" s="284" t="s">
        <v>127</v>
      </c>
      <c r="B16" s="285" t="s">
        <v>128</v>
      </c>
      <c r="C16" s="289">
        <v>44360</v>
      </c>
      <c r="D16" s="336"/>
    </row>
    <row r="17" spans="1:4" ht="36">
      <c r="A17" s="284" t="s">
        <v>129</v>
      </c>
      <c r="B17" s="285" t="s">
        <v>130</v>
      </c>
      <c r="C17" s="289">
        <v>44413</v>
      </c>
      <c r="D17" s="335"/>
    </row>
    <row r="18" spans="1:4" ht="24">
      <c r="A18" s="284" t="s">
        <v>131</v>
      </c>
      <c r="B18" s="285" t="s">
        <v>160</v>
      </c>
      <c r="C18" s="289">
        <v>44418</v>
      </c>
      <c r="D18" s="335"/>
    </row>
    <row r="19" spans="1:4" ht="24">
      <c r="A19" s="284" t="s">
        <v>132</v>
      </c>
      <c r="B19" s="285" t="s">
        <v>133</v>
      </c>
      <c r="C19" s="289">
        <v>44454</v>
      </c>
      <c r="D19" s="335"/>
    </row>
    <row r="20" spans="1:4" ht="24">
      <c r="A20" s="284" t="s">
        <v>134</v>
      </c>
      <c r="B20" s="285" t="s">
        <v>135</v>
      </c>
      <c r="C20" s="289">
        <v>44454</v>
      </c>
      <c r="D20" s="335"/>
    </row>
    <row r="21" spans="1:4" ht="24">
      <c r="A21" s="284" t="s">
        <v>136</v>
      </c>
      <c r="B21" s="285" t="s">
        <v>137</v>
      </c>
      <c r="C21" s="289">
        <v>44485</v>
      </c>
      <c r="D21" s="335"/>
    </row>
    <row r="22" spans="1:4" ht="24">
      <c r="A22" s="284" t="s">
        <v>138</v>
      </c>
      <c r="B22" s="285" t="s">
        <v>139</v>
      </c>
      <c r="C22" s="289">
        <v>44501</v>
      </c>
      <c r="D22" s="335"/>
    </row>
    <row r="23" spans="1:4" ht="36">
      <c r="A23" s="284" t="s">
        <v>140</v>
      </c>
      <c r="B23" s="285" t="s">
        <v>141</v>
      </c>
      <c r="C23" s="289">
        <v>44543</v>
      </c>
      <c r="D23" s="336"/>
    </row>
    <row r="24" spans="1:4" ht="24">
      <c r="A24" s="284" t="s">
        <v>142</v>
      </c>
      <c r="B24" s="285" t="s">
        <v>161</v>
      </c>
      <c r="C24" s="289">
        <v>44583</v>
      </c>
      <c r="D24" s="335"/>
    </row>
    <row r="25" spans="1:4">
      <c r="A25" s="278"/>
      <c r="B25" s="278"/>
      <c r="C25" s="278"/>
      <c r="D25" s="279">
        <f>SUM(D2:D24)</f>
        <v>0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25"/>
  <sheetViews>
    <sheetView topLeftCell="A19" workbookViewId="0">
      <selection activeCell="B15" sqref="B15"/>
    </sheetView>
  </sheetViews>
  <sheetFormatPr baseColWidth="10" defaultColWidth="11.42578125" defaultRowHeight="12.75"/>
  <cols>
    <col min="1" max="1" width="10.85546875" customWidth="1"/>
    <col min="2" max="2" width="36" customWidth="1"/>
    <col min="3" max="3" width="24.28515625" customWidth="1"/>
    <col min="4" max="4" width="18" style="293" customWidth="1"/>
    <col min="5" max="5" width="14.28515625" customWidth="1"/>
    <col min="6" max="6" width="15.28515625" bestFit="1" customWidth="1"/>
    <col min="7" max="7" width="13.5703125" customWidth="1"/>
    <col min="8" max="8" width="14.140625" customWidth="1"/>
  </cols>
  <sheetData>
    <row r="1" spans="1:5">
      <c r="A1" s="281" t="s">
        <v>108</v>
      </c>
      <c r="B1" s="281" t="s">
        <v>109</v>
      </c>
      <c r="C1" s="282" t="s">
        <v>156</v>
      </c>
      <c r="D1" s="283" t="s">
        <v>157</v>
      </c>
      <c r="E1" s="283" t="s">
        <v>158</v>
      </c>
    </row>
    <row r="2" spans="1:5" ht="60">
      <c r="A2" s="284" t="s">
        <v>144</v>
      </c>
      <c r="B2" s="285" t="s">
        <v>145</v>
      </c>
      <c r="C2" s="286" t="s">
        <v>159</v>
      </c>
      <c r="D2" s="287">
        <v>321</v>
      </c>
      <c r="E2" s="288">
        <v>942000</v>
      </c>
    </row>
    <row r="3" spans="1:5" ht="36">
      <c r="A3" s="284" t="s">
        <v>146</v>
      </c>
      <c r="B3" s="285" t="s">
        <v>147</v>
      </c>
      <c r="C3" s="289">
        <v>44277</v>
      </c>
      <c r="D3" s="287">
        <v>231</v>
      </c>
      <c r="E3" s="288">
        <v>815250</v>
      </c>
    </row>
    <row r="4" spans="1:5" ht="24">
      <c r="A4" s="284" t="s">
        <v>148</v>
      </c>
      <c r="B4" s="285" t="s">
        <v>149</v>
      </c>
      <c r="C4" s="289">
        <v>44306</v>
      </c>
      <c r="D4" s="287">
        <v>121</v>
      </c>
      <c r="E4" s="288">
        <v>495900</v>
      </c>
    </row>
    <row r="5" spans="1:5" ht="36">
      <c r="A5" s="284" t="s">
        <v>150</v>
      </c>
      <c r="B5" s="285" t="s">
        <v>151</v>
      </c>
      <c r="C5" s="289">
        <v>44306</v>
      </c>
      <c r="D5" s="287">
        <v>121</v>
      </c>
      <c r="E5" s="288">
        <v>495900</v>
      </c>
    </row>
    <row r="6" spans="1:5" ht="24">
      <c r="A6" s="284" t="s">
        <v>152</v>
      </c>
      <c r="B6" s="285" t="s">
        <v>153</v>
      </c>
      <c r="C6" s="289">
        <v>44306</v>
      </c>
      <c r="D6" s="287">
        <v>121</v>
      </c>
      <c r="E6" s="288">
        <v>495900</v>
      </c>
    </row>
    <row r="7" spans="1:5" ht="36">
      <c r="A7" s="284" t="s">
        <v>154</v>
      </c>
      <c r="B7" s="285" t="s">
        <v>155</v>
      </c>
      <c r="C7" s="289">
        <v>44306</v>
      </c>
      <c r="D7" s="287">
        <v>431</v>
      </c>
      <c r="E7" s="288">
        <v>1109250</v>
      </c>
    </row>
    <row r="8" spans="1:5" ht="36">
      <c r="A8" s="284" t="s">
        <v>111</v>
      </c>
      <c r="B8" s="285" t="s">
        <v>112</v>
      </c>
      <c r="C8" s="289">
        <v>44315</v>
      </c>
      <c r="D8" s="287">
        <v>331</v>
      </c>
      <c r="E8" s="288">
        <v>1191000</v>
      </c>
    </row>
    <row r="9" spans="1:5" ht="24">
      <c r="A9" s="284" t="s">
        <v>113</v>
      </c>
      <c r="B9" s="285" t="s">
        <v>114</v>
      </c>
      <c r="C9" s="289">
        <v>44318</v>
      </c>
      <c r="D9" s="287">
        <v>431</v>
      </c>
      <c r="E9" s="288">
        <v>1109250</v>
      </c>
    </row>
    <row r="10" spans="1:5" ht="48">
      <c r="A10" s="284" t="s">
        <v>115</v>
      </c>
      <c r="B10" s="285" t="s">
        <v>116</v>
      </c>
      <c r="C10" s="289">
        <v>44335</v>
      </c>
      <c r="D10" s="287">
        <v>121</v>
      </c>
      <c r="E10" s="288">
        <v>495900</v>
      </c>
    </row>
    <row r="11" spans="1:5" ht="24">
      <c r="A11" s="284" t="s">
        <v>117</v>
      </c>
      <c r="B11" s="285" t="s">
        <v>118</v>
      </c>
      <c r="C11" s="289">
        <v>44358</v>
      </c>
      <c r="D11" s="287">
        <v>121</v>
      </c>
      <c r="E11" s="288">
        <v>495900</v>
      </c>
    </row>
    <row r="12" spans="1:5" ht="36">
      <c r="A12" s="284" t="s">
        <v>119</v>
      </c>
      <c r="B12" s="285" t="s">
        <v>120</v>
      </c>
      <c r="C12" s="289">
        <v>44358</v>
      </c>
      <c r="D12" s="287">
        <v>121</v>
      </c>
      <c r="E12" s="288">
        <v>495900</v>
      </c>
    </row>
    <row r="13" spans="1:5" ht="24">
      <c r="A13" s="284" t="s">
        <v>121</v>
      </c>
      <c r="B13" s="285" t="s">
        <v>122</v>
      </c>
      <c r="C13" s="289">
        <v>44358</v>
      </c>
      <c r="D13" s="287">
        <v>121</v>
      </c>
      <c r="E13" s="288">
        <v>495900</v>
      </c>
    </row>
    <row r="14" spans="1:5" ht="24">
      <c r="A14" s="284" t="s">
        <v>123</v>
      </c>
      <c r="B14" s="285" t="s">
        <v>124</v>
      </c>
      <c r="C14" s="289">
        <v>44358</v>
      </c>
      <c r="D14" s="287">
        <v>121</v>
      </c>
      <c r="E14" s="288">
        <v>495900</v>
      </c>
    </row>
    <row r="15" spans="1:5" ht="24">
      <c r="A15" s="284" t="s">
        <v>125</v>
      </c>
      <c r="B15" s="285" t="s">
        <v>126</v>
      </c>
      <c r="C15" s="289">
        <v>44358</v>
      </c>
      <c r="D15" s="287">
        <v>121</v>
      </c>
      <c r="E15" s="288">
        <v>495900</v>
      </c>
    </row>
    <row r="16" spans="1:5" ht="24">
      <c r="A16" s="284" t="s">
        <v>127</v>
      </c>
      <c r="B16" s="285" t="s">
        <v>128</v>
      </c>
      <c r="C16" s="289">
        <v>44360</v>
      </c>
      <c r="D16" s="290">
        <v>121</v>
      </c>
      <c r="E16" s="288">
        <v>495900</v>
      </c>
    </row>
    <row r="17" spans="1:6" ht="36">
      <c r="A17" s="284" t="s">
        <v>129</v>
      </c>
      <c r="B17" s="285" t="s">
        <v>130</v>
      </c>
      <c r="C17" s="289">
        <v>44413</v>
      </c>
      <c r="D17" s="287">
        <v>321</v>
      </c>
      <c r="E17" s="288">
        <v>942000</v>
      </c>
    </row>
    <row r="18" spans="1:6" ht="24">
      <c r="A18" s="284" t="s">
        <v>131</v>
      </c>
      <c r="B18" s="285" t="s">
        <v>160</v>
      </c>
      <c r="C18" s="289">
        <v>44418</v>
      </c>
      <c r="D18" s="287">
        <v>121</v>
      </c>
      <c r="E18" s="288">
        <v>495900</v>
      </c>
    </row>
    <row r="19" spans="1:6" ht="24">
      <c r="A19" s="284" t="s">
        <v>132</v>
      </c>
      <c r="B19" s="285" t="s">
        <v>133</v>
      </c>
      <c r="C19" s="289">
        <v>44454</v>
      </c>
      <c r="D19" s="287">
        <v>121</v>
      </c>
      <c r="E19" s="288">
        <v>495900</v>
      </c>
    </row>
    <row r="20" spans="1:6" ht="24">
      <c r="A20" s="284" t="s">
        <v>134</v>
      </c>
      <c r="B20" s="285" t="s">
        <v>135</v>
      </c>
      <c r="C20" s="289">
        <v>44454</v>
      </c>
      <c r="D20" s="287">
        <v>121</v>
      </c>
      <c r="E20" s="288">
        <v>495900</v>
      </c>
    </row>
    <row r="21" spans="1:6" ht="24">
      <c r="A21" s="284" t="s">
        <v>136</v>
      </c>
      <c r="B21" s="285" t="s">
        <v>137</v>
      </c>
      <c r="C21" s="289">
        <v>44485</v>
      </c>
      <c r="D21" s="287">
        <v>121</v>
      </c>
      <c r="E21" s="288">
        <v>495900</v>
      </c>
    </row>
    <row r="22" spans="1:6" ht="24">
      <c r="A22" s="284" t="s">
        <v>138</v>
      </c>
      <c r="B22" s="285" t="s">
        <v>139</v>
      </c>
      <c r="C22" s="289">
        <v>44501</v>
      </c>
      <c r="D22" s="287">
        <v>431</v>
      </c>
      <c r="E22" s="288">
        <v>1109250</v>
      </c>
      <c r="F22" s="294">
        <f>SUM(E2:E22)</f>
        <v>14160600</v>
      </c>
    </row>
    <row r="23" spans="1:6" ht="36">
      <c r="A23" s="284" t="s">
        <v>140</v>
      </c>
      <c r="B23" s="285" t="s">
        <v>141</v>
      </c>
      <c r="C23" s="289">
        <v>44543</v>
      </c>
      <c r="D23" s="290">
        <v>221</v>
      </c>
      <c r="E23" s="288">
        <v>695400</v>
      </c>
    </row>
    <row r="24" spans="1:6" ht="24">
      <c r="A24" s="284" t="s">
        <v>142</v>
      </c>
      <c r="B24" s="285" t="s">
        <v>161</v>
      </c>
      <c r="C24" s="289">
        <v>44583</v>
      </c>
      <c r="D24" s="287">
        <v>321</v>
      </c>
      <c r="E24" s="288">
        <v>942000</v>
      </c>
    </row>
    <row r="25" spans="1:6" ht="15">
      <c r="A25" s="278"/>
      <c r="B25" s="278"/>
      <c r="C25" s="278"/>
      <c r="D25" s="291" t="s">
        <v>6</v>
      </c>
      <c r="E25" s="292">
        <f>SUM(E2:E24)</f>
        <v>15798000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4"/>
  <sheetViews>
    <sheetView workbookViewId="0">
      <selection activeCell="B15" sqref="B15"/>
    </sheetView>
  </sheetViews>
  <sheetFormatPr baseColWidth="10" defaultColWidth="11.42578125" defaultRowHeight="12.75"/>
  <cols>
    <col min="1" max="1" width="17" customWidth="1"/>
    <col min="2" max="2" width="26.42578125" customWidth="1"/>
    <col min="3" max="3" width="23.7109375" customWidth="1"/>
    <col min="4" max="4" width="19.140625" customWidth="1"/>
    <col min="5" max="5" width="20" customWidth="1"/>
    <col min="6" max="6" width="18.85546875" bestFit="1" customWidth="1"/>
  </cols>
  <sheetData>
    <row r="1" spans="1:6" ht="24" customHeight="1">
      <c r="A1" s="262" t="s">
        <v>326</v>
      </c>
      <c r="B1" s="262" t="s">
        <v>327</v>
      </c>
      <c r="C1" s="262" t="s">
        <v>328</v>
      </c>
      <c r="D1" s="262" t="s">
        <v>329</v>
      </c>
      <c r="E1" s="262" t="s">
        <v>330</v>
      </c>
      <c r="F1">
        <f ca="1">+TODAY()</f>
        <v>46224</v>
      </c>
    </row>
    <row r="2" spans="1:6" ht="25.5">
      <c r="A2" s="267" t="s">
        <v>331</v>
      </c>
      <c r="B2" s="245" t="s">
        <v>332</v>
      </c>
      <c r="C2" s="295">
        <v>22112</v>
      </c>
      <c r="D2" s="268">
        <v>3195560</v>
      </c>
      <c r="E2" s="329">
        <f>20*4261640</f>
        <v>85232800</v>
      </c>
      <c r="F2" s="280">
        <v>61</v>
      </c>
    </row>
    <row r="3" spans="1:6" ht="25.5">
      <c r="A3" s="267" t="s">
        <v>333</v>
      </c>
      <c r="B3" s="245" t="s">
        <v>334</v>
      </c>
      <c r="C3" s="295">
        <v>32621</v>
      </c>
      <c r="D3" s="330">
        <v>1072365188</v>
      </c>
      <c r="E3" s="329">
        <f>20*4261640</f>
        <v>85232800</v>
      </c>
      <c r="F3" s="280">
        <v>32</v>
      </c>
    </row>
    <row r="4" spans="1:6" ht="25.5">
      <c r="A4" s="269" t="s">
        <v>335</v>
      </c>
      <c r="B4" s="270" t="s">
        <v>336</v>
      </c>
      <c r="C4" s="296">
        <v>30151</v>
      </c>
      <c r="D4" s="271">
        <v>20985939</v>
      </c>
      <c r="E4" s="272">
        <f t="shared" ref="E4:E12" si="0">20*4261640</f>
        <v>85232800</v>
      </c>
      <c r="F4" s="280">
        <v>39</v>
      </c>
    </row>
    <row r="5" spans="1:6" ht="25.5">
      <c r="A5" s="267" t="s">
        <v>335</v>
      </c>
      <c r="B5" s="245" t="s">
        <v>337</v>
      </c>
      <c r="C5" s="295">
        <v>27038</v>
      </c>
      <c r="D5" s="268">
        <v>7167715</v>
      </c>
      <c r="E5" s="329">
        <f t="shared" si="0"/>
        <v>85232800</v>
      </c>
      <c r="F5" s="280">
        <v>47</v>
      </c>
    </row>
    <row r="6" spans="1:6" ht="25.5">
      <c r="A6" s="267" t="s">
        <v>335</v>
      </c>
      <c r="B6" s="245" t="s">
        <v>338</v>
      </c>
      <c r="C6" s="295">
        <v>22461</v>
      </c>
      <c r="D6" s="268">
        <v>3195553</v>
      </c>
      <c r="E6" s="329">
        <f t="shared" si="0"/>
        <v>85232800</v>
      </c>
      <c r="F6" s="280">
        <v>60</v>
      </c>
    </row>
    <row r="7" spans="1:6">
      <c r="A7" s="267" t="s">
        <v>335</v>
      </c>
      <c r="B7" s="245" t="s">
        <v>339</v>
      </c>
      <c r="C7" s="295">
        <v>30638</v>
      </c>
      <c r="D7" s="268">
        <v>1077295251</v>
      </c>
      <c r="E7" s="329">
        <f t="shared" si="0"/>
        <v>85232800</v>
      </c>
      <c r="F7" s="280">
        <v>37</v>
      </c>
    </row>
    <row r="8" spans="1:6">
      <c r="A8" s="267" t="s">
        <v>335</v>
      </c>
      <c r="B8" s="245" t="s">
        <v>340</v>
      </c>
      <c r="C8" s="295">
        <v>19860</v>
      </c>
      <c r="D8" s="268">
        <v>41756481</v>
      </c>
      <c r="E8" s="329">
        <f t="shared" si="0"/>
        <v>85232800</v>
      </c>
      <c r="F8" s="280">
        <v>67</v>
      </c>
    </row>
    <row r="9" spans="1:6" ht="25.5">
      <c r="A9" s="267" t="s">
        <v>335</v>
      </c>
      <c r="B9" s="245" t="s">
        <v>341</v>
      </c>
      <c r="C9" s="295">
        <v>31635</v>
      </c>
      <c r="D9" s="268">
        <v>1076647569</v>
      </c>
      <c r="E9" s="329">
        <f t="shared" si="0"/>
        <v>85232800</v>
      </c>
      <c r="F9" s="280">
        <v>35</v>
      </c>
    </row>
    <row r="10" spans="1:6">
      <c r="A10" s="267" t="s">
        <v>335</v>
      </c>
      <c r="B10" s="245" t="s">
        <v>342</v>
      </c>
      <c r="C10" s="295">
        <v>33230</v>
      </c>
      <c r="D10" s="268">
        <v>1018440128</v>
      </c>
      <c r="E10" s="329">
        <f t="shared" si="0"/>
        <v>85232800</v>
      </c>
      <c r="F10" s="280">
        <v>30</v>
      </c>
    </row>
    <row r="11" spans="1:6">
      <c r="A11" s="267" t="s">
        <v>335</v>
      </c>
      <c r="B11" s="245" t="s">
        <v>343</v>
      </c>
      <c r="C11" s="295">
        <v>35868</v>
      </c>
      <c r="D11" s="268">
        <v>1077295748</v>
      </c>
      <c r="E11" s="329">
        <f t="shared" si="0"/>
        <v>85232800</v>
      </c>
      <c r="F11" s="280">
        <v>23</v>
      </c>
    </row>
    <row r="12" spans="1:6" ht="25.5">
      <c r="A12" s="267" t="s">
        <v>335</v>
      </c>
      <c r="B12" s="245" t="s">
        <v>344</v>
      </c>
      <c r="C12" s="295">
        <v>22678</v>
      </c>
      <c r="D12" s="268">
        <v>3195629</v>
      </c>
      <c r="E12" s="329">
        <f t="shared" si="0"/>
        <v>85232800</v>
      </c>
      <c r="F12" s="280">
        <v>59</v>
      </c>
    </row>
    <row r="13" spans="1:6" ht="15.75" customHeight="1">
      <c r="A13" s="273"/>
      <c r="B13" s="273"/>
      <c r="C13" s="273"/>
      <c r="D13" s="273"/>
      <c r="E13" s="273"/>
    </row>
    <row r="14" spans="1:6" ht="38.25">
      <c r="A14" s="274" t="s">
        <v>346</v>
      </c>
      <c r="B14" s="275">
        <v>4261640</v>
      </c>
      <c r="C14" s="273"/>
      <c r="D14" s="273"/>
      <c r="E14" s="298">
        <f>+E12*60%</f>
        <v>51139680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L33"/>
  <sheetViews>
    <sheetView view="pageBreakPreview" zoomScale="85" zoomScaleNormal="100" zoomScaleSheetLayoutView="85" workbookViewId="0">
      <pane xSplit="2" ySplit="4" topLeftCell="C20" activePane="bottomRight" state="frozen"/>
      <selection pane="topRight" activeCell="C4" sqref="C4:E4"/>
      <selection pane="bottomLeft" activeCell="C4" sqref="C4:E4"/>
      <selection pane="bottomRight" activeCell="C4" sqref="C4:E4"/>
    </sheetView>
  </sheetViews>
  <sheetFormatPr baseColWidth="10" defaultColWidth="11.42578125" defaultRowHeight="15"/>
  <cols>
    <col min="1" max="1" width="50.85546875" style="200" customWidth="1"/>
    <col min="2" max="2" width="20.5703125" style="201" bestFit="1" customWidth="1"/>
    <col min="3" max="3" width="22" style="200" bestFit="1" customWidth="1"/>
    <col min="4" max="4" width="16.5703125" style="200" bestFit="1" customWidth="1"/>
    <col min="5" max="5" width="13.28515625" style="200" bestFit="1" customWidth="1"/>
    <col min="6" max="6" width="18.28515625" style="200" bestFit="1" customWidth="1"/>
    <col min="7" max="7" width="15.85546875" style="200" bestFit="1" customWidth="1"/>
    <col min="8" max="8" width="16.28515625" style="200" bestFit="1" customWidth="1"/>
    <col min="9" max="9" width="13.28515625" style="200" bestFit="1" customWidth="1"/>
    <col min="10" max="10" width="14.7109375" style="200" bestFit="1" customWidth="1"/>
    <col min="11" max="11" width="19.5703125" style="200" bestFit="1" customWidth="1"/>
    <col min="12" max="12" width="15.5703125" style="200" bestFit="1" customWidth="1"/>
    <col min="13" max="16384" width="11.42578125" style="200"/>
  </cols>
  <sheetData>
    <row r="2" spans="1:11">
      <c r="K2" s="337" t="s">
        <v>347</v>
      </c>
    </row>
    <row r="3" spans="1:11">
      <c r="B3" s="218" t="s">
        <v>348</v>
      </c>
      <c r="C3" s="202" t="s">
        <v>8</v>
      </c>
      <c r="D3" s="202" t="s">
        <v>349</v>
      </c>
      <c r="E3" s="202" t="s">
        <v>350</v>
      </c>
      <c r="F3" s="202" t="s">
        <v>351</v>
      </c>
      <c r="G3" s="203" t="s">
        <v>352</v>
      </c>
      <c r="H3" s="203" t="s">
        <v>353</v>
      </c>
      <c r="I3" s="202" t="s">
        <v>354</v>
      </c>
      <c r="J3" s="202" t="s">
        <v>355</v>
      </c>
      <c r="K3" s="202" t="s">
        <v>356</v>
      </c>
    </row>
    <row r="4" spans="1:11">
      <c r="A4" s="222" t="s">
        <v>357</v>
      </c>
      <c r="B4" s="217">
        <v>184</v>
      </c>
      <c r="C4" s="204">
        <v>0.55000000000000004</v>
      </c>
      <c r="D4" s="228">
        <v>1</v>
      </c>
      <c r="E4" s="228">
        <v>0.1</v>
      </c>
      <c r="F4" s="229">
        <v>1E-3</v>
      </c>
      <c r="G4" s="229">
        <v>5.0000000000000001E-3</v>
      </c>
      <c r="H4" s="230">
        <v>1.0999999999999999E-2</v>
      </c>
      <c r="I4" s="204">
        <v>2.5</v>
      </c>
      <c r="J4" s="228">
        <v>3</v>
      </c>
      <c r="K4" s="228">
        <v>3</v>
      </c>
    </row>
    <row r="5" spans="1:11">
      <c r="A5" s="205" t="s">
        <v>358</v>
      </c>
      <c r="B5" s="206"/>
      <c r="C5" s="207"/>
      <c r="D5" s="208"/>
      <c r="E5" s="206"/>
      <c r="F5" s="206"/>
      <c r="G5" s="208"/>
      <c r="H5" s="206"/>
      <c r="I5" s="206"/>
      <c r="J5" s="208"/>
      <c r="K5" s="208"/>
    </row>
    <row r="6" spans="1:11">
      <c r="A6" s="219" t="s">
        <v>9</v>
      </c>
      <c r="B6" s="220">
        <v>45033538684</v>
      </c>
      <c r="C6" s="214">
        <f>(B6*$C$4/1000)/365*184</f>
        <v>12486011.273481645</v>
      </c>
      <c r="D6" s="215">
        <f>(B6*$D$4/1000)/365*184</f>
        <v>22701838.679057535</v>
      </c>
      <c r="E6" s="216">
        <f>(B6*$E$4/1000)/365*184</f>
        <v>2270183.8679057537</v>
      </c>
      <c r="F6" s="216"/>
      <c r="G6" s="215"/>
      <c r="H6" s="216"/>
      <c r="I6" s="216"/>
      <c r="J6" s="215"/>
      <c r="K6" s="208"/>
    </row>
    <row r="7" spans="1:11">
      <c r="A7" s="219" t="s">
        <v>359</v>
      </c>
      <c r="B7" s="220">
        <v>5147868250</v>
      </c>
      <c r="C7" s="214">
        <f t="shared" ref="C7:C23" si="0">(B7*$C$4/1000)/365*184</f>
        <v>1427299.3613698632</v>
      </c>
      <c r="D7" s="215">
        <f t="shared" ref="D7:D23" si="1">(B7*$D$4/1000)/365*184</f>
        <v>2595089.7479452053</v>
      </c>
      <c r="E7" s="216">
        <f t="shared" ref="E7:E23" si="2">(B7*$E$4/1000)/365*184</f>
        <v>259508.97479452053</v>
      </c>
      <c r="F7" s="216"/>
      <c r="G7" s="215"/>
      <c r="H7" s="216"/>
      <c r="I7" s="216"/>
      <c r="J7" s="215"/>
      <c r="K7" s="208"/>
    </row>
    <row r="8" spans="1:11">
      <c r="A8" s="219" t="s">
        <v>360</v>
      </c>
      <c r="B8" s="220">
        <v>10070308</v>
      </c>
      <c r="C8" s="214">
        <f t="shared" si="0"/>
        <v>2792.0963550684933</v>
      </c>
      <c r="D8" s="215">
        <f t="shared" si="1"/>
        <v>5076.5388273972603</v>
      </c>
      <c r="E8" s="216">
        <f t="shared" si="2"/>
        <v>507.65388273972599</v>
      </c>
      <c r="F8" s="216"/>
      <c r="G8" s="215"/>
      <c r="H8" s="216"/>
      <c r="I8" s="216"/>
      <c r="J8" s="215"/>
      <c r="K8" s="208"/>
    </row>
    <row r="9" spans="1:11">
      <c r="A9" s="219" t="s">
        <v>361</v>
      </c>
      <c r="B9" s="220">
        <v>331809990</v>
      </c>
      <c r="C9" s="214">
        <f t="shared" si="0"/>
        <v>91997.728734246572</v>
      </c>
      <c r="D9" s="215">
        <f t="shared" si="1"/>
        <v>167268.59769863015</v>
      </c>
      <c r="E9" s="216">
        <f t="shared" si="2"/>
        <v>16726.859769863015</v>
      </c>
      <c r="F9" s="216">
        <f>(B9*$F$4)/365*184</f>
        <v>167268.59769863015</v>
      </c>
      <c r="G9" s="215"/>
      <c r="H9" s="216"/>
      <c r="I9" s="216"/>
      <c r="J9" s="215"/>
      <c r="K9" s="208"/>
    </row>
    <row r="10" spans="1:11">
      <c r="A10" s="219" t="s">
        <v>16</v>
      </c>
      <c r="B10" s="220">
        <v>61632296</v>
      </c>
      <c r="C10" s="214">
        <f t="shared" si="0"/>
        <v>17088.187274520547</v>
      </c>
      <c r="D10" s="215">
        <f t="shared" si="1"/>
        <v>31069.431408219181</v>
      </c>
      <c r="E10" s="216">
        <f t="shared" si="2"/>
        <v>3106.943140821918</v>
      </c>
      <c r="F10" s="216">
        <f t="shared" ref="F10:F20" si="3">(B10*$F$4)/365*184</f>
        <v>31069.431408219181</v>
      </c>
      <c r="G10" s="215"/>
      <c r="H10" s="216"/>
      <c r="I10" s="216"/>
      <c r="J10" s="215"/>
      <c r="K10" s="208"/>
    </row>
    <row r="11" spans="1:11">
      <c r="A11" s="219" t="s">
        <v>362</v>
      </c>
      <c r="B11" s="220">
        <v>228434157</v>
      </c>
      <c r="C11" s="214">
        <f t="shared" si="0"/>
        <v>63335.716954520554</v>
      </c>
      <c r="D11" s="215">
        <f t="shared" si="1"/>
        <v>115155.84900821917</v>
      </c>
      <c r="E11" s="216">
        <f t="shared" si="2"/>
        <v>11515.584900821919</v>
      </c>
      <c r="F11" s="216">
        <f t="shared" si="3"/>
        <v>115155.84900821917</v>
      </c>
      <c r="G11" s="215"/>
      <c r="H11" s="216"/>
      <c r="I11" s="216"/>
      <c r="J11" s="215"/>
      <c r="K11" s="208"/>
    </row>
    <row r="12" spans="1:11">
      <c r="A12" s="219" t="s">
        <v>14</v>
      </c>
      <c r="B12" s="220">
        <v>4471133</v>
      </c>
      <c r="C12" s="214">
        <f t="shared" si="0"/>
        <v>1239.6675605479454</v>
      </c>
      <c r="D12" s="215">
        <f t="shared" si="1"/>
        <v>2253.9410191780821</v>
      </c>
      <c r="E12" s="216">
        <f t="shared" si="2"/>
        <v>225.39410191780826</v>
      </c>
      <c r="F12" s="216">
        <f t="shared" si="3"/>
        <v>2253.9410191780821</v>
      </c>
      <c r="G12" s="215"/>
      <c r="H12" s="216"/>
      <c r="I12" s="216"/>
      <c r="J12" s="215"/>
      <c r="K12" s="208"/>
    </row>
    <row r="13" spans="1:11">
      <c r="A13" s="219" t="s">
        <v>12</v>
      </c>
      <c r="B13" s="220">
        <v>228649886</v>
      </c>
      <c r="C13" s="214">
        <f t="shared" si="0"/>
        <v>63395.530036164389</v>
      </c>
      <c r="D13" s="215">
        <f t="shared" si="1"/>
        <v>115264.60006575343</v>
      </c>
      <c r="E13" s="216">
        <f t="shared" si="2"/>
        <v>11526.460006575342</v>
      </c>
      <c r="F13" s="216">
        <f t="shared" si="3"/>
        <v>115264.60006575343</v>
      </c>
      <c r="G13" s="215"/>
      <c r="H13" s="216"/>
      <c r="I13" s="216"/>
      <c r="J13" s="215"/>
      <c r="K13" s="208"/>
    </row>
    <row r="14" spans="1:11">
      <c r="A14" s="219" t="s">
        <v>363</v>
      </c>
      <c r="B14" s="220">
        <v>450000</v>
      </c>
      <c r="C14" s="214">
        <f t="shared" si="0"/>
        <v>124.76712328767124</v>
      </c>
      <c r="D14" s="215">
        <f t="shared" si="1"/>
        <v>226.84931506849315</v>
      </c>
      <c r="E14" s="216">
        <f t="shared" si="2"/>
        <v>22.684931506849313</v>
      </c>
      <c r="F14" s="216">
        <f t="shared" si="3"/>
        <v>226.84931506849315</v>
      </c>
      <c r="G14" s="215"/>
      <c r="H14" s="216"/>
      <c r="I14" s="216"/>
      <c r="J14" s="215"/>
      <c r="K14" s="208"/>
    </row>
    <row r="15" spans="1:11">
      <c r="A15" s="219" t="s">
        <v>364</v>
      </c>
      <c r="B15" s="220">
        <v>11000000</v>
      </c>
      <c r="C15" s="214">
        <f t="shared" si="0"/>
        <v>3049.8630136986303</v>
      </c>
      <c r="D15" s="215">
        <f t="shared" si="1"/>
        <v>5545.2054794520545</v>
      </c>
      <c r="E15" s="216">
        <f t="shared" si="2"/>
        <v>554.52054794520552</v>
      </c>
      <c r="F15" s="216">
        <f t="shared" si="3"/>
        <v>5545.2054794520545</v>
      </c>
      <c r="G15" s="215"/>
      <c r="H15" s="216"/>
      <c r="I15" s="216"/>
      <c r="J15" s="215"/>
      <c r="K15" s="208"/>
    </row>
    <row r="16" spans="1:11">
      <c r="A16" s="219" t="s">
        <v>365</v>
      </c>
      <c r="B16" s="220">
        <v>29187108</v>
      </c>
      <c r="C16" s="214">
        <f t="shared" si="0"/>
        <v>8092.4255605479457</v>
      </c>
      <c r="D16" s="215">
        <f t="shared" si="1"/>
        <v>14713.501019178082</v>
      </c>
      <c r="E16" s="216">
        <f t="shared" si="2"/>
        <v>1471.3501019178084</v>
      </c>
      <c r="F16" s="216">
        <f t="shared" si="3"/>
        <v>14713.501019178082</v>
      </c>
      <c r="G16" s="215"/>
      <c r="H16" s="216"/>
      <c r="I16" s="216"/>
      <c r="J16" s="215"/>
      <c r="K16" s="208"/>
    </row>
    <row r="17" spans="1:12">
      <c r="A17" s="223" t="s">
        <v>17</v>
      </c>
      <c r="B17" s="224">
        <v>134140068</v>
      </c>
      <c r="C17" s="214">
        <f t="shared" si="0"/>
        <v>37191.71200438356</v>
      </c>
      <c r="D17" s="215">
        <f t="shared" si="1"/>
        <v>67621.294553424654</v>
      </c>
      <c r="E17" s="225">
        <f t="shared" si="2"/>
        <v>6762.1294553424659</v>
      </c>
      <c r="F17" s="225">
        <f t="shared" si="3"/>
        <v>67621.294553424654</v>
      </c>
      <c r="G17" s="215"/>
      <c r="H17" s="225"/>
      <c r="I17" s="225">
        <f>B17*$I$4/1000/365*$B$4</f>
        <v>169053.23638356163</v>
      </c>
      <c r="J17" s="215"/>
      <c r="K17" s="208"/>
    </row>
    <row r="18" spans="1:12">
      <c r="A18" s="223" t="s">
        <v>366</v>
      </c>
      <c r="B18" s="224">
        <v>2027068435</v>
      </c>
      <c r="C18" s="214">
        <f t="shared" si="0"/>
        <v>562025.54964931507</v>
      </c>
      <c r="D18" s="215">
        <f t="shared" si="1"/>
        <v>1021864.6357260273</v>
      </c>
      <c r="E18" s="225">
        <f t="shared" si="2"/>
        <v>102186.46357260273</v>
      </c>
      <c r="F18" s="225">
        <f t="shared" si="3"/>
        <v>1021864.6357260273</v>
      </c>
      <c r="G18" s="215"/>
      <c r="H18" s="225"/>
      <c r="I18" s="225">
        <f>B18*$I$4/1000/365*$B$4</f>
        <v>2554661.5893150684</v>
      </c>
      <c r="J18" s="215"/>
      <c r="K18" s="208"/>
    </row>
    <row r="19" spans="1:12">
      <c r="A19" s="219" t="s">
        <v>367</v>
      </c>
      <c r="B19" s="220">
        <v>1500000</v>
      </c>
      <c r="C19" s="214">
        <f t="shared" si="0"/>
        <v>415.89041095890411</v>
      </c>
      <c r="D19" s="215">
        <f t="shared" si="1"/>
        <v>756.16438356164394</v>
      </c>
      <c r="E19" s="216">
        <f t="shared" si="2"/>
        <v>75.61643835616438</v>
      </c>
      <c r="F19" s="221" t="s">
        <v>347</v>
      </c>
      <c r="G19" s="215"/>
      <c r="H19" s="216">
        <f>(B19*$H$4)/365*184</f>
        <v>8317.8082191780832</v>
      </c>
      <c r="I19" s="216"/>
      <c r="J19" s="215"/>
      <c r="K19" s="208"/>
    </row>
    <row r="20" spans="1:12">
      <c r="A20" s="219" t="s">
        <v>21</v>
      </c>
      <c r="B20" s="220">
        <v>870000</v>
      </c>
      <c r="C20" s="214">
        <f t="shared" si="0"/>
        <v>241.21643835616442</v>
      </c>
      <c r="D20" s="215">
        <f t="shared" si="1"/>
        <v>438.57534246575347</v>
      </c>
      <c r="E20" s="216">
        <f t="shared" si="2"/>
        <v>43.857534246575341</v>
      </c>
      <c r="F20" s="216">
        <f t="shared" si="3"/>
        <v>438.57534246575347</v>
      </c>
      <c r="G20" s="215"/>
      <c r="H20" s="216"/>
      <c r="I20" s="216"/>
      <c r="J20" s="215"/>
      <c r="K20" s="208"/>
    </row>
    <row r="21" spans="1:12">
      <c r="A21" s="219" t="s">
        <v>19</v>
      </c>
      <c r="B21" s="220">
        <v>50000000</v>
      </c>
      <c r="C21" s="214">
        <f t="shared" si="0"/>
        <v>13863.013698630139</v>
      </c>
      <c r="D21" s="215">
        <f t="shared" si="1"/>
        <v>25205.479452054795</v>
      </c>
      <c r="E21" s="216">
        <f t="shared" si="2"/>
        <v>2520.5479452054792</v>
      </c>
      <c r="F21" s="216"/>
      <c r="G21" s="215"/>
      <c r="H21" s="216"/>
      <c r="I21" s="216"/>
      <c r="J21" s="215"/>
      <c r="K21" s="208"/>
    </row>
    <row r="22" spans="1:12">
      <c r="A22" s="219" t="s">
        <v>22</v>
      </c>
      <c r="B22" s="220">
        <v>1000000000</v>
      </c>
      <c r="C22" s="214">
        <f t="shared" si="0"/>
        <v>277260.27397260274</v>
      </c>
      <c r="D22" s="215">
        <f t="shared" si="1"/>
        <v>504109.58904109587</v>
      </c>
      <c r="E22" s="216">
        <f t="shared" si="2"/>
        <v>50410.95890410959</v>
      </c>
      <c r="F22" s="216"/>
      <c r="G22" s="215"/>
      <c r="H22" s="216"/>
      <c r="I22" s="216"/>
      <c r="J22" s="215"/>
      <c r="K22" s="208"/>
    </row>
    <row r="23" spans="1:12">
      <c r="A23" s="219" t="s">
        <v>23</v>
      </c>
      <c r="B23" s="220">
        <v>800000000</v>
      </c>
      <c r="C23" s="214">
        <f t="shared" si="0"/>
        <v>221808.21917808222</v>
      </c>
      <c r="D23" s="215">
        <f t="shared" si="1"/>
        <v>403287.67123287672</v>
      </c>
      <c r="E23" s="216">
        <f t="shared" si="2"/>
        <v>40328.767123287667</v>
      </c>
      <c r="F23" s="216"/>
      <c r="G23" s="215"/>
      <c r="H23" s="216"/>
      <c r="I23" s="216"/>
      <c r="J23" s="215"/>
      <c r="K23" s="208"/>
    </row>
    <row r="24" spans="1:12" ht="30">
      <c r="A24" s="219" t="s">
        <v>368</v>
      </c>
      <c r="B24" s="220">
        <v>347196196</v>
      </c>
      <c r="C24" s="214"/>
      <c r="D24" s="215"/>
      <c r="E24" s="216"/>
      <c r="F24" s="216"/>
      <c r="G24" s="215"/>
      <c r="H24" s="216"/>
      <c r="I24" s="216"/>
      <c r="J24" s="215">
        <f>(B24*$J$4)/1000/365*$B$4</f>
        <v>525074.79504657537</v>
      </c>
      <c r="K24" s="208"/>
    </row>
    <row r="25" spans="1:12">
      <c r="A25" s="219" t="s">
        <v>25</v>
      </c>
      <c r="B25" s="220">
        <v>286720946</v>
      </c>
      <c r="C25" s="214"/>
      <c r="D25" s="215"/>
      <c r="E25" s="216"/>
      <c r="F25" s="216"/>
      <c r="G25" s="215"/>
      <c r="H25" s="216"/>
      <c r="I25" s="216"/>
      <c r="J25" s="215">
        <f t="shared" ref="J25:J26" si="4">(B25*$J$4)/1000/365*$B$4</f>
        <v>433616.33477260271</v>
      </c>
      <c r="K25" s="208"/>
    </row>
    <row r="26" spans="1:12">
      <c r="A26" s="219" t="s">
        <v>369</v>
      </c>
      <c r="B26" s="220">
        <v>24464200</v>
      </c>
      <c r="C26" s="214"/>
      <c r="D26" s="215"/>
      <c r="E26" s="216"/>
      <c r="F26" s="216"/>
      <c r="G26" s="215"/>
      <c r="H26" s="216"/>
      <c r="I26" s="216"/>
      <c r="J26" s="215">
        <f t="shared" si="4"/>
        <v>36997.913424657534</v>
      </c>
      <c r="K26" s="338" t="s">
        <v>347</v>
      </c>
    </row>
    <row r="27" spans="1:12">
      <c r="A27" s="219" t="s">
        <v>30</v>
      </c>
      <c r="B27" s="220">
        <v>261873134</v>
      </c>
      <c r="C27" s="207"/>
      <c r="D27" s="208"/>
      <c r="E27" s="206"/>
      <c r="F27" s="206"/>
      <c r="G27" s="208"/>
      <c r="H27" s="206"/>
      <c r="I27" s="206"/>
      <c r="J27" s="339" t="s">
        <v>347</v>
      </c>
      <c r="K27" s="226">
        <f>(B27*K4/1000)/365*B4</f>
        <v>396038.27388493152</v>
      </c>
    </row>
    <row r="28" spans="1:12">
      <c r="A28" s="219" t="s">
        <v>370</v>
      </c>
      <c r="B28" s="220">
        <v>301293364</v>
      </c>
      <c r="C28" s="207"/>
      <c r="D28" s="208"/>
      <c r="E28" s="206"/>
      <c r="F28" s="206"/>
      <c r="G28" s="214">
        <f>(B28*G4)/365*184</f>
        <v>759424.36953424662</v>
      </c>
      <c r="H28" s="206"/>
      <c r="I28" s="206"/>
      <c r="J28" s="208"/>
      <c r="K28" s="208"/>
    </row>
    <row r="29" spans="1:12">
      <c r="A29" s="209" t="s">
        <v>371</v>
      </c>
      <c r="B29" s="210">
        <f>SUM(B6:B28)</f>
        <v>56322238155</v>
      </c>
      <c r="C29" s="210">
        <f t="shared" ref="C29:K29" si="5">SUM(C6:C28)</f>
        <v>15277232.492816439</v>
      </c>
      <c r="D29" s="210">
        <f t="shared" si="5"/>
        <v>27776786.350575335</v>
      </c>
      <c r="E29" s="210">
        <f t="shared" si="5"/>
        <v>2777678.6350575346</v>
      </c>
      <c r="F29" s="210">
        <f t="shared" si="5"/>
        <v>1541422.4806356162</v>
      </c>
      <c r="G29" s="210">
        <f t="shared" si="5"/>
        <v>759424.36953424662</v>
      </c>
      <c r="H29" s="210">
        <f t="shared" si="5"/>
        <v>8317.8082191780832</v>
      </c>
      <c r="I29" s="210">
        <f t="shared" si="5"/>
        <v>2723714.82569863</v>
      </c>
      <c r="J29" s="210">
        <f t="shared" si="5"/>
        <v>995689.04324383556</v>
      </c>
      <c r="K29" s="210">
        <f t="shared" si="5"/>
        <v>396038.27388493152</v>
      </c>
    </row>
    <row r="30" spans="1:12">
      <c r="F30" s="340" t="s">
        <v>347</v>
      </c>
    </row>
    <row r="31" spans="1:12">
      <c r="F31" s="340" t="s">
        <v>347</v>
      </c>
      <c r="G31" s="340" t="s">
        <v>347</v>
      </c>
      <c r="L31" s="211"/>
    </row>
    <row r="32" spans="1:12">
      <c r="A32" s="212" t="s">
        <v>6</v>
      </c>
      <c r="B32" s="201">
        <f>+B29</f>
        <v>56322238155</v>
      </c>
      <c r="C32" s="227">
        <f>SUM(C29:K29)</f>
        <v>52256304.279665738</v>
      </c>
    </row>
    <row r="33" spans="12:12">
      <c r="L33" s="213"/>
    </row>
  </sheetData>
  <printOptions horizontalCentered="1" verticalCentered="1"/>
  <pageMargins left="0.39370078740157483" right="0.39370078740157483" top="0.39370078740157483" bottom="0.39370078740157483" header="0" footer="0"/>
  <pageSetup paperSize="9" scale="63" orientation="landscape" r:id="rId1"/>
  <colBreaks count="1" manualBreakCount="1">
    <brk id="11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11"/>
  </sheetPr>
  <dimension ref="A1:XFD110"/>
  <sheetViews>
    <sheetView showGridLines="0" zoomScale="115" zoomScaleNormal="115" workbookViewId="0">
      <selection activeCell="C4" sqref="C4:E4"/>
    </sheetView>
  </sheetViews>
  <sheetFormatPr baseColWidth="10" defaultColWidth="0" defaultRowHeight="14.25"/>
  <cols>
    <col min="1" max="1" width="35.7109375" style="42" customWidth="1"/>
    <col min="2" max="2" width="18.7109375" style="14" customWidth="1"/>
    <col min="3" max="3" width="9.7109375" style="29" customWidth="1"/>
    <col min="4" max="4" width="14.7109375" style="10" customWidth="1"/>
    <col min="5" max="5" width="13.5703125" style="10" customWidth="1"/>
    <col min="6" max="6" width="14.85546875" style="10" customWidth="1"/>
    <col min="7" max="7" width="15.42578125" style="10" customWidth="1"/>
    <col min="8" max="8" width="16.140625" style="6" hidden="1" customWidth="1"/>
    <col min="9" max="10" width="20.140625" style="6" hidden="1" customWidth="1"/>
    <col min="11" max="16382" width="11.42578125" style="6" hidden="1"/>
    <col min="16383" max="16383" width="13.28515625" style="6" customWidth="1"/>
    <col min="16384" max="16384" width="14.28515625" style="6" customWidth="1"/>
  </cols>
  <sheetData>
    <row r="1" spans="1:8" s="1" customFormat="1" ht="11.25">
      <c r="A1" s="39"/>
      <c r="B1" s="632"/>
      <c r="C1" s="632"/>
    </row>
    <row r="2" spans="1:8" s="1" customFormat="1" ht="18">
      <c r="A2" s="633" t="s">
        <v>372</v>
      </c>
      <c r="B2" s="633"/>
      <c r="C2" s="633"/>
      <c r="D2" s="633"/>
      <c r="E2" s="633"/>
      <c r="F2" s="633"/>
      <c r="G2" s="2"/>
    </row>
    <row r="3" spans="1:8" s="1" customFormat="1" ht="18">
      <c r="A3" s="634" t="s">
        <v>373</v>
      </c>
      <c r="B3" s="633"/>
      <c r="C3" s="633"/>
      <c r="D3" s="633"/>
      <c r="E3" s="633"/>
      <c r="F3" s="633"/>
      <c r="G3" s="3"/>
    </row>
    <row r="4" spans="1:8" s="1" customFormat="1" ht="14.25" customHeight="1">
      <c r="A4" s="635" t="s">
        <v>374</v>
      </c>
      <c r="B4" s="635"/>
      <c r="C4" s="635"/>
      <c r="D4" s="635"/>
      <c r="E4" s="635"/>
      <c r="F4" s="635"/>
      <c r="G4" s="4"/>
    </row>
    <row r="5" spans="1:8" s="1" customFormat="1" ht="21.75" customHeight="1">
      <c r="A5" s="635"/>
      <c r="B5" s="635"/>
      <c r="C5" s="635"/>
      <c r="D5" s="635"/>
      <c r="E5" s="635"/>
      <c r="F5" s="635"/>
      <c r="G5" s="4"/>
    </row>
    <row r="6" spans="1:8" ht="15">
      <c r="A6" s="636" t="s">
        <v>1</v>
      </c>
      <c r="B6" s="636" t="s">
        <v>375</v>
      </c>
      <c r="C6" s="637" t="s">
        <v>3</v>
      </c>
      <c r="D6" s="638" t="s">
        <v>376</v>
      </c>
      <c r="E6" s="638"/>
      <c r="F6" s="638"/>
      <c r="G6" s="5"/>
    </row>
    <row r="7" spans="1:8" ht="18.75" customHeight="1">
      <c r="A7" s="636"/>
      <c r="B7" s="636"/>
      <c r="C7" s="637"/>
      <c r="D7" s="639" t="s">
        <v>377</v>
      </c>
      <c r="E7" s="639"/>
      <c r="F7" s="639"/>
      <c r="G7" s="7"/>
    </row>
    <row r="8" spans="1:8" ht="15" customHeight="1">
      <c r="A8" s="636"/>
      <c r="B8" s="636"/>
      <c r="C8" s="637"/>
      <c r="D8" s="50" t="s">
        <v>4</v>
      </c>
      <c r="E8" s="50" t="s">
        <v>378</v>
      </c>
      <c r="F8" s="50" t="s">
        <v>6</v>
      </c>
      <c r="G8" s="8"/>
    </row>
    <row r="9" spans="1:8" ht="15" customHeight="1">
      <c r="A9" s="183" t="s">
        <v>379</v>
      </c>
      <c r="B9" s="190"/>
      <c r="C9" s="184"/>
      <c r="D9" s="185"/>
      <c r="E9" s="185"/>
      <c r="F9" s="186"/>
      <c r="G9" s="8"/>
    </row>
    <row r="10" spans="1:8" ht="21.75" customHeight="1">
      <c r="A10" s="640" t="s">
        <v>7</v>
      </c>
      <c r="B10" s="641"/>
      <c r="C10" s="159"/>
      <c r="D10" s="160"/>
      <c r="E10" s="160"/>
      <c r="F10" s="161"/>
      <c r="G10" s="8"/>
    </row>
    <row r="11" spans="1:8" ht="12.75" customHeight="1">
      <c r="A11" s="67" t="s">
        <v>8</v>
      </c>
      <c r="B11" s="68"/>
      <c r="C11" s="69"/>
      <c r="D11" s="70"/>
      <c r="E11" s="70"/>
      <c r="F11" s="70"/>
      <c r="G11" s="9"/>
    </row>
    <row r="12" spans="1:8" ht="16.5" customHeight="1">
      <c r="A12" s="47" t="s">
        <v>9</v>
      </c>
      <c r="B12" s="87">
        <v>45033538684</v>
      </c>
      <c r="C12" s="72">
        <v>1.7</v>
      </c>
      <c r="D12" s="87">
        <f t="shared" ref="D12:D29" si="0">(B12*C12/1000)/365*$B$96</f>
        <v>38593125.75439781</v>
      </c>
      <c r="E12" s="87">
        <f>+D12*0.19</f>
        <v>7332693.8933355836</v>
      </c>
      <c r="F12" s="87">
        <f t="shared" ref="F12:F26" si="1">+D12+E12</f>
        <v>45925819.64773339</v>
      </c>
      <c r="H12" s="11">
        <v>10274273391</v>
      </c>
    </row>
    <row r="13" spans="1:8" ht="16.5" customHeight="1">
      <c r="A13" s="47" t="s">
        <v>359</v>
      </c>
      <c r="B13" s="87">
        <v>5147868250</v>
      </c>
      <c r="C13" s="72">
        <v>1.7</v>
      </c>
      <c r="D13" s="87">
        <f t="shared" si="0"/>
        <v>4411652.5715068495</v>
      </c>
      <c r="E13" s="87">
        <f t="shared" ref="E13:E14" si="2">+D13*0.19</f>
        <v>838213.98858630145</v>
      </c>
      <c r="F13" s="87">
        <f t="shared" ref="F13:F14" si="3">+D13+E13</f>
        <v>5249866.5600931514</v>
      </c>
      <c r="H13" s="11"/>
    </row>
    <row r="14" spans="1:8" ht="16.5" customHeight="1">
      <c r="A14" s="47" t="s">
        <v>360</v>
      </c>
      <c r="B14" s="87">
        <v>10070308</v>
      </c>
      <c r="C14" s="72">
        <v>1.7</v>
      </c>
      <c r="D14" s="87">
        <f t="shared" si="0"/>
        <v>8630.1160065753411</v>
      </c>
      <c r="E14" s="87">
        <f t="shared" si="2"/>
        <v>1639.7220412493148</v>
      </c>
      <c r="F14" s="87">
        <f t="shared" si="3"/>
        <v>10269.838047824656</v>
      </c>
      <c r="H14" s="11"/>
    </row>
    <row r="15" spans="1:8" ht="15" customHeight="1">
      <c r="A15" s="47" t="s">
        <v>361</v>
      </c>
      <c r="B15" s="87">
        <v>331809990</v>
      </c>
      <c r="C15" s="72">
        <v>1.7</v>
      </c>
      <c r="D15" s="87">
        <f t="shared" si="0"/>
        <v>284356.61608767125</v>
      </c>
      <c r="E15" s="87">
        <f t="shared" ref="E15:E29" si="4">+D15*0.19</f>
        <v>54027.757056657538</v>
      </c>
      <c r="F15" s="87">
        <f t="shared" si="1"/>
        <v>338384.37314432877</v>
      </c>
      <c r="H15" s="12">
        <v>5000000</v>
      </c>
    </row>
    <row r="16" spans="1:8" s="13" customFormat="1" ht="12.75" customHeight="1">
      <c r="A16" s="48" t="s">
        <v>16</v>
      </c>
      <c r="B16" s="65">
        <v>61632296</v>
      </c>
      <c r="C16" s="73">
        <v>1.7</v>
      </c>
      <c r="D16" s="88">
        <f t="shared" si="0"/>
        <v>52818.033393972612</v>
      </c>
      <c r="E16" s="87">
        <f t="shared" si="4"/>
        <v>10035.426344854797</v>
      </c>
      <c r="F16" s="88">
        <f t="shared" si="1"/>
        <v>62853.459738827412</v>
      </c>
      <c r="H16" s="12">
        <v>220000000</v>
      </c>
    </row>
    <row r="17" spans="1:8" s="13" customFormat="1" ht="12.75" customHeight="1">
      <c r="A17" s="48" t="s">
        <v>362</v>
      </c>
      <c r="B17" s="65">
        <v>228434157</v>
      </c>
      <c r="C17" s="73">
        <v>1.7</v>
      </c>
      <c r="D17" s="88">
        <f t="shared" si="0"/>
        <v>195764.94331397259</v>
      </c>
      <c r="E17" s="87">
        <f t="shared" ref="E17:E21" si="5">+D17*0.19</f>
        <v>37195.33922965479</v>
      </c>
      <c r="F17" s="88">
        <f t="shared" ref="F17:F21" si="6">+D17+E17</f>
        <v>232960.28254362737</v>
      </c>
      <c r="H17" s="12"/>
    </row>
    <row r="18" spans="1:8" s="13" customFormat="1" ht="12.75" customHeight="1">
      <c r="A18" s="48" t="s">
        <v>14</v>
      </c>
      <c r="B18" s="65">
        <v>4471133</v>
      </c>
      <c r="C18" s="73">
        <v>1.7</v>
      </c>
      <c r="D18" s="88">
        <f t="shared" si="0"/>
        <v>3831.6997326027399</v>
      </c>
      <c r="E18" s="87">
        <f t="shared" si="5"/>
        <v>728.02294919452061</v>
      </c>
      <c r="F18" s="88">
        <f t="shared" si="6"/>
        <v>4559.7226817972605</v>
      </c>
      <c r="H18" s="12"/>
    </row>
    <row r="19" spans="1:8" s="13" customFormat="1" ht="12.75" customHeight="1">
      <c r="A19" s="48" t="s">
        <v>12</v>
      </c>
      <c r="B19" s="65">
        <v>228649886</v>
      </c>
      <c r="C19" s="73">
        <v>1.7</v>
      </c>
      <c r="D19" s="88">
        <f t="shared" si="0"/>
        <v>195949.82011178083</v>
      </c>
      <c r="E19" s="87">
        <f t="shared" si="5"/>
        <v>37230.465821238358</v>
      </c>
      <c r="F19" s="88">
        <f t="shared" si="6"/>
        <v>233180.28593301919</v>
      </c>
      <c r="H19" s="12"/>
    </row>
    <row r="20" spans="1:8" s="13" customFormat="1" ht="12.75" customHeight="1">
      <c r="A20" s="48" t="s">
        <v>363</v>
      </c>
      <c r="B20" s="65">
        <v>450000</v>
      </c>
      <c r="C20" s="73">
        <v>1.7</v>
      </c>
      <c r="D20" s="88">
        <f t="shared" si="0"/>
        <v>385.64383561643837</v>
      </c>
      <c r="E20" s="87">
        <f t="shared" si="5"/>
        <v>73.272328767123284</v>
      </c>
      <c r="F20" s="88">
        <f t="shared" si="6"/>
        <v>458.91616438356164</v>
      </c>
      <c r="H20" s="12"/>
    </row>
    <row r="21" spans="1:8" s="13" customFormat="1" ht="12.75" customHeight="1">
      <c r="A21" s="47" t="s">
        <v>364</v>
      </c>
      <c r="B21" s="87">
        <v>11000000</v>
      </c>
      <c r="C21" s="73">
        <v>1.7</v>
      </c>
      <c r="D21" s="88">
        <f t="shared" si="0"/>
        <v>9426.8493150684935</v>
      </c>
      <c r="E21" s="87">
        <f t="shared" si="5"/>
        <v>1791.1013698630138</v>
      </c>
      <c r="F21" s="88">
        <f t="shared" si="6"/>
        <v>11217.950684931508</v>
      </c>
      <c r="H21" s="12"/>
    </row>
    <row r="22" spans="1:8" ht="14.25" customHeight="1">
      <c r="A22" s="47" t="s">
        <v>365</v>
      </c>
      <c r="B22" s="87">
        <v>29187108</v>
      </c>
      <c r="C22" s="72">
        <v>1.7</v>
      </c>
      <c r="D22" s="87">
        <f t="shared" si="0"/>
        <v>25012.951732602738</v>
      </c>
      <c r="E22" s="87">
        <f t="shared" si="4"/>
        <v>4752.4608291945206</v>
      </c>
      <c r="F22" s="87">
        <f t="shared" si="1"/>
        <v>29765.41256179726</v>
      </c>
      <c r="G22" s="6"/>
      <c r="H22" s="12">
        <v>223000</v>
      </c>
    </row>
    <row r="23" spans="1:8" ht="14.25" customHeight="1">
      <c r="A23" s="47" t="s">
        <v>17</v>
      </c>
      <c r="B23" s="87">
        <v>134140068</v>
      </c>
      <c r="C23" s="72">
        <v>1.7</v>
      </c>
      <c r="D23" s="87">
        <f t="shared" si="0"/>
        <v>114956.20074082191</v>
      </c>
      <c r="E23" s="87">
        <f t="shared" ref="E23:E24" si="7">+D23*0.19</f>
        <v>21841.678140756161</v>
      </c>
      <c r="F23" s="87">
        <f t="shared" ref="F23:F24" si="8">+D23+E23</f>
        <v>136797.87888157807</v>
      </c>
      <c r="G23" s="6"/>
      <c r="H23" s="12"/>
    </row>
    <row r="24" spans="1:8" ht="14.25" customHeight="1">
      <c r="A24" s="47" t="s">
        <v>366</v>
      </c>
      <c r="B24" s="87">
        <v>2027068435</v>
      </c>
      <c r="C24" s="72">
        <v>1.7</v>
      </c>
      <c r="D24" s="87">
        <f t="shared" si="0"/>
        <v>1737169.8807342465</v>
      </c>
      <c r="E24" s="87">
        <f t="shared" si="7"/>
        <v>330062.27733950684</v>
      </c>
      <c r="F24" s="87">
        <f t="shared" si="8"/>
        <v>2067232.1580737534</v>
      </c>
      <c r="G24" s="6"/>
      <c r="H24" s="12"/>
    </row>
    <row r="25" spans="1:8" ht="27" customHeight="1">
      <c r="A25" s="47" t="s">
        <v>367</v>
      </c>
      <c r="B25" s="87">
        <v>1500000</v>
      </c>
      <c r="C25" s="72">
        <f>+C22</f>
        <v>1.7</v>
      </c>
      <c r="D25" s="87">
        <f t="shared" si="0"/>
        <v>1285.4794520547946</v>
      </c>
      <c r="E25" s="87">
        <f t="shared" si="4"/>
        <v>244.24109589041097</v>
      </c>
      <c r="F25" s="87">
        <f t="shared" si="1"/>
        <v>1529.7205479452055</v>
      </c>
      <c r="G25" s="6"/>
      <c r="H25" s="12">
        <f>SUM(H12:H22)</f>
        <v>10499496391</v>
      </c>
    </row>
    <row r="26" spans="1:8" ht="12" customHeight="1">
      <c r="A26" s="47" t="s">
        <v>21</v>
      </c>
      <c r="B26" s="87">
        <f>REPOSO!D6</f>
        <v>870000</v>
      </c>
      <c r="C26" s="72">
        <v>1.7</v>
      </c>
      <c r="D26" s="87">
        <f t="shared" si="0"/>
        <v>745.57808219178082</v>
      </c>
      <c r="E26" s="87">
        <f t="shared" si="4"/>
        <v>141.65983561643836</v>
      </c>
      <c r="F26" s="87">
        <f t="shared" si="1"/>
        <v>887.23791780821921</v>
      </c>
      <c r="G26" s="12"/>
      <c r="H26" s="14"/>
    </row>
    <row r="27" spans="1:8" ht="13.5" customHeight="1">
      <c r="A27" s="47" t="s">
        <v>19</v>
      </c>
      <c r="B27" s="87">
        <v>50000000</v>
      </c>
      <c r="C27" s="72">
        <v>1.7</v>
      </c>
      <c r="D27" s="87">
        <f t="shared" si="0"/>
        <v>42849.315068493153</v>
      </c>
      <c r="E27" s="87">
        <f t="shared" si="4"/>
        <v>8141.3698630136996</v>
      </c>
      <c r="F27" s="87">
        <f t="shared" ref="F27" si="9">+D27+E27</f>
        <v>50990.684931506854</v>
      </c>
      <c r="G27" s="12"/>
      <c r="H27" s="14"/>
    </row>
    <row r="28" spans="1:8" ht="12.75" customHeight="1">
      <c r="A28" s="47" t="s">
        <v>22</v>
      </c>
      <c r="B28" s="87">
        <v>1000000000</v>
      </c>
      <c r="C28" s="74">
        <v>1</v>
      </c>
      <c r="D28" s="87">
        <f t="shared" si="0"/>
        <v>504109.58904109587</v>
      </c>
      <c r="E28" s="87">
        <f t="shared" si="4"/>
        <v>95780.821917808222</v>
      </c>
      <c r="F28" s="87">
        <f>+D28+E28</f>
        <v>599890.41095890407</v>
      </c>
      <c r="G28" s="12"/>
    </row>
    <row r="29" spans="1:8" ht="13.5" customHeight="1">
      <c r="A29" s="47" t="s">
        <v>23</v>
      </c>
      <c r="B29" s="87">
        <v>800000000</v>
      </c>
      <c r="C29" s="72">
        <v>1</v>
      </c>
      <c r="D29" s="87">
        <f t="shared" si="0"/>
        <v>403287.67123287672</v>
      </c>
      <c r="E29" s="87">
        <f t="shared" si="4"/>
        <v>76624.65753424658</v>
      </c>
      <c r="F29" s="87">
        <f>+D29+E29</f>
        <v>479912.32876712328</v>
      </c>
      <c r="G29" s="12"/>
    </row>
    <row r="30" spans="1:8" ht="18.75" customHeight="1">
      <c r="A30" s="75" t="s">
        <v>380</v>
      </c>
      <c r="B30" s="89">
        <f>SUM(B12:B29)</f>
        <v>55100690315</v>
      </c>
      <c r="C30" s="76"/>
      <c r="D30" s="89">
        <f>SUM(D11:D29)</f>
        <v>46585358.713786304</v>
      </c>
      <c r="E30" s="89">
        <f>SUM(E11:E29)</f>
        <v>8851218.1556193959</v>
      </c>
      <c r="F30" s="89">
        <f>SUM(F11:F29)</f>
        <v>55436576.869405702</v>
      </c>
      <c r="G30" s="16"/>
      <c r="H30" s="15"/>
    </row>
    <row r="31" spans="1:8" s="19" customFormat="1" ht="26.25" customHeight="1">
      <c r="A31" s="67" t="s">
        <v>25</v>
      </c>
      <c r="B31" s="99"/>
      <c r="C31" s="77"/>
      <c r="D31" s="90"/>
      <c r="E31" s="90"/>
      <c r="F31" s="90"/>
      <c r="G31" s="17"/>
      <c r="H31" s="18"/>
    </row>
    <row r="32" spans="1:8" ht="25.5" customHeight="1">
      <c r="A32" s="47" t="s">
        <v>368</v>
      </c>
      <c r="B32" s="87">
        <v>347196196</v>
      </c>
      <c r="C32" s="74">
        <v>2.5</v>
      </c>
      <c r="D32" s="91">
        <f>(B32*C32/1000)/365*$B$96</f>
        <v>437562.32920547941</v>
      </c>
      <c r="E32" s="91">
        <f>+D32*0.19</f>
        <v>83136.842549041088</v>
      </c>
      <c r="F32" s="91">
        <f>+D32+E32</f>
        <v>520699.1717545205</v>
      </c>
      <c r="G32" s="20"/>
      <c r="H32" s="15"/>
    </row>
    <row r="33" spans="1:8" ht="25.5" customHeight="1">
      <c r="A33" s="47" t="s">
        <v>25</v>
      </c>
      <c r="B33" s="87">
        <v>286720946</v>
      </c>
      <c r="C33" s="74">
        <v>2.5</v>
      </c>
      <c r="D33" s="91">
        <f>(B33*C33/1000)/365*$B$96</f>
        <v>361346.94564383564</v>
      </c>
      <c r="E33" s="91">
        <f>+D33*0.19</f>
        <v>68655.919672328775</v>
      </c>
      <c r="F33" s="91">
        <f>+D33+E33</f>
        <v>430002.86531616445</v>
      </c>
      <c r="G33" s="20"/>
      <c r="H33" s="15"/>
    </row>
    <row r="34" spans="1:8" ht="13.5" customHeight="1">
      <c r="A34" s="47" t="s">
        <v>369</v>
      </c>
      <c r="B34" s="87">
        <v>24464200</v>
      </c>
      <c r="C34" s="74">
        <v>2.5</v>
      </c>
      <c r="D34" s="91">
        <f>(B34*C34/1000)/365*$B$96</f>
        <v>30831.594520547944</v>
      </c>
      <c r="E34" s="91">
        <f>+D34*0.19</f>
        <v>5858.0029589041096</v>
      </c>
      <c r="F34" s="91">
        <f>+D34+E34</f>
        <v>36689.597479452052</v>
      </c>
      <c r="G34" s="20"/>
      <c r="H34" s="15"/>
    </row>
    <row r="35" spans="1:8" ht="16.5" customHeight="1">
      <c r="A35" s="48" t="s">
        <v>30</v>
      </c>
      <c r="B35" s="88">
        <v>261873134</v>
      </c>
      <c r="C35" s="78">
        <v>2.5</v>
      </c>
      <c r="D35" s="92">
        <f>(B35*C35/1000)/365*$B$96</f>
        <v>330031.89490410953</v>
      </c>
      <c r="E35" s="91">
        <f>+D35*0.19</f>
        <v>62706.060031780813</v>
      </c>
      <c r="F35" s="92">
        <f t="shared" ref="F35" si="10">+D35+E35</f>
        <v>392737.95493589033</v>
      </c>
      <c r="G35" s="20"/>
      <c r="H35" s="15"/>
    </row>
    <row r="36" spans="1:8" ht="16.5" customHeight="1">
      <c r="A36" s="79" t="s">
        <v>380</v>
      </c>
      <c r="B36" s="95">
        <f>SUM(B31:B35)</f>
        <v>920254476</v>
      </c>
      <c r="C36" s="80"/>
      <c r="D36" s="89">
        <f>SUM(D31:D35)</f>
        <v>1159772.7642739725</v>
      </c>
      <c r="E36" s="89">
        <f>SUM(E31:E35)</f>
        <v>220356.82521205477</v>
      </c>
      <c r="F36" s="89">
        <f>SUM(F31:F35)</f>
        <v>1380129.5894860274</v>
      </c>
      <c r="G36" s="16"/>
      <c r="H36" s="15"/>
    </row>
    <row r="37" spans="1:8" ht="12.95" customHeight="1">
      <c r="A37" s="75" t="s">
        <v>32</v>
      </c>
      <c r="B37" s="87"/>
      <c r="C37" s="81"/>
      <c r="D37" s="93"/>
      <c r="E37" s="93"/>
      <c r="F37" s="93"/>
      <c r="G37" s="16"/>
      <c r="H37" s="15"/>
    </row>
    <row r="38" spans="1:8" ht="12.95" customHeight="1">
      <c r="A38" s="47" t="str">
        <f t="shared" ref="A38:B49" si="11">A15</f>
        <v xml:space="preserve">MUEBLES Y ENSERES </v>
      </c>
      <c r="B38" s="87">
        <f t="shared" si="11"/>
        <v>331809990</v>
      </c>
      <c r="C38" s="72">
        <v>0.12</v>
      </c>
      <c r="D38" s="87">
        <f t="shared" ref="D38:D49" si="12">+((B38*C38)/100)/365*$B$96</f>
        <v>200722.31723835613</v>
      </c>
      <c r="E38" s="87">
        <f>+D38*0.19</f>
        <v>38137.240275287666</v>
      </c>
      <c r="F38" s="87">
        <f>+D38+E38</f>
        <v>238859.55751364381</v>
      </c>
      <c r="G38" s="16"/>
      <c r="H38" s="15"/>
    </row>
    <row r="39" spans="1:8" ht="12.95" customHeight="1">
      <c r="A39" s="47" t="str">
        <f t="shared" si="11"/>
        <v>LICENCIAS Y SOFTWARE</v>
      </c>
      <c r="B39" s="87">
        <f t="shared" si="11"/>
        <v>61632296</v>
      </c>
      <c r="C39" s="72">
        <v>0.12</v>
      </c>
      <c r="D39" s="87">
        <f t="shared" si="12"/>
        <v>37283.317689863012</v>
      </c>
      <c r="E39" s="87">
        <f t="shared" ref="E39:E49" si="13">+D39*0.19</f>
        <v>7083.8303610739722</v>
      </c>
      <c r="F39" s="87">
        <f t="shared" ref="F39:F49" si="14">+D39+E39</f>
        <v>44367.148050936987</v>
      </c>
      <c r="G39" s="16"/>
      <c r="H39" s="15"/>
    </row>
    <row r="40" spans="1:8" ht="12.95" customHeight="1">
      <c r="A40" s="47" t="str">
        <f t="shared" si="11"/>
        <v>LIBROS Y TEXTOS</v>
      </c>
      <c r="B40" s="87">
        <f t="shared" si="11"/>
        <v>228434157</v>
      </c>
      <c r="C40" s="72">
        <v>0.12</v>
      </c>
      <c r="D40" s="87">
        <f t="shared" si="12"/>
        <v>138187.01880986302</v>
      </c>
      <c r="E40" s="87">
        <f t="shared" si="13"/>
        <v>26255.533573873974</v>
      </c>
      <c r="F40" s="87">
        <f t="shared" si="14"/>
        <v>164442.552383737</v>
      </c>
      <c r="G40" s="16"/>
      <c r="H40" s="15"/>
    </row>
    <row r="41" spans="1:8" ht="12.95" customHeight="1">
      <c r="A41" s="47" t="str">
        <f t="shared" si="11"/>
        <v>HERRAMIENTAS</v>
      </c>
      <c r="B41" s="87">
        <f t="shared" si="11"/>
        <v>4471133</v>
      </c>
      <c r="C41" s="72">
        <v>0.12</v>
      </c>
      <c r="D41" s="87">
        <f t="shared" si="12"/>
        <v>2704.7292230136986</v>
      </c>
      <c r="E41" s="87">
        <f t="shared" si="13"/>
        <v>513.89855237260269</v>
      </c>
      <c r="F41" s="87">
        <f t="shared" si="14"/>
        <v>3218.6277753863014</v>
      </c>
      <c r="G41" s="16"/>
      <c r="H41" s="15"/>
    </row>
    <row r="42" spans="1:8" ht="12.95" customHeight="1">
      <c r="A42" s="47" t="str">
        <f t="shared" si="11"/>
        <v>CONTENIDOS</v>
      </c>
      <c r="B42" s="87">
        <f t="shared" si="11"/>
        <v>228649886</v>
      </c>
      <c r="C42" s="72">
        <v>0.12</v>
      </c>
      <c r="D42" s="87">
        <f t="shared" si="12"/>
        <v>138317.52007890411</v>
      </c>
      <c r="E42" s="87">
        <f t="shared" si="13"/>
        <v>26280.328814991783</v>
      </c>
      <c r="F42" s="87">
        <f t="shared" si="14"/>
        <v>164597.84889389589</v>
      </c>
      <c r="G42" s="16"/>
      <c r="H42" s="15"/>
    </row>
    <row r="43" spans="1:8" ht="12.95" customHeight="1">
      <c r="A43" s="47" t="str">
        <f t="shared" si="11"/>
        <v>EQUIPO MEDICO</v>
      </c>
      <c r="B43" s="87">
        <f t="shared" si="11"/>
        <v>450000</v>
      </c>
      <c r="C43" s="72">
        <v>0.12</v>
      </c>
      <c r="D43" s="87">
        <f t="shared" si="12"/>
        <v>272.21917808219177</v>
      </c>
      <c r="E43" s="87">
        <f t="shared" si="13"/>
        <v>51.72164383561644</v>
      </c>
      <c r="F43" s="87">
        <f t="shared" si="14"/>
        <v>323.94082191780819</v>
      </c>
      <c r="G43" s="16"/>
      <c r="H43" s="15"/>
    </row>
    <row r="44" spans="1:8" ht="12.95" customHeight="1">
      <c r="A44" s="47" t="str">
        <f t="shared" si="11"/>
        <v>BODEGA ALMACEN</v>
      </c>
      <c r="B44" s="87">
        <f t="shared" si="11"/>
        <v>11000000</v>
      </c>
      <c r="C44" s="72">
        <v>0.12</v>
      </c>
      <c r="D44" s="87">
        <f t="shared" si="12"/>
        <v>6654.2465753424658</v>
      </c>
      <c r="E44" s="87">
        <f t="shared" si="13"/>
        <v>1264.3068493150686</v>
      </c>
      <c r="F44" s="87">
        <f t="shared" si="14"/>
        <v>7918.5534246575344</v>
      </c>
      <c r="G44" s="16"/>
      <c r="H44" s="15"/>
    </row>
    <row r="45" spans="1:8" ht="12.95" customHeight="1">
      <c r="A45" s="47" t="str">
        <f t="shared" si="11"/>
        <v>EQUIPO DE LABORATORIO PTAR</v>
      </c>
      <c r="B45" s="87">
        <f t="shared" si="11"/>
        <v>29187108</v>
      </c>
      <c r="C45" s="72">
        <v>0.12</v>
      </c>
      <c r="D45" s="87">
        <f t="shared" si="12"/>
        <v>17656.201223013701</v>
      </c>
      <c r="E45" s="87">
        <f t="shared" si="13"/>
        <v>3354.6782323726034</v>
      </c>
      <c r="F45" s="87">
        <f t="shared" si="14"/>
        <v>21010.879455386304</v>
      </c>
      <c r="G45" s="16"/>
      <c r="H45" s="15"/>
    </row>
    <row r="46" spans="1:8" ht="12.95" customHeight="1">
      <c r="A46" s="47" t="str">
        <f t="shared" si="11"/>
        <v>MAQUINARIA Y EQUIPO</v>
      </c>
      <c r="B46" s="87">
        <f t="shared" si="11"/>
        <v>134140068</v>
      </c>
      <c r="C46" s="72">
        <v>0.12</v>
      </c>
      <c r="D46" s="87">
        <f t="shared" si="12"/>
        <v>81145.553464109587</v>
      </c>
      <c r="E46" s="87">
        <f t="shared" si="13"/>
        <v>15417.655158180822</v>
      </c>
      <c r="F46" s="87">
        <f t="shared" ref="F46" si="15">+D46+E46</f>
        <v>96563.208622290404</v>
      </c>
      <c r="G46" s="16"/>
      <c r="H46" s="15"/>
    </row>
    <row r="47" spans="1:8" ht="12.95" customHeight="1">
      <c r="A47" s="47" t="str">
        <f t="shared" si="11"/>
        <v>MAQUINARIA Y EQUIPO PTAR</v>
      </c>
      <c r="B47" s="87">
        <f t="shared" si="11"/>
        <v>2027068435</v>
      </c>
      <c r="C47" s="72">
        <v>0.12</v>
      </c>
      <c r="D47" s="87">
        <f t="shared" si="12"/>
        <v>1226237.5628712329</v>
      </c>
      <c r="E47" s="87">
        <f t="shared" si="13"/>
        <v>232985.13694553424</v>
      </c>
      <c r="F47" s="87">
        <f t="shared" si="14"/>
        <v>1459222.6998167671</v>
      </c>
      <c r="G47" s="16"/>
      <c r="H47" s="15"/>
    </row>
    <row r="48" spans="1:8" ht="12.95" customHeight="1">
      <c r="A48" s="47" t="str">
        <f t="shared" si="11"/>
        <v>DINEROS DENTRO Y FUERA  DE CAJA FUERTE</v>
      </c>
      <c r="B48" s="87">
        <f t="shared" si="11"/>
        <v>1500000</v>
      </c>
      <c r="C48" s="72">
        <v>0.12</v>
      </c>
      <c r="D48" s="87">
        <f t="shared" si="12"/>
        <v>907.39726027397262</v>
      </c>
      <c r="E48" s="87">
        <f t="shared" si="13"/>
        <v>172.40547945205481</v>
      </c>
      <c r="F48" s="87">
        <f t="shared" si="14"/>
        <v>1079.8027397260275</v>
      </c>
      <c r="G48" s="16"/>
      <c r="H48" s="15"/>
    </row>
    <row r="49" spans="1:8" ht="12.95" customHeight="1">
      <c r="A49" s="47" t="str">
        <f t="shared" si="11"/>
        <v>VEHICULOS EN REPOSO</v>
      </c>
      <c r="B49" s="87">
        <f t="shared" si="11"/>
        <v>870000</v>
      </c>
      <c r="C49" s="72">
        <v>0.12</v>
      </c>
      <c r="D49" s="87">
        <f t="shared" si="12"/>
        <v>526.29041095890409</v>
      </c>
      <c r="E49" s="87">
        <f t="shared" si="13"/>
        <v>99.995178082191785</v>
      </c>
      <c r="F49" s="87">
        <f t="shared" si="14"/>
        <v>626.28558904109582</v>
      </c>
      <c r="G49" s="16"/>
      <c r="H49" s="15"/>
    </row>
    <row r="50" spans="1:8" ht="12" customHeight="1">
      <c r="A50" s="75" t="s">
        <v>381</v>
      </c>
      <c r="B50" s="99">
        <f>SUM(B38:B48)</f>
        <v>3058343073</v>
      </c>
      <c r="C50" s="74"/>
      <c r="D50" s="99">
        <f>SUM(D38:D48)</f>
        <v>1850088.0836120548</v>
      </c>
      <c r="E50" s="99">
        <f>SUM(E38:E48)</f>
        <v>351516.73588629038</v>
      </c>
      <c r="F50" s="99">
        <f>SUM(F38:F48)</f>
        <v>2201604.8194983453</v>
      </c>
      <c r="G50" s="20"/>
      <c r="H50" s="15"/>
    </row>
    <row r="51" spans="1:8" ht="12" customHeight="1">
      <c r="A51" s="67" t="s">
        <v>35</v>
      </c>
      <c r="B51" s="87"/>
      <c r="C51" s="74"/>
      <c r="D51" s="87"/>
      <c r="E51" s="87"/>
      <c r="F51" s="87"/>
      <c r="G51" s="11"/>
      <c r="H51" s="15"/>
    </row>
    <row r="52" spans="1:8" ht="17.25" customHeight="1">
      <c r="A52" s="47" t="s">
        <v>370</v>
      </c>
      <c r="B52" s="87">
        <v>301293364</v>
      </c>
      <c r="C52" s="74">
        <v>0.8</v>
      </c>
      <c r="D52" s="87">
        <f>(B52*C52/100)/365*$B$96</f>
        <v>1215078.9912547944</v>
      </c>
      <c r="E52" s="87">
        <f t="shared" ref="E52" si="16">+D52*0.19</f>
        <v>230865.00833841093</v>
      </c>
      <c r="F52" s="87">
        <f>+D52+E52</f>
        <v>1445943.9995932053</v>
      </c>
      <c r="G52" s="11"/>
      <c r="H52" s="15"/>
    </row>
    <row r="53" spans="1:8" ht="26.25" customHeight="1">
      <c r="A53" s="75" t="s">
        <v>38</v>
      </c>
      <c r="B53" s="94">
        <f>B50+B52</f>
        <v>3359636437</v>
      </c>
      <c r="C53" s="82"/>
      <c r="D53" s="94">
        <f>D50+D52</f>
        <v>3065167.074866849</v>
      </c>
      <c r="E53" s="94">
        <f>E50+E52</f>
        <v>582381.74422470131</v>
      </c>
      <c r="F53" s="94">
        <f>F50+F52</f>
        <v>3647548.8190915505</v>
      </c>
      <c r="G53" s="21"/>
      <c r="H53" s="15"/>
    </row>
    <row r="54" spans="1:8" ht="12.75" customHeight="1">
      <c r="A54" s="67" t="s">
        <v>39</v>
      </c>
      <c r="B54" s="87"/>
      <c r="C54" s="83"/>
      <c r="D54" s="87"/>
      <c r="E54" s="87"/>
      <c r="F54" s="87"/>
      <c r="G54" s="11"/>
      <c r="H54" s="15"/>
    </row>
    <row r="55" spans="1:8" ht="13.5" customHeight="1">
      <c r="A55" s="47" t="s">
        <v>17</v>
      </c>
      <c r="B55" s="87">
        <f>B23</f>
        <v>134140068</v>
      </c>
      <c r="C55" s="102">
        <v>2</v>
      </c>
      <c r="D55" s="87">
        <f>(B55*C55/1000)/365*$B$96</f>
        <v>135242.58910684931</v>
      </c>
      <c r="E55" s="87">
        <f>+D55*0.19</f>
        <v>25696.091930301369</v>
      </c>
      <c r="F55" s="87">
        <f>+D55+E55</f>
        <v>160938.68103715067</v>
      </c>
      <c r="G55" s="11"/>
      <c r="H55" s="15"/>
    </row>
    <row r="56" spans="1:8" ht="13.5" customHeight="1">
      <c r="A56" s="47" t="s">
        <v>366</v>
      </c>
      <c r="B56" s="87">
        <f>B24</f>
        <v>2027068435</v>
      </c>
      <c r="C56" s="102">
        <v>2</v>
      </c>
      <c r="D56" s="87">
        <f>(B56*C56/1000)/365*$B$96</f>
        <v>2043729.2714520546</v>
      </c>
      <c r="E56" s="87">
        <f>+D56*0.19</f>
        <v>388308.5615758904</v>
      </c>
      <c r="F56" s="87">
        <f>+D56+E56</f>
        <v>2432037.8330279449</v>
      </c>
      <c r="G56" s="11"/>
      <c r="H56" s="15"/>
    </row>
    <row r="57" spans="1:8" ht="13.5" customHeight="1">
      <c r="A57" s="75" t="s">
        <v>380</v>
      </c>
      <c r="B57" s="94">
        <f>SUM(B55:B55)</f>
        <v>134140068</v>
      </c>
      <c r="C57" s="167"/>
      <c r="D57" s="96">
        <f>SUM(D55:D56)</f>
        <v>2178971.8605589038</v>
      </c>
      <c r="E57" s="96">
        <f>SUM(E55:E56)</f>
        <v>414004.6535061918</v>
      </c>
      <c r="F57" s="96">
        <f>SUM(F55:F56)</f>
        <v>2592976.5140650957</v>
      </c>
      <c r="G57" s="16"/>
      <c r="H57" s="15"/>
    </row>
    <row r="58" spans="1:8" ht="16.5" customHeight="1">
      <c r="A58" s="67" t="s">
        <v>41</v>
      </c>
      <c r="B58" s="94">
        <f>SUM(B30+B36+B52)</f>
        <v>56322238155</v>
      </c>
      <c r="C58" s="167"/>
      <c r="D58" s="94">
        <f>D30+D36+D50+D52+D57</f>
        <v>52989270.413486026</v>
      </c>
      <c r="E58" s="94">
        <f>E30+E36+E50+E52+E57</f>
        <v>10067961.378562342</v>
      </c>
      <c r="F58" s="94">
        <f>F30+F36+F50+F52+F57</f>
        <v>63057231.792048372</v>
      </c>
      <c r="G58" s="22"/>
      <c r="H58" s="23"/>
    </row>
    <row r="59" spans="1:8" ht="12.75" customHeight="1">
      <c r="A59" s="79" t="s">
        <v>42</v>
      </c>
      <c r="B59" s="88"/>
      <c r="C59" s="103"/>
      <c r="D59" s="88"/>
      <c r="E59" s="88"/>
      <c r="F59" s="88"/>
      <c r="G59" s="11"/>
      <c r="H59" s="15"/>
    </row>
    <row r="60" spans="1:8" ht="12.75" customHeight="1">
      <c r="A60" s="47" t="s">
        <v>43</v>
      </c>
      <c r="B60" s="87">
        <v>2638885338</v>
      </c>
      <c r="C60" s="104">
        <v>7</v>
      </c>
      <c r="D60" s="87">
        <f>+B60*C60/1000*B96/365</f>
        <v>9312011.8228602745</v>
      </c>
      <c r="E60" s="87">
        <f>+D60*0.19</f>
        <v>1769282.2463434523</v>
      </c>
      <c r="F60" s="87">
        <f>+D60+E60</f>
        <v>11081294.069203727</v>
      </c>
      <c r="G60" s="11"/>
      <c r="H60" s="24"/>
    </row>
    <row r="61" spans="1:8" s="15" customFormat="1" ht="13.5" customHeight="1">
      <c r="A61" s="75"/>
      <c r="B61" s="87"/>
      <c r="C61" s="105"/>
      <c r="D61" s="96">
        <f>SUM(D60:D60)</f>
        <v>9312011.8228602745</v>
      </c>
      <c r="E61" s="96">
        <f>SUM(E60:E60)</f>
        <v>1769282.2463434523</v>
      </c>
      <c r="F61" s="96">
        <f>SUM(F60:F60)</f>
        <v>11081294.069203727</v>
      </c>
      <c r="G61" s="16"/>
    </row>
    <row r="62" spans="1:8" s="15" customFormat="1" ht="12.75" customHeight="1">
      <c r="A62" s="67" t="s">
        <v>45</v>
      </c>
      <c r="B62" s="87"/>
      <c r="C62" s="85"/>
      <c r="D62" s="87"/>
      <c r="E62" s="87"/>
      <c r="F62" s="87"/>
      <c r="G62" s="11"/>
    </row>
    <row r="63" spans="1:8" s="15" customFormat="1" ht="12.75" customHeight="1">
      <c r="A63" s="47" t="s">
        <v>43</v>
      </c>
      <c r="B63" s="87">
        <v>100000000</v>
      </c>
      <c r="C63" s="102">
        <v>3.6</v>
      </c>
      <c r="D63" s="87">
        <f>(B63*C63/100)/365*$B$96</f>
        <v>1814794.5205479451</v>
      </c>
      <c r="E63" s="87">
        <f>+D63*0.19</f>
        <v>344810.95890410955</v>
      </c>
      <c r="F63" s="87">
        <f>+D63+E63</f>
        <v>2159605.4794520545</v>
      </c>
      <c r="G63" s="11"/>
    </row>
    <row r="64" spans="1:8" s="15" customFormat="1" ht="12.95" customHeight="1">
      <c r="A64" s="75"/>
      <c r="B64" s="87"/>
      <c r="C64" s="105"/>
      <c r="D64" s="96">
        <f>SUM(D63:D63)</f>
        <v>1814794.5205479451</v>
      </c>
      <c r="E64" s="96">
        <f>SUM(E63:E63)</f>
        <v>344810.95890410955</v>
      </c>
      <c r="F64" s="96">
        <f>SUM(F63:F63)</f>
        <v>2159605.4794520545</v>
      </c>
      <c r="G64" s="16"/>
    </row>
    <row r="65" spans="1:8" s="15" customFormat="1" ht="12.75" customHeight="1">
      <c r="A65" s="67" t="s">
        <v>47</v>
      </c>
      <c r="B65" s="87"/>
      <c r="C65" s="106"/>
      <c r="D65" s="87"/>
      <c r="E65" s="87"/>
      <c r="F65" s="87"/>
      <c r="G65" s="11"/>
    </row>
    <row r="66" spans="1:8" s="15" customFormat="1" ht="12.75" customHeight="1">
      <c r="A66" s="47" t="s">
        <v>43</v>
      </c>
      <c r="B66" s="87">
        <v>200000000</v>
      </c>
      <c r="C66" s="102">
        <v>0.35</v>
      </c>
      <c r="D66" s="87">
        <f>(B66*C66/100)/365*$B$96</f>
        <v>352876.71232876711</v>
      </c>
      <c r="E66" s="87">
        <f>+D66*0.19</f>
        <v>67046.575342465745</v>
      </c>
      <c r="F66" s="87">
        <f>+D66+E66</f>
        <v>419923.28767123283</v>
      </c>
      <c r="G66" s="11"/>
    </row>
    <row r="67" spans="1:8" s="15" customFormat="1" ht="13.5" customHeight="1">
      <c r="A67" s="75"/>
      <c r="B67" s="87"/>
      <c r="C67" s="106"/>
      <c r="D67" s="96">
        <f>SUM(D66:D66)</f>
        <v>352876.71232876711</v>
      </c>
      <c r="E67" s="96">
        <f>SUM(E66:E66)</f>
        <v>67046.575342465745</v>
      </c>
      <c r="F67" s="96">
        <f>SUM(F66:F66)</f>
        <v>419923.28767123283</v>
      </c>
      <c r="G67" s="16"/>
    </row>
    <row r="68" spans="1:8" s="15" customFormat="1" ht="12.75" customHeight="1">
      <c r="A68" s="79" t="s">
        <v>49</v>
      </c>
      <c r="B68" s="88"/>
      <c r="C68" s="107"/>
      <c r="D68" s="88"/>
      <c r="E68" s="88"/>
      <c r="F68" s="88"/>
      <c r="G68" s="11"/>
    </row>
    <row r="69" spans="1:8" s="15" customFormat="1" ht="12.75" customHeight="1">
      <c r="A69" s="47" t="s">
        <v>50</v>
      </c>
      <c r="B69" s="100">
        <f>AUTOS!E28</f>
        <v>1450000000</v>
      </c>
      <c r="C69" s="102">
        <v>3.3</v>
      </c>
      <c r="D69" s="87">
        <f>(B69*C69/100)/365*$B$96</f>
        <v>24121643.83561644</v>
      </c>
      <c r="E69" s="87">
        <f>+D69*0.19</f>
        <v>4583112.3287671236</v>
      </c>
      <c r="F69" s="87">
        <f>+D69+E69</f>
        <v>28704756.164383564</v>
      </c>
      <c r="G69" s="11"/>
    </row>
    <row r="70" spans="1:8" s="15" customFormat="1" ht="13.5" customHeight="1">
      <c r="A70" s="75"/>
      <c r="B70" s="94">
        <f>SUM(B69:B69)</f>
        <v>1450000000</v>
      </c>
      <c r="C70" s="105"/>
      <c r="D70" s="96">
        <f>SUM(D68:D69)</f>
        <v>24121643.83561644</v>
      </c>
      <c r="E70" s="96">
        <f>SUM(E68:E69)</f>
        <v>4583112.3287671236</v>
      </c>
      <c r="F70" s="96">
        <f>SUM(F68:F69)</f>
        <v>28704756.164383564</v>
      </c>
      <c r="G70" s="16"/>
    </row>
    <row r="71" spans="1:8" s="15" customFormat="1" ht="24" customHeight="1">
      <c r="A71" s="67" t="s">
        <v>52</v>
      </c>
      <c r="B71" s="94"/>
      <c r="C71" s="85"/>
      <c r="D71" s="87"/>
      <c r="E71" s="87"/>
      <c r="F71" s="87"/>
      <c r="H71" s="11">
        <f>B72*C72/100</f>
        <v>12000000</v>
      </c>
    </row>
    <row r="72" spans="1:8" s="15" customFormat="1" ht="19.5" customHeight="1">
      <c r="A72" s="47" t="s">
        <v>43</v>
      </c>
      <c r="B72" s="87">
        <v>300000000</v>
      </c>
      <c r="C72" s="102">
        <v>4</v>
      </c>
      <c r="D72" s="87">
        <f>(B72*C72/100)/365*$B$96+250000</f>
        <v>6299315.0684931502</v>
      </c>
      <c r="E72" s="87">
        <f>+D72*0.19</f>
        <v>1196869.8630136985</v>
      </c>
      <c r="F72" s="87">
        <f>+D72+E72</f>
        <v>7496184.9315068489</v>
      </c>
      <c r="H72" s="11">
        <f>H71/365*B96</f>
        <v>6049315.0684931502</v>
      </c>
    </row>
    <row r="73" spans="1:8" s="15" customFormat="1" ht="13.5" customHeight="1">
      <c r="A73" s="75"/>
      <c r="B73" s="87"/>
      <c r="C73" s="105"/>
      <c r="D73" s="96">
        <f>SUM(D72:D72)</f>
        <v>6299315.0684931502</v>
      </c>
      <c r="E73" s="96">
        <f>SUM(E72:E72)</f>
        <v>1196869.8630136985</v>
      </c>
      <c r="F73" s="96">
        <f>SUM(F72:F72)</f>
        <v>7496184.9315068489</v>
      </c>
      <c r="H73" s="16" t="e">
        <f>#REF!*10%</f>
        <v>#REF!</v>
      </c>
    </row>
    <row r="74" spans="1:8" s="15" customFormat="1" ht="12.95" customHeight="1">
      <c r="A74" s="67" t="s">
        <v>382</v>
      </c>
      <c r="B74" s="87"/>
      <c r="C74" s="85"/>
      <c r="D74" s="87"/>
      <c r="E74" s="87"/>
      <c r="F74" s="87"/>
      <c r="H74" s="11" t="e">
        <f>H72+H73</f>
        <v>#REF!</v>
      </c>
    </row>
    <row r="75" spans="1:8" s="15" customFormat="1" ht="12.95" customHeight="1">
      <c r="A75" s="47" t="s">
        <v>383</v>
      </c>
      <c r="B75" s="101">
        <v>65000000</v>
      </c>
      <c r="C75" s="102">
        <v>0.16500000000000001</v>
      </c>
      <c r="D75" s="87">
        <f>+(B75*C75/100)/365*B96</f>
        <v>54065.753424657538</v>
      </c>
      <c r="E75" s="87">
        <f>+D75*0.19</f>
        <v>10272.493150684932</v>
      </c>
      <c r="F75" s="87">
        <f>+D75+E75</f>
        <v>64338.246575342469</v>
      </c>
      <c r="G75" s="11"/>
    </row>
    <row r="76" spans="1:8" s="15" customFormat="1" ht="12.95" customHeight="1">
      <c r="A76" s="47" t="s">
        <v>384</v>
      </c>
      <c r="B76" s="101"/>
      <c r="C76" s="102"/>
      <c r="D76" s="87"/>
      <c r="E76" s="87"/>
      <c r="F76" s="87"/>
      <c r="G76" s="11"/>
    </row>
    <row r="77" spans="1:8" s="15" customFormat="1" ht="12.95" customHeight="1">
      <c r="A77" s="75"/>
      <c r="B77" s="87"/>
      <c r="C77" s="108"/>
      <c r="D77" s="94">
        <f>SUM(D75:D76)</f>
        <v>54065.753424657538</v>
      </c>
      <c r="E77" s="94">
        <f>SUM(E75:E76)</f>
        <v>10272.493150684932</v>
      </c>
      <c r="F77" s="94">
        <f>SUM(F75:F76)</f>
        <v>64338.246575342469</v>
      </c>
      <c r="G77" s="22"/>
    </row>
    <row r="78" spans="1:8" s="15" customFormat="1" ht="12.95" customHeight="1">
      <c r="A78" s="67" t="s">
        <v>55</v>
      </c>
      <c r="B78" s="87"/>
      <c r="C78" s="85"/>
      <c r="D78" s="87"/>
      <c r="E78" s="87"/>
      <c r="F78" s="87"/>
      <c r="H78" s="25">
        <v>988003</v>
      </c>
    </row>
    <row r="79" spans="1:8" s="15" customFormat="1" ht="12.95" customHeight="1">
      <c r="A79" s="47" t="s">
        <v>43</v>
      </c>
      <c r="B79" s="100" t="s">
        <v>56</v>
      </c>
      <c r="C79" s="84"/>
      <c r="D79" s="97">
        <f>2900000/365*B96</f>
        <v>1461917.8082191781</v>
      </c>
      <c r="E79" s="98"/>
      <c r="F79" s="87">
        <f>+D79+E79</f>
        <v>1461917.8082191781</v>
      </c>
      <c r="H79" s="11">
        <f>H78/365*B96</f>
        <v>498061.78630136984</v>
      </c>
    </row>
    <row r="80" spans="1:8" s="15" customFormat="1" ht="12.95" customHeight="1">
      <c r="A80" s="75" t="s">
        <v>385</v>
      </c>
      <c r="B80" s="101"/>
      <c r="C80" s="84"/>
      <c r="D80" s="87"/>
      <c r="E80" s="87"/>
      <c r="F80" s="87"/>
      <c r="H80" s="22">
        <f>(H79+H88)</f>
        <v>498061.78630136984</v>
      </c>
    </row>
    <row r="81" spans="1:8 16383:16384" s="15" customFormat="1" ht="12.95" customHeight="1">
      <c r="A81" s="75"/>
      <c r="B81" s="87"/>
      <c r="C81" s="86"/>
      <c r="D81" s="94">
        <f>SUM(D79:D80)</f>
        <v>1461917.8082191781</v>
      </c>
      <c r="E81" s="94">
        <f>SUM(E79:E80)</f>
        <v>0</v>
      </c>
      <c r="F81" s="94">
        <f>SUM(F79:F80)</f>
        <v>1461917.8082191781</v>
      </c>
      <c r="H81" s="23">
        <v>287671</v>
      </c>
    </row>
    <row r="82" spans="1:8 16383:16384" s="15" customFormat="1" ht="12.95" customHeight="1">
      <c r="A82" s="67" t="s">
        <v>60</v>
      </c>
      <c r="B82" s="71"/>
      <c r="C82" s="72"/>
      <c r="D82" s="87"/>
      <c r="E82" s="87"/>
      <c r="F82" s="87"/>
      <c r="H82" s="23"/>
    </row>
    <row r="83" spans="1:8 16383:16384" s="15" customFormat="1" ht="12" customHeight="1">
      <c r="A83" s="47" t="s">
        <v>61</v>
      </c>
      <c r="B83" s="74" t="s">
        <v>62</v>
      </c>
      <c r="C83" s="84"/>
      <c r="D83" s="87"/>
      <c r="E83" s="87"/>
      <c r="F83" s="87"/>
      <c r="H83" s="23"/>
    </row>
    <row r="84" spans="1:8 16383:16384" s="15" customFormat="1" ht="12.95" customHeight="1">
      <c r="A84" s="47" t="s">
        <v>386</v>
      </c>
      <c r="B84" s="74"/>
      <c r="C84" s="84"/>
      <c r="D84" s="87">
        <f>SOAT!H28</f>
        <v>15991200</v>
      </c>
      <c r="E84" s="87"/>
      <c r="F84" s="87">
        <f>D84</f>
        <v>15991200</v>
      </c>
      <c r="H84" s="23"/>
    </row>
    <row r="85" spans="1:8 16383:16384" s="15" customFormat="1" ht="12.95" customHeight="1">
      <c r="A85" s="75"/>
      <c r="B85" s="71"/>
      <c r="C85" s="86"/>
      <c r="D85" s="94">
        <f>SUM(D83:D84)</f>
        <v>15991200</v>
      </c>
      <c r="E85" s="94">
        <f>SUM(E83:E84)</f>
        <v>0</v>
      </c>
      <c r="F85" s="94">
        <f>SUM(F83:F84)</f>
        <v>15991200</v>
      </c>
      <c r="H85" s="23"/>
    </row>
    <row r="86" spans="1:8 16383:16384" s="15" customFormat="1" ht="20.25" customHeight="1">
      <c r="A86" s="162" t="s">
        <v>387</v>
      </c>
      <c r="B86" s="163"/>
      <c r="C86" s="164"/>
      <c r="D86" s="165"/>
      <c r="E86" s="165"/>
      <c r="F86" s="165">
        <f>F58+F61+F64+F67+F70+F73+F77+F81+F85</f>
        <v>130436451.77906032</v>
      </c>
      <c r="G86" s="166"/>
      <c r="H86" s="23"/>
      <c r="XFC86" s="166"/>
    </row>
    <row r="87" spans="1:8 16383:16384" s="15" customFormat="1" ht="27" customHeight="1">
      <c r="A87" s="187" t="s">
        <v>388</v>
      </c>
      <c r="B87" s="189"/>
      <c r="C87" s="188"/>
      <c r="D87" s="189"/>
      <c r="E87" s="189"/>
      <c r="F87" s="189"/>
      <c r="G87" s="166"/>
      <c r="H87" s="23"/>
    </row>
    <row r="88" spans="1:8 16383:16384" s="15" customFormat="1" ht="12.95" customHeight="1">
      <c r="A88" s="67" t="s">
        <v>64</v>
      </c>
      <c r="B88" s="87"/>
      <c r="C88" s="72"/>
      <c r="D88" s="87"/>
      <c r="E88" s="87"/>
      <c r="F88" s="87"/>
      <c r="H88" s="23"/>
    </row>
    <row r="89" spans="1:8 16383:16384" s="15" customFormat="1" ht="12.95" customHeight="1">
      <c r="A89" s="47" t="s">
        <v>65</v>
      </c>
      <c r="B89" s="100">
        <v>102694960</v>
      </c>
      <c r="C89" s="84"/>
      <c r="D89" s="87">
        <v>500000</v>
      </c>
      <c r="E89" s="87"/>
      <c r="F89" s="87">
        <f>+D89+E89</f>
        <v>500000</v>
      </c>
    </row>
    <row r="90" spans="1:8 16383:16384" s="15" customFormat="1" ht="12.95" customHeight="1">
      <c r="A90" s="47" t="s">
        <v>66</v>
      </c>
      <c r="B90" s="100">
        <f>B89</f>
        <v>102694960</v>
      </c>
      <c r="C90" s="84"/>
      <c r="D90" s="87">
        <f>+D89</f>
        <v>500000</v>
      </c>
      <c r="E90" s="87"/>
      <c r="F90" s="87">
        <f t="shared" ref="F90:F91" si="17">+D90+E90</f>
        <v>500000</v>
      </c>
      <c r="H90" s="26">
        <v>8707634</v>
      </c>
    </row>
    <row r="91" spans="1:8 16383:16384" s="15" customFormat="1" ht="12.95" customHeight="1">
      <c r="A91" s="47" t="s">
        <v>389</v>
      </c>
      <c r="B91" s="100">
        <f>B90*11</f>
        <v>1129644560</v>
      </c>
      <c r="C91" s="84"/>
      <c r="D91" s="87">
        <f>D90*11</f>
        <v>5500000</v>
      </c>
      <c r="E91" s="87"/>
      <c r="F91" s="87">
        <f t="shared" si="17"/>
        <v>5500000</v>
      </c>
      <c r="H91" s="26">
        <f>H90/365*B96</f>
        <v>4389601.7972602742</v>
      </c>
    </row>
    <row r="92" spans="1:8 16383:16384" s="15" customFormat="1" ht="12.95" customHeight="1">
      <c r="A92" s="75"/>
      <c r="B92" s="71"/>
      <c r="C92" s="86"/>
      <c r="D92" s="94">
        <f>SUM(D89:D91)</f>
        <v>6500000</v>
      </c>
      <c r="E92" s="94">
        <f>SUM(E89:E91)</f>
        <v>0</v>
      </c>
      <c r="F92" s="94">
        <f>SUM(F89:F91)</f>
        <v>6500000</v>
      </c>
      <c r="G92" s="22"/>
      <c r="XFD92" s="46"/>
    </row>
    <row r="93" spans="1:8 16383:16384" s="15" customFormat="1" ht="12.95" customHeight="1">
      <c r="A93" s="162" t="s">
        <v>390</v>
      </c>
      <c r="B93" s="163"/>
      <c r="C93" s="164"/>
      <c r="D93" s="165"/>
      <c r="E93" s="165"/>
      <c r="F93" s="165">
        <f>F92</f>
        <v>6500000</v>
      </c>
      <c r="G93" s="22"/>
      <c r="XFD93" s="46"/>
    </row>
    <row r="94" spans="1:8 16383:16384" s="15" customFormat="1" ht="12.95" customHeight="1">
      <c r="A94" s="631" t="s">
        <v>391</v>
      </c>
      <c r="B94" s="631"/>
      <c r="C94" s="631"/>
      <c r="D94" s="158">
        <f>D58+D61+D64+D67+D70+D73+D77+D81+D85+D92</f>
        <v>118897095.93497646</v>
      </c>
      <c r="E94" s="158">
        <f>E58+E61+E64+E67+E70+E73+E77+E81+E85+E92</f>
        <v>18039355.844083879</v>
      </c>
      <c r="F94" s="158">
        <f>F58+F61+F64+F67+F70+F73+F77+F81+F85+F92</f>
        <v>136936451.7790603</v>
      </c>
      <c r="G94" s="166"/>
    </row>
    <row r="95" spans="1:8 16383:16384" s="15" customFormat="1" ht="12.95" customHeight="1">
      <c r="A95" s="40"/>
      <c r="B95" s="38"/>
      <c r="C95" s="27"/>
      <c r="D95" s="28"/>
      <c r="E95" s="6"/>
      <c r="F95" s="6"/>
    </row>
    <row r="96" spans="1:8 16383:16384" s="15" customFormat="1" ht="15">
      <c r="A96" s="41" t="s">
        <v>392</v>
      </c>
      <c r="B96" s="45">
        <v>184</v>
      </c>
      <c r="C96" s="29"/>
      <c r="D96" s="30"/>
      <c r="E96" s="6"/>
      <c r="F96" s="10"/>
      <c r="G96" s="31"/>
    </row>
    <row r="97" spans="1:8" s="15" customFormat="1">
      <c r="A97" s="41" t="s">
        <v>393</v>
      </c>
      <c r="B97" s="44">
        <v>43282</v>
      </c>
      <c r="C97" s="29"/>
      <c r="D97" s="32"/>
      <c r="E97" s="6"/>
      <c r="F97" s="37"/>
      <c r="G97" s="31"/>
      <c r="H97" s="23"/>
    </row>
    <row r="98" spans="1:8" s="15" customFormat="1">
      <c r="A98" s="41" t="s">
        <v>394</v>
      </c>
      <c r="B98" s="44">
        <f>+B97+B96</f>
        <v>43466</v>
      </c>
      <c r="C98" s="29"/>
      <c r="D98" s="32"/>
      <c r="E98" s="6"/>
      <c r="F98" s="10"/>
      <c r="G98" s="31"/>
      <c r="H98" s="33"/>
    </row>
    <row r="99" spans="1:8" s="15" customFormat="1">
      <c r="A99" s="114"/>
      <c r="B99" s="115"/>
      <c r="C99" s="29"/>
      <c r="D99" s="32"/>
      <c r="E99" s="6"/>
      <c r="F99" s="10"/>
      <c r="G99" s="31"/>
      <c r="H99" s="33"/>
    </row>
    <row r="100" spans="1:8" s="15" customFormat="1">
      <c r="A100" s="114"/>
      <c r="B100" s="115"/>
      <c r="C100" s="29"/>
      <c r="D100" s="32"/>
      <c r="E100" s="6"/>
      <c r="F100" s="10"/>
      <c r="G100" s="31"/>
      <c r="H100" s="33"/>
    </row>
    <row r="101" spans="1:8" s="15" customFormat="1">
      <c r="A101" s="114"/>
      <c r="B101" s="115"/>
      <c r="C101" s="29"/>
      <c r="D101" s="32"/>
      <c r="E101" s="6"/>
      <c r="F101" s="10"/>
      <c r="G101" s="31"/>
      <c r="H101" s="33"/>
    </row>
    <row r="103" spans="1:8">
      <c r="A103" s="110" t="s">
        <v>73</v>
      </c>
    </row>
    <row r="104" spans="1:8" ht="15">
      <c r="A104" s="111" t="s">
        <v>74</v>
      </c>
    </row>
    <row r="105" spans="1:8">
      <c r="A105" s="112" t="s">
        <v>395</v>
      </c>
    </row>
    <row r="106" spans="1:8">
      <c r="A106" s="112" t="s">
        <v>396</v>
      </c>
    </row>
    <row r="107" spans="1:8">
      <c r="A107" s="112" t="s">
        <v>397</v>
      </c>
    </row>
    <row r="108" spans="1:8">
      <c r="A108" s="112" t="s">
        <v>398</v>
      </c>
    </row>
    <row r="109" spans="1:8">
      <c r="A109" s="113" t="s">
        <v>399</v>
      </c>
    </row>
    <row r="110" spans="1:8">
      <c r="A110" s="113" t="s">
        <v>75</v>
      </c>
    </row>
  </sheetData>
  <sheetProtection selectLockedCells="1" selectUnlockedCells="1"/>
  <mergeCells count="11">
    <mergeCell ref="A94:C94"/>
    <mergeCell ref="B1:C1"/>
    <mergeCell ref="A2:F2"/>
    <mergeCell ref="A3:F3"/>
    <mergeCell ref="A4:F5"/>
    <mergeCell ref="A6:A8"/>
    <mergeCell ref="B6:B8"/>
    <mergeCell ref="C6:C8"/>
    <mergeCell ref="D6:F6"/>
    <mergeCell ref="D7:F7"/>
    <mergeCell ref="A10:B10"/>
  </mergeCells>
  <hyperlinks>
    <hyperlink ref="A109" r:id="rId1" display="mailto:asesorprofesional@pizanoecheverri.co" xr:uid="{00000000-0004-0000-1400-000000000000}"/>
    <hyperlink ref="A110" r:id="rId2" display="http://www.pizanoecheverri.co/" xr:uid="{00000000-0004-0000-1400-000001000000}"/>
  </hyperlinks>
  <printOptions horizontalCentered="1" verticalCentered="1"/>
  <pageMargins left="0" right="0" top="0" bottom="0" header="0" footer="0"/>
  <pageSetup orientation="landscape" r:id="rId3"/>
  <headerFooter alignWithMargins="0">
    <oddHeader>&amp;CFORMATO DE PROPUESTA ECONOMICA</oddHeader>
  </headerFooter>
  <rowBreaks count="1" manualBreakCount="1">
    <brk id="67" max="16383" man="1"/>
  </rowBreaks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190"/>
  <sheetViews>
    <sheetView workbookViewId="0">
      <selection activeCell="C4" sqref="C4:E4"/>
    </sheetView>
  </sheetViews>
  <sheetFormatPr baseColWidth="10" defaultColWidth="11.42578125" defaultRowHeight="12.75"/>
  <cols>
    <col min="1" max="1" width="17.42578125" customWidth="1"/>
    <col min="2" max="2" width="17.28515625" hidden="1" customWidth="1"/>
    <col min="3" max="3" width="17.140625" customWidth="1"/>
    <col min="4" max="4" width="29.5703125" customWidth="1"/>
    <col min="5" max="5" width="21.5703125" customWidth="1"/>
  </cols>
  <sheetData>
    <row r="1" spans="1:5">
      <c r="A1" s="148" t="s">
        <v>400</v>
      </c>
      <c r="B1" s="148" t="s">
        <v>401</v>
      </c>
      <c r="C1" s="148" t="s">
        <v>402</v>
      </c>
      <c r="D1" s="148" t="s">
        <v>403</v>
      </c>
      <c r="E1" s="148" t="s">
        <v>165</v>
      </c>
    </row>
    <row r="2" spans="1:5" ht="18.75">
      <c r="A2" s="149" t="s">
        <v>404</v>
      </c>
      <c r="B2" s="152">
        <v>74955000</v>
      </c>
      <c r="C2" s="150">
        <v>74955000</v>
      </c>
      <c r="D2" s="151" t="s">
        <v>405</v>
      </c>
      <c r="E2" s="151" t="s">
        <v>406</v>
      </c>
    </row>
    <row r="3" spans="1:5" ht="18.75">
      <c r="A3" s="149" t="s">
        <v>404</v>
      </c>
      <c r="B3" s="152">
        <v>260062500</v>
      </c>
      <c r="C3" s="150">
        <v>260062500</v>
      </c>
      <c r="D3" s="151" t="s">
        <v>407</v>
      </c>
      <c r="E3" s="151" t="s">
        <v>408</v>
      </c>
    </row>
    <row r="4" spans="1:5" ht="18.75">
      <c r="A4" s="149" t="s">
        <v>404</v>
      </c>
      <c r="B4" s="152">
        <v>38332500</v>
      </c>
      <c r="C4" s="150">
        <v>38332500</v>
      </c>
      <c r="D4" s="151" t="s">
        <v>409</v>
      </c>
      <c r="E4" s="151" t="s">
        <v>410</v>
      </c>
    </row>
    <row r="5" spans="1:5" ht="18.75">
      <c r="A5" s="149" t="s">
        <v>404</v>
      </c>
      <c r="B5" s="152">
        <v>43391250</v>
      </c>
      <c r="C5" s="150">
        <v>43391250</v>
      </c>
      <c r="D5" s="151" t="s">
        <v>411</v>
      </c>
      <c r="E5" s="151" t="s">
        <v>412</v>
      </c>
    </row>
    <row r="6" spans="1:5" ht="18.75">
      <c r="A6" s="149" t="s">
        <v>404</v>
      </c>
      <c r="B6" s="152">
        <v>30993750</v>
      </c>
      <c r="C6" s="150">
        <v>30993750</v>
      </c>
      <c r="D6" s="151" t="s">
        <v>413</v>
      </c>
      <c r="E6" s="151" t="s">
        <v>414</v>
      </c>
    </row>
    <row r="7" spans="1:5" ht="18.75">
      <c r="A7" s="149" t="s">
        <v>415</v>
      </c>
      <c r="B7" s="152">
        <v>949976250</v>
      </c>
      <c r="C7" s="150">
        <v>949976250</v>
      </c>
      <c r="D7" s="151" t="s">
        <v>416</v>
      </c>
      <c r="E7" s="151" t="s">
        <v>417</v>
      </c>
    </row>
    <row r="8" spans="1:5" ht="18.75">
      <c r="A8" s="149" t="s">
        <v>404</v>
      </c>
      <c r="B8" s="152">
        <v>76736250</v>
      </c>
      <c r="C8" s="150">
        <v>76736250</v>
      </c>
      <c r="D8" s="151" t="s">
        <v>418</v>
      </c>
      <c r="E8" s="151" t="s">
        <v>419</v>
      </c>
    </row>
    <row r="9" spans="1:5" ht="18.75">
      <c r="A9" s="149" t="s">
        <v>404</v>
      </c>
      <c r="B9" s="152">
        <v>76950000</v>
      </c>
      <c r="C9" s="150">
        <v>76950000</v>
      </c>
      <c r="D9" s="151" t="s">
        <v>420</v>
      </c>
      <c r="E9" s="151" t="s">
        <v>421</v>
      </c>
    </row>
    <row r="10" spans="1:5" ht="18.75">
      <c r="A10" s="149" t="s">
        <v>415</v>
      </c>
      <c r="B10" s="152">
        <v>95008000</v>
      </c>
      <c r="C10" s="150">
        <v>95008000</v>
      </c>
      <c r="D10" s="151" t="s">
        <v>422</v>
      </c>
      <c r="E10" s="151" t="s">
        <v>423</v>
      </c>
    </row>
    <row r="11" spans="1:5" ht="18.75">
      <c r="A11" s="149" t="s">
        <v>415</v>
      </c>
      <c r="B11" s="152">
        <v>19595400</v>
      </c>
      <c r="C11" s="150">
        <v>19595400</v>
      </c>
      <c r="D11" s="151" t="s">
        <v>424</v>
      </c>
      <c r="E11" s="151" t="s">
        <v>425</v>
      </c>
    </row>
    <row r="12" spans="1:5" ht="18.75">
      <c r="A12" s="149" t="s">
        <v>404</v>
      </c>
      <c r="B12" s="152">
        <v>120351384</v>
      </c>
      <c r="C12" s="150">
        <v>120351384</v>
      </c>
      <c r="D12" s="151" t="s">
        <v>426</v>
      </c>
      <c r="E12" s="151" t="s">
        <v>427</v>
      </c>
    </row>
    <row r="13" spans="1:5" ht="18.75">
      <c r="A13" s="149" t="s">
        <v>404</v>
      </c>
      <c r="B13" s="152">
        <v>3348750000</v>
      </c>
      <c r="C13" s="150">
        <v>3348750000</v>
      </c>
      <c r="D13" s="151" t="s">
        <v>428</v>
      </c>
      <c r="E13" s="151" t="s">
        <v>429</v>
      </c>
    </row>
    <row r="14" spans="1:5" ht="18.75">
      <c r="A14" s="149" t="s">
        <v>404</v>
      </c>
      <c r="B14" s="152">
        <v>47504000</v>
      </c>
      <c r="C14" s="150">
        <v>47504000</v>
      </c>
      <c r="D14" s="151" t="s">
        <v>430</v>
      </c>
      <c r="E14" s="151" t="s">
        <v>431</v>
      </c>
    </row>
    <row r="15" spans="1:5" ht="18.75">
      <c r="A15" s="149" t="s">
        <v>404</v>
      </c>
      <c r="B15" s="152">
        <v>32659000</v>
      </c>
      <c r="C15" s="150">
        <v>32659000</v>
      </c>
      <c r="D15" s="151" t="s">
        <v>432</v>
      </c>
      <c r="E15" s="151" t="s">
        <v>433</v>
      </c>
    </row>
    <row r="16" spans="1:5" ht="18.75">
      <c r="A16" s="149" t="s">
        <v>404</v>
      </c>
      <c r="B16" s="152">
        <v>5938000</v>
      </c>
      <c r="C16" s="150">
        <v>5938000</v>
      </c>
      <c r="D16" s="151" t="s">
        <v>434</v>
      </c>
      <c r="E16" s="151" t="s">
        <v>435</v>
      </c>
    </row>
    <row r="17" spans="1:5" ht="18.75">
      <c r="A17" s="149" t="s">
        <v>436</v>
      </c>
      <c r="B17" s="152">
        <v>42880000</v>
      </c>
      <c r="C17" s="150">
        <v>42880000</v>
      </c>
      <c r="D17" s="151" t="s">
        <v>437</v>
      </c>
      <c r="E17" s="151" t="s">
        <v>438</v>
      </c>
    </row>
    <row r="18" spans="1:5">
      <c r="A18" s="149" t="s">
        <v>436</v>
      </c>
      <c r="B18" s="152">
        <v>49404160</v>
      </c>
      <c r="C18" s="150">
        <v>49404160</v>
      </c>
      <c r="D18" s="151" t="s">
        <v>439</v>
      </c>
      <c r="E18" s="151" t="s">
        <v>440</v>
      </c>
    </row>
    <row r="19" spans="1:5" ht="18.75">
      <c r="A19" s="149" t="s">
        <v>404</v>
      </c>
      <c r="B19" s="152">
        <v>544350000</v>
      </c>
      <c r="C19" s="150">
        <v>544350000</v>
      </c>
      <c r="D19" s="151" t="s">
        <v>441</v>
      </c>
      <c r="E19" s="151" t="s">
        <v>442</v>
      </c>
    </row>
    <row r="20" spans="1:5" ht="18.75">
      <c r="A20" s="149" t="s">
        <v>404</v>
      </c>
      <c r="B20" s="152">
        <v>49879200</v>
      </c>
      <c r="C20" s="150">
        <v>49879200</v>
      </c>
      <c r="D20" s="151" t="s">
        <v>443</v>
      </c>
      <c r="E20" s="151" t="s">
        <v>444</v>
      </c>
    </row>
    <row r="21" spans="1:5" ht="18.75">
      <c r="A21" s="149" t="s">
        <v>404</v>
      </c>
      <c r="B21" s="152">
        <v>38003200</v>
      </c>
      <c r="C21" s="150">
        <v>38003200</v>
      </c>
      <c r="D21" s="151" t="s">
        <v>445</v>
      </c>
      <c r="E21" s="151" t="s">
        <v>446</v>
      </c>
    </row>
    <row r="22" spans="1:5">
      <c r="A22" s="149" t="s">
        <v>404</v>
      </c>
      <c r="B22" s="152">
        <v>11876000</v>
      </c>
      <c r="C22" s="150">
        <v>11876000</v>
      </c>
      <c r="D22" s="151" t="s">
        <v>447</v>
      </c>
      <c r="E22" s="151" t="s">
        <v>448</v>
      </c>
    </row>
    <row r="23" spans="1:5">
      <c r="A23" s="149" t="s">
        <v>404</v>
      </c>
      <c r="B23" s="152">
        <v>11876000</v>
      </c>
      <c r="C23" s="150">
        <v>11876000</v>
      </c>
      <c r="D23" s="151" t="s">
        <v>449</v>
      </c>
      <c r="E23" s="151" t="s">
        <v>450</v>
      </c>
    </row>
    <row r="24" spans="1:5" ht="18.75">
      <c r="A24" s="149" t="s">
        <v>404</v>
      </c>
      <c r="B24" s="152">
        <v>8907000</v>
      </c>
      <c r="C24" s="150">
        <v>8907000</v>
      </c>
      <c r="D24" s="151" t="s">
        <v>451</v>
      </c>
      <c r="E24" s="151" t="s">
        <v>452</v>
      </c>
    </row>
    <row r="25" spans="1:5" ht="18.75">
      <c r="A25" s="149" t="s">
        <v>404</v>
      </c>
      <c r="B25" s="152">
        <v>2969000</v>
      </c>
      <c r="C25" s="150">
        <v>2969000</v>
      </c>
      <c r="D25" s="151" t="s">
        <v>453</v>
      </c>
      <c r="E25" s="151" t="s">
        <v>454</v>
      </c>
    </row>
    <row r="26" spans="1:5" ht="18.75">
      <c r="A26" s="149" t="s">
        <v>415</v>
      </c>
      <c r="B26" s="152">
        <v>3477557175</v>
      </c>
      <c r="C26" s="150">
        <v>3477557175</v>
      </c>
      <c r="D26" s="151" t="s">
        <v>455</v>
      </c>
      <c r="E26" s="151" t="s">
        <v>456</v>
      </c>
    </row>
    <row r="27" spans="1:5" ht="18.75">
      <c r="A27" s="149" t="s">
        <v>404</v>
      </c>
      <c r="B27" s="152">
        <v>16964866</v>
      </c>
      <c r="C27" s="150">
        <v>16964866</v>
      </c>
      <c r="D27" s="151" t="s">
        <v>457</v>
      </c>
      <c r="E27" s="151" t="s">
        <v>458</v>
      </c>
    </row>
    <row r="28" spans="1:5" ht="18.75">
      <c r="A28" s="149" t="s">
        <v>404</v>
      </c>
      <c r="B28" s="152">
        <v>7125600</v>
      </c>
      <c r="C28" s="150">
        <v>7125600</v>
      </c>
      <c r="D28" s="151" t="s">
        <v>459</v>
      </c>
      <c r="E28" s="151" t="s">
        <v>460</v>
      </c>
    </row>
    <row r="29" spans="1:5" ht="18.75">
      <c r="A29" s="149" t="s">
        <v>404</v>
      </c>
      <c r="B29" s="152">
        <v>1573570</v>
      </c>
      <c r="C29" s="150">
        <v>1573570</v>
      </c>
      <c r="D29" s="151" t="s">
        <v>461</v>
      </c>
      <c r="E29" s="151" t="s">
        <v>462</v>
      </c>
    </row>
    <row r="30" spans="1:5" ht="18.75">
      <c r="A30" s="149" t="s">
        <v>404</v>
      </c>
      <c r="B30" s="152">
        <v>2375200</v>
      </c>
      <c r="C30" s="150">
        <v>2375200</v>
      </c>
      <c r="D30" s="151" t="s">
        <v>463</v>
      </c>
      <c r="E30" s="151" t="s">
        <v>464</v>
      </c>
    </row>
    <row r="31" spans="1:5" ht="18.75">
      <c r="A31" s="149" t="s">
        <v>404</v>
      </c>
      <c r="B31" s="152">
        <v>9500800</v>
      </c>
      <c r="C31" s="150">
        <v>9500800</v>
      </c>
      <c r="D31" s="151" t="s">
        <v>465</v>
      </c>
      <c r="E31" s="151" t="s">
        <v>466</v>
      </c>
    </row>
    <row r="32" spans="1:5" ht="18.75">
      <c r="A32" s="149" t="s">
        <v>404</v>
      </c>
      <c r="B32" s="152">
        <v>19161926</v>
      </c>
      <c r="C32" s="150">
        <v>19161926</v>
      </c>
      <c r="D32" s="151" t="s">
        <v>467</v>
      </c>
      <c r="E32" s="151" t="s">
        <v>468</v>
      </c>
    </row>
    <row r="33" spans="1:5" ht="18.75">
      <c r="A33" s="149" t="s">
        <v>404</v>
      </c>
      <c r="B33" s="152">
        <v>3349032</v>
      </c>
      <c r="C33" s="150">
        <v>3349032</v>
      </c>
      <c r="D33" s="151" t="s">
        <v>469</v>
      </c>
      <c r="E33" s="151" t="s">
        <v>450</v>
      </c>
    </row>
    <row r="34" spans="1:5" ht="18.75">
      <c r="A34" s="149" t="s">
        <v>404</v>
      </c>
      <c r="B34" s="152">
        <v>2856178</v>
      </c>
      <c r="C34" s="150">
        <v>2856178</v>
      </c>
      <c r="D34" s="151" t="s">
        <v>470</v>
      </c>
      <c r="E34" s="151" t="s">
        <v>450</v>
      </c>
    </row>
    <row r="35" spans="1:5" ht="18.75">
      <c r="A35" s="149" t="s">
        <v>404</v>
      </c>
      <c r="B35" s="152">
        <v>17030184</v>
      </c>
      <c r="C35" s="150">
        <v>17030184</v>
      </c>
      <c r="D35" s="151" t="s">
        <v>471</v>
      </c>
      <c r="E35" s="151" t="s">
        <v>472</v>
      </c>
    </row>
    <row r="36" spans="1:5" ht="18.75">
      <c r="A36" s="149" t="s">
        <v>415</v>
      </c>
      <c r="B36" s="152">
        <v>60000000</v>
      </c>
      <c r="C36" s="150">
        <v>60000000</v>
      </c>
      <c r="D36" s="151" t="s">
        <v>473</v>
      </c>
      <c r="E36" s="151" t="s">
        <v>474</v>
      </c>
    </row>
    <row r="37" spans="1:5">
      <c r="A37" s="149" t="s">
        <v>404</v>
      </c>
      <c r="B37" s="152">
        <v>71178750</v>
      </c>
      <c r="C37" s="150">
        <v>71178750</v>
      </c>
      <c r="D37" s="151" t="s">
        <v>475</v>
      </c>
      <c r="E37" s="151" t="s">
        <v>476</v>
      </c>
    </row>
    <row r="38" spans="1:5" ht="18.75">
      <c r="A38" s="149" t="s">
        <v>404</v>
      </c>
      <c r="B38" s="152">
        <v>35628000</v>
      </c>
      <c r="C38" s="150">
        <v>35628000</v>
      </c>
      <c r="D38" s="151" t="s">
        <v>477</v>
      </c>
      <c r="E38" s="151" t="s">
        <v>478</v>
      </c>
    </row>
    <row r="39" spans="1:5" ht="18.75">
      <c r="A39" s="149" t="s">
        <v>404</v>
      </c>
      <c r="B39" s="152">
        <v>3347200</v>
      </c>
      <c r="C39" s="150">
        <v>3347200</v>
      </c>
      <c r="D39" s="151" t="s">
        <v>479</v>
      </c>
      <c r="E39" s="151" t="s">
        <v>480</v>
      </c>
    </row>
    <row r="40" spans="1:5">
      <c r="A40" s="149" t="s">
        <v>404</v>
      </c>
      <c r="B40" s="152">
        <v>38003200</v>
      </c>
      <c r="C40" s="150">
        <v>38003200</v>
      </c>
      <c r="D40" s="151" t="s">
        <v>481</v>
      </c>
      <c r="E40" s="151" t="s">
        <v>480</v>
      </c>
    </row>
    <row r="41" spans="1:5" ht="18.75">
      <c r="A41" s="149" t="s">
        <v>404</v>
      </c>
      <c r="B41" s="152">
        <v>38003200</v>
      </c>
      <c r="C41" s="150">
        <v>38003200</v>
      </c>
      <c r="D41" s="151" t="s">
        <v>482</v>
      </c>
      <c r="E41" s="151" t="s">
        <v>483</v>
      </c>
    </row>
    <row r="42" spans="1:5" ht="18.75">
      <c r="A42" s="149" t="s">
        <v>404</v>
      </c>
      <c r="B42" s="152">
        <v>1793066059</v>
      </c>
      <c r="C42" s="150">
        <v>1793066059</v>
      </c>
      <c r="D42" s="151" t="s">
        <v>484</v>
      </c>
      <c r="E42" s="151" t="s">
        <v>408</v>
      </c>
    </row>
    <row r="43" spans="1:5">
      <c r="A43" s="149" t="s">
        <v>404</v>
      </c>
      <c r="B43" s="152">
        <v>252362640</v>
      </c>
      <c r="C43" s="150">
        <v>252362640</v>
      </c>
      <c r="D43" s="151" t="s">
        <v>485</v>
      </c>
      <c r="E43" s="151" t="s">
        <v>419</v>
      </c>
    </row>
    <row r="44" spans="1:5">
      <c r="A44" s="149" t="s">
        <v>404</v>
      </c>
      <c r="B44" s="152">
        <v>1099164721</v>
      </c>
      <c r="C44" s="150">
        <v>1099164721</v>
      </c>
      <c r="D44" s="151" t="s">
        <v>486</v>
      </c>
      <c r="E44" s="151" t="s">
        <v>421</v>
      </c>
    </row>
    <row r="45" spans="1:5">
      <c r="A45" s="149" t="s">
        <v>436</v>
      </c>
      <c r="B45" s="152">
        <v>153249920</v>
      </c>
      <c r="C45" s="150">
        <v>153249920</v>
      </c>
      <c r="D45" s="151" t="s">
        <v>487</v>
      </c>
      <c r="E45" s="151" t="s">
        <v>440</v>
      </c>
    </row>
    <row r="46" spans="1:5">
      <c r="A46" s="149" t="s">
        <v>404</v>
      </c>
      <c r="B46" s="152">
        <v>19348838</v>
      </c>
      <c r="C46" s="150">
        <v>19348838</v>
      </c>
      <c r="D46" s="151" t="s">
        <v>488</v>
      </c>
      <c r="E46" s="151" t="s">
        <v>440</v>
      </c>
    </row>
    <row r="47" spans="1:5" ht="18.75">
      <c r="A47" s="149" t="s">
        <v>404</v>
      </c>
      <c r="B47" s="152">
        <v>94884288</v>
      </c>
      <c r="C47" s="150">
        <v>94884288</v>
      </c>
      <c r="D47" s="151" t="s">
        <v>489</v>
      </c>
      <c r="E47" s="151" t="s">
        <v>450</v>
      </c>
    </row>
    <row r="48" spans="1:5" ht="12.75" customHeight="1">
      <c r="A48" s="149" t="s">
        <v>404</v>
      </c>
      <c r="B48" s="152">
        <v>118801493</v>
      </c>
      <c r="C48" s="150">
        <v>118801493</v>
      </c>
      <c r="D48" s="151" t="s">
        <v>490</v>
      </c>
      <c r="E48" s="151" t="s">
        <v>464</v>
      </c>
    </row>
    <row r="49" spans="1:5">
      <c r="A49" s="149" t="s">
        <v>404</v>
      </c>
      <c r="B49" s="152">
        <v>24878794</v>
      </c>
      <c r="C49" s="150">
        <v>24878794</v>
      </c>
      <c r="D49" s="151" t="s">
        <v>491</v>
      </c>
      <c r="E49" s="151" t="s">
        <v>492</v>
      </c>
    </row>
    <row r="50" spans="1:5">
      <c r="A50" s="149" t="s">
        <v>404</v>
      </c>
      <c r="B50" s="152">
        <v>165471499</v>
      </c>
      <c r="C50" s="150">
        <v>165471499</v>
      </c>
      <c r="D50" s="151" t="s">
        <v>493</v>
      </c>
      <c r="E50" s="151" t="s">
        <v>492</v>
      </c>
    </row>
    <row r="51" spans="1:5">
      <c r="A51" s="149" t="s">
        <v>404</v>
      </c>
      <c r="B51" s="152">
        <v>134229178</v>
      </c>
      <c r="C51" s="150">
        <v>134229178</v>
      </c>
      <c r="D51" s="151" t="s">
        <v>494</v>
      </c>
      <c r="E51" s="151" t="s">
        <v>495</v>
      </c>
    </row>
    <row r="52" spans="1:5">
      <c r="A52" s="149" t="s">
        <v>404</v>
      </c>
      <c r="B52" s="152">
        <v>18609143</v>
      </c>
      <c r="C52" s="150">
        <v>18609143</v>
      </c>
      <c r="D52" s="151" t="s">
        <v>496</v>
      </c>
      <c r="E52" s="151" t="s">
        <v>497</v>
      </c>
    </row>
    <row r="53" spans="1:5">
      <c r="A53" s="149" t="s">
        <v>404</v>
      </c>
      <c r="B53" s="152">
        <v>982960926</v>
      </c>
      <c r="C53" s="150">
        <v>982960926</v>
      </c>
      <c r="D53" s="151" t="s">
        <v>498</v>
      </c>
      <c r="E53" s="151" t="s">
        <v>499</v>
      </c>
    </row>
    <row r="54" spans="1:5">
      <c r="A54" s="149" t="s">
        <v>404</v>
      </c>
      <c r="B54" s="152">
        <v>269795527</v>
      </c>
      <c r="C54" s="150">
        <v>269795527</v>
      </c>
      <c r="D54" s="151" t="s">
        <v>500</v>
      </c>
      <c r="E54" s="151" t="s">
        <v>440</v>
      </c>
    </row>
    <row r="55" spans="1:5">
      <c r="A55" s="149" t="s">
        <v>404</v>
      </c>
      <c r="B55" s="152">
        <v>119982392</v>
      </c>
      <c r="C55" s="150">
        <v>119982392</v>
      </c>
      <c r="D55" s="151" t="s">
        <v>501</v>
      </c>
      <c r="E55" s="151" t="s">
        <v>502</v>
      </c>
    </row>
    <row r="56" spans="1:5">
      <c r="A56" s="149" t="s">
        <v>404</v>
      </c>
      <c r="B56" s="152">
        <v>370310259</v>
      </c>
      <c r="C56" s="150">
        <v>370310259</v>
      </c>
      <c r="D56" s="151" t="s">
        <v>503</v>
      </c>
      <c r="E56" s="151" t="s">
        <v>472</v>
      </c>
    </row>
    <row r="57" spans="1:5" ht="18.75">
      <c r="A57" s="149" t="s">
        <v>404</v>
      </c>
      <c r="B57" s="152">
        <v>17499180</v>
      </c>
      <c r="C57" s="150">
        <v>17499180</v>
      </c>
      <c r="D57" s="151" t="s">
        <v>504</v>
      </c>
      <c r="E57" s="151" t="s">
        <v>466</v>
      </c>
    </row>
    <row r="58" spans="1:5" ht="27.75">
      <c r="A58" s="149" t="s">
        <v>404</v>
      </c>
      <c r="B58" s="152">
        <v>209989697</v>
      </c>
      <c r="C58" s="150">
        <v>209989697</v>
      </c>
      <c r="D58" s="151" t="s">
        <v>505</v>
      </c>
      <c r="E58" s="151" t="s">
        <v>440</v>
      </c>
    </row>
    <row r="59" spans="1:5">
      <c r="A59" s="149" t="s">
        <v>404</v>
      </c>
      <c r="B59" s="152">
        <v>249985392</v>
      </c>
      <c r="C59" s="150">
        <v>249985392</v>
      </c>
      <c r="D59" s="151" t="s">
        <v>506</v>
      </c>
      <c r="E59" s="151" t="s">
        <v>507</v>
      </c>
    </row>
    <row r="60" spans="1:5">
      <c r="A60" s="149" t="s">
        <v>404</v>
      </c>
      <c r="B60" s="152">
        <v>45665124</v>
      </c>
      <c r="C60" s="150">
        <v>45665124</v>
      </c>
      <c r="D60" s="151" t="s">
        <v>508</v>
      </c>
      <c r="E60" s="151" t="s">
        <v>440</v>
      </c>
    </row>
    <row r="61" spans="1:5">
      <c r="A61" s="149" t="s">
        <v>404</v>
      </c>
      <c r="B61" s="152">
        <v>48539686</v>
      </c>
      <c r="C61" s="150">
        <v>48539686</v>
      </c>
      <c r="D61" s="151" t="s">
        <v>176</v>
      </c>
      <c r="E61" s="151" t="s">
        <v>440</v>
      </c>
    </row>
    <row r="62" spans="1:5">
      <c r="A62" s="149" t="s">
        <v>404</v>
      </c>
      <c r="B62" s="152">
        <v>1260000</v>
      </c>
      <c r="C62" s="150">
        <v>1260000</v>
      </c>
      <c r="D62" s="151" t="s">
        <v>509</v>
      </c>
      <c r="E62" s="151" t="s">
        <v>440</v>
      </c>
    </row>
    <row r="63" spans="1:5" ht="18.75">
      <c r="A63" s="149" t="s">
        <v>404</v>
      </c>
      <c r="B63" s="152">
        <v>263190080</v>
      </c>
      <c r="C63" s="150">
        <v>263190080</v>
      </c>
      <c r="D63" s="151" t="s">
        <v>510</v>
      </c>
      <c r="E63" s="151" t="s">
        <v>406</v>
      </c>
    </row>
    <row r="64" spans="1:5">
      <c r="A64" s="149" t="s">
        <v>404</v>
      </c>
      <c r="B64" s="152">
        <v>159912960</v>
      </c>
      <c r="C64" s="150">
        <v>159912960</v>
      </c>
      <c r="D64" s="151" t="s">
        <v>511</v>
      </c>
      <c r="E64" s="151" t="s">
        <v>412</v>
      </c>
    </row>
    <row r="65" spans="1:5">
      <c r="A65" s="149" t="s">
        <v>404</v>
      </c>
      <c r="B65" s="152">
        <v>524425177</v>
      </c>
      <c r="C65" s="150">
        <v>524425177</v>
      </c>
      <c r="D65" s="151" t="s">
        <v>512</v>
      </c>
      <c r="E65" s="151" t="s">
        <v>427</v>
      </c>
    </row>
    <row r="66" spans="1:5" ht="18.75">
      <c r="A66" s="149" t="s">
        <v>404</v>
      </c>
      <c r="B66" s="152">
        <v>808909460</v>
      </c>
      <c r="C66" s="150">
        <v>808909460</v>
      </c>
      <c r="D66" s="151" t="s">
        <v>513</v>
      </c>
      <c r="E66" s="151" t="s">
        <v>431</v>
      </c>
    </row>
    <row r="67" spans="1:5" ht="18.75">
      <c r="A67" s="149" t="s">
        <v>404</v>
      </c>
      <c r="B67" s="152">
        <v>400915958</v>
      </c>
      <c r="C67" s="150">
        <v>400915958</v>
      </c>
      <c r="D67" s="151" t="s">
        <v>514</v>
      </c>
      <c r="E67" s="151" t="s">
        <v>435</v>
      </c>
    </row>
    <row r="68" spans="1:5">
      <c r="A68" s="149" t="s">
        <v>404</v>
      </c>
      <c r="B68" s="152">
        <v>448193700</v>
      </c>
      <c r="C68" s="150">
        <v>448193700</v>
      </c>
      <c r="D68" s="151" t="s">
        <v>515</v>
      </c>
      <c r="E68" s="151" t="s">
        <v>516</v>
      </c>
    </row>
    <row r="69" spans="1:5">
      <c r="A69" s="149" t="s">
        <v>404</v>
      </c>
      <c r="B69" s="152">
        <v>116731200</v>
      </c>
      <c r="C69" s="150">
        <v>116731200</v>
      </c>
      <c r="D69" s="151" t="s">
        <v>517</v>
      </c>
      <c r="E69" s="151" t="s">
        <v>460</v>
      </c>
    </row>
    <row r="70" spans="1:5">
      <c r="A70" s="149" t="s">
        <v>404</v>
      </c>
      <c r="B70" s="152">
        <v>1201425449</v>
      </c>
      <c r="C70" s="150">
        <v>1201425449</v>
      </c>
      <c r="D70" s="151" t="s">
        <v>518</v>
      </c>
      <c r="E70" s="151" t="s">
        <v>519</v>
      </c>
    </row>
    <row r="71" spans="1:5">
      <c r="A71" s="149" t="s">
        <v>404</v>
      </c>
      <c r="B71" s="152">
        <v>359692000</v>
      </c>
      <c r="C71" s="150">
        <v>359692000</v>
      </c>
      <c r="D71" s="151" t="s">
        <v>520</v>
      </c>
      <c r="E71" s="151" t="s">
        <v>464</v>
      </c>
    </row>
    <row r="72" spans="1:5">
      <c r="A72" s="149" t="s">
        <v>404</v>
      </c>
      <c r="B72" s="152">
        <v>122001840</v>
      </c>
      <c r="C72" s="150">
        <v>122001840</v>
      </c>
      <c r="D72" s="151" t="s">
        <v>521</v>
      </c>
      <c r="E72" s="151" t="s">
        <v>507</v>
      </c>
    </row>
    <row r="73" spans="1:5">
      <c r="A73" s="149" t="s">
        <v>404</v>
      </c>
      <c r="B73" s="152">
        <v>561310000</v>
      </c>
      <c r="C73" s="150">
        <v>561310000</v>
      </c>
      <c r="D73" s="151" t="s">
        <v>522</v>
      </c>
      <c r="E73" s="151" t="s">
        <v>468</v>
      </c>
    </row>
    <row r="74" spans="1:5">
      <c r="A74" s="149" t="s">
        <v>404</v>
      </c>
      <c r="B74" s="152">
        <v>1039156186</v>
      </c>
      <c r="C74" s="150">
        <v>1039156186</v>
      </c>
      <c r="D74" s="151" t="s">
        <v>523</v>
      </c>
      <c r="E74" s="151" t="s">
        <v>472</v>
      </c>
    </row>
    <row r="75" spans="1:5">
      <c r="A75" s="149" t="s">
        <v>404</v>
      </c>
      <c r="B75" s="152">
        <v>1001470256</v>
      </c>
      <c r="C75" s="150">
        <v>1001470256</v>
      </c>
      <c r="D75" s="151" t="s">
        <v>524</v>
      </c>
      <c r="E75" s="151" t="s">
        <v>440</v>
      </c>
    </row>
    <row r="76" spans="1:5">
      <c r="A76" s="149" t="s">
        <v>404</v>
      </c>
      <c r="B76" s="152">
        <v>53375294</v>
      </c>
      <c r="C76" s="150">
        <v>53375294</v>
      </c>
      <c r="D76" s="151" t="s">
        <v>525</v>
      </c>
      <c r="E76" s="151" t="s">
        <v>492</v>
      </c>
    </row>
    <row r="77" spans="1:5" ht="18.75">
      <c r="A77" s="149" t="s">
        <v>404</v>
      </c>
      <c r="B77" s="152">
        <v>752293391</v>
      </c>
      <c r="C77" s="150">
        <v>752293391</v>
      </c>
      <c r="D77" s="151" t="s">
        <v>526</v>
      </c>
      <c r="E77" s="151" t="s">
        <v>440</v>
      </c>
    </row>
    <row r="78" spans="1:5">
      <c r="A78" s="149" t="s">
        <v>404</v>
      </c>
      <c r="B78" s="152">
        <v>779875200</v>
      </c>
      <c r="C78" s="150">
        <v>779875200</v>
      </c>
      <c r="D78" s="151" t="s">
        <v>527</v>
      </c>
      <c r="E78" s="151" t="s">
        <v>450</v>
      </c>
    </row>
    <row r="79" spans="1:5" ht="18.75">
      <c r="A79" s="149" t="s">
        <v>404</v>
      </c>
      <c r="B79" s="152">
        <v>280064874</v>
      </c>
      <c r="C79" s="150">
        <v>280064874</v>
      </c>
      <c r="D79" s="151" t="s">
        <v>528</v>
      </c>
      <c r="E79" s="151" t="s">
        <v>406</v>
      </c>
    </row>
    <row r="80" spans="1:5" ht="18.75">
      <c r="A80" s="149" t="s">
        <v>404</v>
      </c>
      <c r="B80" s="152">
        <v>16704835</v>
      </c>
      <c r="C80" s="150">
        <v>16704835</v>
      </c>
      <c r="D80" s="151" t="s">
        <v>529</v>
      </c>
      <c r="E80" s="151" t="s">
        <v>530</v>
      </c>
    </row>
    <row r="81" spans="1:5" ht="18.75">
      <c r="A81" s="149" t="s">
        <v>404</v>
      </c>
      <c r="B81" s="152">
        <v>233889416</v>
      </c>
      <c r="C81" s="150">
        <v>233889416</v>
      </c>
      <c r="D81" s="151" t="s">
        <v>531</v>
      </c>
      <c r="E81" s="57"/>
    </row>
    <row r="82" spans="1:5">
      <c r="A82" s="149" t="s">
        <v>404</v>
      </c>
      <c r="B82" s="152">
        <v>19372600</v>
      </c>
      <c r="C82" s="150">
        <v>19372600</v>
      </c>
      <c r="D82" s="151" t="s">
        <v>532</v>
      </c>
      <c r="E82" s="151" t="s">
        <v>440</v>
      </c>
    </row>
    <row r="83" spans="1:5">
      <c r="A83" s="149" t="s">
        <v>436</v>
      </c>
      <c r="B83" s="152">
        <v>5633400</v>
      </c>
      <c r="C83" s="150">
        <v>5633400</v>
      </c>
      <c r="D83" s="151" t="s">
        <v>533</v>
      </c>
      <c r="E83" s="151" t="s">
        <v>534</v>
      </c>
    </row>
    <row r="84" spans="1:5">
      <c r="A84" s="149" t="s">
        <v>415</v>
      </c>
      <c r="B84" s="152">
        <v>345327902</v>
      </c>
      <c r="C84" s="150">
        <v>345327902</v>
      </c>
      <c r="D84" s="151" t="s">
        <v>535</v>
      </c>
      <c r="E84" s="151" t="s">
        <v>468</v>
      </c>
    </row>
    <row r="85" spans="1:5">
      <c r="A85" s="149" t="s">
        <v>415</v>
      </c>
      <c r="B85" s="152">
        <v>1425097700</v>
      </c>
      <c r="C85" s="150">
        <v>1425097700</v>
      </c>
      <c r="D85" s="151" t="s">
        <v>536</v>
      </c>
      <c r="E85" s="151" t="s">
        <v>417</v>
      </c>
    </row>
    <row r="86" spans="1:5" ht="18.75">
      <c r="A86" s="149" t="s">
        <v>415</v>
      </c>
      <c r="B86" s="152">
        <v>174186905</v>
      </c>
      <c r="C86" s="150">
        <v>174186905</v>
      </c>
      <c r="D86" s="151" t="s">
        <v>537</v>
      </c>
      <c r="E86" s="151" t="s">
        <v>423</v>
      </c>
    </row>
    <row r="87" spans="1:5" ht="18.75">
      <c r="A87" s="149" t="s">
        <v>415</v>
      </c>
      <c r="B87" s="152">
        <v>32450000</v>
      </c>
      <c r="C87" s="150">
        <v>32450000</v>
      </c>
      <c r="D87" s="151" t="s">
        <v>538</v>
      </c>
      <c r="E87" s="151" t="s">
        <v>425</v>
      </c>
    </row>
    <row r="88" spans="1:5" ht="18.75">
      <c r="A88" s="149" t="s">
        <v>415</v>
      </c>
      <c r="B88" s="152">
        <v>37642371</v>
      </c>
      <c r="C88" s="150">
        <v>37642371</v>
      </c>
      <c r="D88" s="151" t="s">
        <v>539</v>
      </c>
      <c r="E88" s="151" t="s">
        <v>440</v>
      </c>
    </row>
    <row r="89" spans="1:5" ht="18.75">
      <c r="A89" s="149" t="s">
        <v>415</v>
      </c>
      <c r="B89" s="152">
        <v>3967387045</v>
      </c>
      <c r="C89" s="150">
        <v>3967387045</v>
      </c>
      <c r="D89" s="151" t="s">
        <v>540</v>
      </c>
      <c r="E89" s="151" t="s">
        <v>456</v>
      </c>
    </row>
    <row r="90" spans="1:5">
      <c r="A90" s="149" t="s">
        <v>415</v>
      </c>
      <c r="B90" s="152">
        <v>50000000</v>
      </c>
      <c r="C90" s="150">
        <v>50000000</v>
      </c>
      <c r="D90" s="151" t="s">
        <v>541</v>
      </c>
      <c r="E90" s="151" t="s">
        <v>542</v>
      </c>
    </row>
    <row r="91" spans="1:5">
      <c r="A91" s="149" t="s">
        <v>415</v>
      </c>
      <c r="B91" s="152">
        <v>182267871</v>
      </c>
      <c r="C91" s="150">
        <v>182267871</v>
      </c>
      <c r="D91" s="151" t="s">
        <v>543</v>
      </c>
      <c r="E91" s="151" t="s">
        <v>544</v>
      </c>
    </row>
    <row r="92" spans="1:5">
      <c r="A92" s="149" t="s">
        <v>415</v>
      </c>
      <c r="B92" s="152">
        <v>94838540</v>
      </c>
      <c r="C92" s="150">
        <v>94838540</v>
      </c>
      <c r="D92" s="151" t="s">
        <v>545</v>
      </c>
      <c r="E92" s="151" t="s">
        <v>483</v>
      </c>
    </row>
    <row r="93" spans="1:5">
      <c r="A93" s="149" t="s">
        <v>415</v>
      </c>
      <c r="B93" s="152">
        <v>252478995</v>
      </c>
      <c r="C93" s="150">
        <v>252478995</v>
      </c>
      <c r="D93" s="151" t="s">
        <v>546</v>
      </c>
      <c r="E93" s="151" t="s">
        <v>547</v>
      </c>
    </row>
    <row r="94" spans="1:5">
      <c r="A94" s="149" t="s">
        <v>415</v>
      </c>
      <c r="B94" s="152">
        <v>263947005</v>
      </c>
      <c r="C94" s="150">
        <v>263947005</v>
      </c>
      <c r="D94" s="151" t="s">
        <v>548</v>
      </c>
      <c r="E94" s="151" t="s">
        <v>499</v>
      </c>
    </row>
    <row r="95" spans="1:5" ht="18.75">
      <c r="A95" s="149" t="s">
        <v>415</v>
      </c>
      <c r="B95" s="152">
        <v>356167787</v>
      </c>
      <c r="C95" s="150">
        <v>356167787</v>
      </c>
      <c r="D95" s="151" t="s">
        <v>549</v>
      </c>
      <c r="E95" s="151" t="s">
        <v>440</v>
      </c>
    </row>
    <row r="96" spans="1:5">
      <c r="A96" s="149" t="s">
        <v>415</v>
      </c>
      <c r="B96" s="152">
        <v>249303018</v>
      </c>
      <c r="C96" s="150">
        <v>249303018</v>
      </c>
      <c r="D96" s="151" t="s">
        <v>550</v>
      </c>
      <c r="E96" s="151" t="s">
        <v>440</v>
      </c>
    </row>
    <row r="97" spans="1:5" ht="18.75">
      <c r="A97" s="149" t="s">
        <v>415</v>
      </c>
      <c r="B97" s="152">
        <v>105785200</v>
      </c>
      <c r="C97" s="150">
        <v>105785200</v>
      </c>
      <c r="D97" s="151" t="s">
        <v>551</v>
      </c>
      <c r="E97" s="151" t="s">
        <v>440</v>
      </c>
    </row>
    <row r="98" spans="1:5" ht="18.75">
      <c r="A98" s="149" t="s">
        <v>415</v>
      </c>
      <c r="B98" s="152">
        <v>283199172</v>
      </c>
      <c r="C98" s="150">
        <v>283199172</v>
      </c>
      <c r="D98" s="151" t="s">
        <v>552</v>
      </c>
      <c r="E98" s="151" t="s">
        <v>472</v>
      </c>
    </row>
    <row r="99" spans="1:5" ht="18.75">
      <c r="A99" s="149" t="s">
        <v>415</v>
      </c>
      <c r="B99" s="152">
        <v>111520865</v>
      </c>
      <c r="C99" s="150">
        <v>111520865</v>
      </c>
      <c r="D99" s="151" t="s">
        <v>553</v>
      </c>
      <c r="E99" s="151" t="s">
        <v>460</v>
      </c>
    </row>
    <row r="100" spans="1:5" ht="18.75">
      <c r="A100" s="149" t="s">
        <v>415</v>
      </c>
      <c r="B100" s="152">
        <v>289012539</v>
      </c>
      <c r="C100" s="150">
        <v>289012539</v>
      </c>
      <c r="D100" s="151" t="s">
        <v>554</v>
      </c>
      <c r="E100" s="151" t="s">
        <v>440</v>
      </c>
    </row>
    <row r="101" spans="1:5" ht="27.75">
      <c r="A101" s="149" t="s">
        <v>415</v>
      </c>
      <c r="B101" s="152">
        <v>15622406</v>
      </c>
      <c r="C101" s="150">
        <v>15622406</v>
      </c>
      <c r="D101" s="151" t="s">
        <v>555</v>
      </c>
      <c r="E101" s="151" t="s">
        <v>440</v>
      </c>
    </row>
    <row r="102" spans="1:5">
      <c r="A102" s="149" t="s">
        <v>415</v>
      </c>
      <c r="B102" s="152">
        <v>640752059</v>
      </c>
      <c r="C102" s="150">
        <v>640752059</v>
      </c>
      <c r="D102" s="151" t="s">
        <v>556</v>
      </c>
      <c r="E102" s="151" t="s">
        <v>440</v>
      </c>
    </row>
    <row r="103" spans="1:5" ht="18.75">
      <c r="A103" s="149" t="s">
        <v>415</v>
      </c>
      <c r="B103" s="152">
        <v>1344534437</v>
      </c>
      <c r="C103" s="150">
        <v>1344534437</v>
      </c>
      <c r="D103" s="151" t="s">
        <v>557</v>
      </c>
      <c r="E103" s="151" t="s">
        <v>499</v>
      </c>
    </row>
    <row r="104" spans="1:5">
      <c r="A104" s="149" t="s">
        <v>404</v>
      </c>
      <c r="B104" s="152">
        <v>124912434</v>
      </c>
      <c r="C104" s="150">
        <v>124912434</v>
      </c>
      <c r="D104" s="151" t="s">
        <v>558</v>
      </c>
      <c r="E104" s="151" t="s">
        <v>440</v>
      </c>
    </row>
    <row r="105" spans="1:5" ht="12.75" customHeight="1">
      <c r="A105" s="149" t="s">
        <v>404</v>
      </c>
      <c r="B105" s="152">
        <v>390657950</v>
      </c>
      <c r="C105" s="150">
        <v>390657950</v>
      </c>
      <c r="D105" s="151" t="s">
        <v>559</v>
      </c>
      <c r="E105" s="151" t="s">
        <v>440</v>
      </c>
    </row>
    <row r="106" spans="1:5">
      <c r="A106" s="149" t="s">
        <v>404</v>
      </c>
      <c r="B106" s="152">
        <v>186944090</v>
      </c>
      <c r="C106" s="150">
        <v>186944090</v>
      </c>
      <c r="D106" s="151" t="s">
        <v>560</v>
      </c>
      <c r="E106" s="151" t="s">
        <v>440</v>
      </c>
    </row>
    <row r="107" spans="1:5">
      <c r="A107" s="149" t="s">
        <v>404</v>
      </c>
      <c r="B107" s="152">
        <v>98623640</v>
      </c>
      <c r="C107" s="150">
        <v>98623640</v>
      </c>
      <c r="D107" s="151" t="s">
        <v>561</v>
      </c>
      <c r="E107" s="151" t="s">
        <v>492</v>
      </c>
    </row>
    <row r="108" spans="1:5">
      <c r="A108" s="149" t="s">
        <v>404</v>
      </c>
      <c r="B108" s="152">
        <v>688388044</v>
      </c>
      <c r="C108" s="150">
        <v>688388044</v>
      </c>
      <c r="D108" s="151" t="s">
        <v>562</v>
      </c>
      <c r="E108" s="151" t="s">
        <v>450</v>
      </c>
    </row>
    <row r="109" spans="1:5" ht="18.75">
      <c r="A109" s="149" t="s">
        <v>404</v>
      </c>
      <c r="B109" s="152">
        <v>158684560</v>
      </c>
      <c r="C109" s="150">
        <v>158684560</v>
      </c>
      <c r="D109" s="151" t="s">
        <v>563</v>
      </c>
      <c r="E109" s="151" t="s">
        <v>516</v>
      </c>
    </row>
    <row r="110" spans="1:5" ht="12.75" customHeight="1">
      <c r="A110" s="149" t="s">
        <v>404</v>
      </c>
      <c r="B110" s="152">
        <v>357118557</v>
      </c>
      <c r="C110" s="150">
        <v>357118557</v>
      </c>
      <c r="D110" s="151" t="s">
        <v>564</v>
      </c>
      <c r="E110" s="151" t="s">
        <v>495</v>
      </c>
    </row>
    <row r="111" spans="1:5">
      <c r="A111" s="149" t="s">
        <v>404</v>
      </c>
      <c r="B111" s="152">
        <v>416023560</v>
      </c>
      <c r="C111" s="150">
        <v>416023560</v>
      </c>
      <c r="D111" s="151" t="s">
        <v>475</v>
      </c>
      <c r="E111" s="151" t="s">
        <v>440</v>
      </c>
    </row>
    <row r="112" spans="1:5" ht="12.75" customHeight="1">
      <c r="A112" s="149" t="s">
        <v>404</v>
      </c>
      <c r="B112" s="152">
        <v>106177120</v>
      </c>
      <c r="C112" s="150">
        <v>106177120</v>
      </c>
      <c r="D112" s="151" t="s">
        <v>565</v>
      </c>
      <c r="E112" s="151" t="s">
        <v>478</v>
      </c>
    </row>
    <row r="113" spans="1:5">
      <c r="A113" s="149" t="s">
        <v>404</v>
      </c>
      <c r="B113" s="152">
        <v>311065600</v>
      </c>
      <c r="C113" s="150">
        <v>311065600</v>
      </c>
      <c r="D113" s="151" t="s">
        <v>566</v>
      </c>
      <c r="E113" s="151" t="s">
        <v>497</v>
      </c>
    </row>
    <row r="114" spans="1:5" ht="18.75">
      <c r="A114" s="149" t="s">
        <v>404</v>
      </c>
      <c r="B114" s="152">
        <v>410785920</v>
      </c>
      <c r="C114" s="150">
        <v>410785920</v>
      </c>
      <c r="D114" s="151" t="s">
        <v>567</v>
      </c>
      <c r="E114" s="151" t="s">
        <v>492</v>
      </c>
    </row>
    <row r="115" spans="1:5" ht="12.75" customHeight="1">
      <c r="A115" s="149" t="s">
        <v>404</v>
      </c>
      <c r="B115" s="152">
        <v>85118850</v>
      </c>
      <c r="C115" s="150">
        <v>85118850</v>
      </c>
      <c r="D115" s="151" t="s">
        <v>568</v>
      </c>
      <c r="E115" s="151" t="s">
        <v>440</v>
      </c>
    </row>
    <row r="116" spans="1:5">
      <c r="A116" s="149" t="s">
        <v>404</v>
      </c>
      <c r="B116" s="152">
        <v>9241403</v>
      </c>
      <c r="C116" s="150">
        <v>9241403</v>
      </c>
      <c r="D116" s="151" t="s">
        <v>569</v>
      </c>
      <c r="E116" s="151" t="s">
        <v>440</v>
      </c>
    </row>
    <row r="117" spans="1:5" ht="12.75" customHeight="1">
      <c r="A117" s="149" t="s">
        <v>404</v>
      </c>
      <c r="B117" s="152">
        <v>713525557</v>
      </c>
      <c r="C117" s="150">
        <v>713525557</v>
      </c>
      <c r="D117" s="151" t="s">
        <v>570</v>
      </c>
      <c r="E117" s="151" t="s">
        <v>440</v>
      </c>
    </row>
    <row r="118" spans="1:5">
      <c r="A118" s="149" t="s">
        <v>404</v>
      </c>
      <c r="B118" s="152">
        <v>57008304</v>
      </c>
      <c r="C118" s="150">
        <v>57008304</v>
      </c>
      <c r="D118" s="151" t="s">
        <v>571</v>
      </c>
      <c r="E118" s="151" t="s">
        <v>464</v>
      </c>
    </row>
    <row r="119" spans="1:5" ht="12.75" customHeight="1">
      <c r="A119" s="149" t="s">
        <v>404</v>
      </c>
      <c r="B119" s="152">
        <v>57008700</v>
      </c>
      <c r="C119" s="150">
        <v>57008700</v>
      </c>
      <c r="D119" s="151" t="s">
        <v>572</v>
      </c>
      <c r="E119" s="151" t="s">
        <v>450</v>
      </c>
    </row>
    <row r="120" spans="1:5" ht="18.75">
      <c r="A120" s="149" t="s">
        <v>404</v>
      </c>
      <c r="B120" s="152">
        <v>257288435</v>
      </c>
      <c r="C120" s="150">
        <v>257288435</v>
      </c>
      <c r="D120" s="151" t="s">
        <v>573</v>
      </c>
      <c r="E120" s="151" t="s">
        <v>472</v>
      </c>
    </row>
    <row r="121" spans="1:5" ht="18.75">
      <c r="A121" s="149" t="s">
        <v>404</v>
      </c>
      <c r="B121" s="152">
        <v>230990626</v>
      </c>
      <c r="C121" s="150">
        <v>230990626</v>
      </c>
      <c r="D121" s="151" t="s">
        <v>574</v>
      </c>
      <c r="E121" s="151" t="s">
        <v>450</v>
      </c>
    </row>
    <row r="122" spans="1:5" ht="18.75">
      <c r="A122" s="149" t="s">
        <v>404</v>
      </c>
      <c r="B122" s="152">
        <v>56550000</v>
      </c>
      <c r="C122" s="150">
        <v>56550000</v>
      </c>
      <c r="D122" s="151" t="s">
        <v>575</v>
      </c>
      <c r="E122" s="151" t="s">
        <v>499</v>
      </c>
    </row>
    <row r="123" spans="1:5">
      <c r="A123" s="149" t="s">
        <v>404</v>
      </c>
      <c r="B123" s="152">
        <v>32560853</v>
      </c>
      <c r="C123" s="150">
        <v>32560853</v>
      </c>
      <c r="D123" s="151" t="s">
        <v>576</v>
      </c>
      <c r="E123" s="151" t="s">
        <v>516</v>
      </c>
    </row>
    <row r="124" spans="1:5">
      <c r="A124" s="149" t="s">
        <v>404</v>
      </c>
      <c r="B124" s="152">
        <v>15145508</v>
      </c>
      <c r="C124" s="150">
        <v>15145508</v>
      </c>
      <c r="D124" s="151" t="s">
        <v>577</v>
      </c>
      <c r="E124" s="151" t="s">
        <v>464</v>
      </c>
    </row>
    <row r="125" spans="1:5" ht="12.75" customHeight="1">
      <c r="A125" s="149" t="s">
        <v>404</v>
      </c>
      <c r="B125" s="152">
        <v>56766025</v>
      </c>
      <c r="C125" s="150">
        <v>56766025</v>
      </c>
      <c r="D125" s="151" t="s">
        <v>578</v>
      </c>
      <c r="E125" s="151" t="s">
        <v>579</v>
      </c>
    </row>
    <row r="126" spans="1:5">
      <c r="A126" s="149" t="s">
        <v>404</v>
      </c>
      <c r="B126" s="152">
        <v>4765280</v>
      </c>
      <c r="C126" s="150">
        <v>4765280</v>
      </c>
      <c r="D126" s="151" t="s">
        <v>580</v>
      </c>
      <c r="E126" s="151" t="s">
        <v>497</v>
      </c>
    </row>
    <row r="127" spans="1:5" ht="18.75">
      <c r="A127" s="149" t="s">
        <v>404</v>
      </c>
      <c r="B127" s="152">
        <v>10486686</v>
      </c>
      <c r="C127" s="150">
        <v>10486686</v>
      </c>
      <c r="D127" s="151" t="s">
        <v>581</v>
      </c>
      <c r="E127" s="151" t="s">
        <v>507</v>
      </c>
    </row>
    <row r="128" spans="1:5" ht="18.75">
      <c r="A128" s="149" t="s">
        <v>404</v>
      </c>
      <c r="B128" s="152">
        <v>89671156</v>
      </c>
      <c r="C128" s="150">
        <v>89671156</v>
      </c>
      <c r="D128" s="151" t="s">
        <v>582</v>
      </c>
      <c r="E128" s="151" t="s">
        <v>583</v>
      </c>
    </row>
    <row r="129" spans="1:5" ht="18.75">
      <c r="A129" s="149" t="s">
        <v>404</v>
      </c>
      <c r="B129" s="152">
        <v>152848945</v>
      </c>
      <c r="C129" s="150">
        <v>152848945</v>
      </c>
      <c r="D129" s="151" t="s">
        <v>584</v>
      </c>
      <c r="E129" s="151" t="s">
        <v>585</v>
      </c>
    </row>
    <row r="130" spans="1:5" ht="18.75">
      <c r="A130" s="149" t="s">
        <v>404</v>
      </c>
      <c r="B130" s="152">
        <v>54300042</v>
      </c>
      <c r="C130" s="150">
        <v>54300042</v>
      </c>
      <c r="D130" s="151" t="s">
        <v>586</v>
      </c>
      <c r="E130" s="151" t="s">
        <v>450</v>
      </c>
    </row>
    <row r="131" spans="1:5" ht="12.75" customHeight="1">
      <c r="A131" s="149" t="s">
        <v>404</v>
      </c>
      <c r="B131" s="152">
        <v>131432942</v>
      </c>
      <c r="C131" s="150">
        <v>131432942</v>
      </c>
      <c r="D131" s="151" t="s">
        <v>587</v>
      </c>
      <c r="E131" s="151" t="s">
        <v>472</v>
      </c>
    </row>
    <row r="132" spans="1:5" ht="18.75">
      <c r="A132" s="149" t="s">
        <v>404</v>
      </c>
      <c r="B132" s="152">
        <v>33291118</v>
      </c>
      <c r="C132" s="150">
        <v>33291118</v>
      </c>
      <c r="D132" s="151" t="s">
        <v>588</v>
      </c>
      <c r="E132" s="151" t="s">
        <v>468</v>
      </c>
    </row>
    <row r="133" spans="1:5" ht="18.75">
      <c r="A133" s="149" t="s">
        <v>404</v>
      </c>
      <c r="B133" s="152">
        <v>7256607889</v>
      </c>
      <c r="C133" s="150">
        <v>5147868250</v>
      </c>
      <c r="D133" s="151" t="s">
        <v>589</v>
      </c>
      <c r="E133" s="151" t="s">
        <v>499</v>
      </c>
    </row>
    <row r="134" spans="1:5">
      <c r="A134" s="149" t="s">
        <v>404</v>
      </c>
      <c r="B134" s="152">
        <v>1368194297</v>
      </c>
      <c r="C134" s="150">
        <v>1368194297</v>
      </c>
      <c r="D134" s="151" t="s">
        <v>590</v>
      </c>
      <c r="E134" s="151" t="s">
        <v>585</v>
      </c>
    </row>
    <row r="135" spans="1:5">
      <c r="A135" s="149" t="s">
        <v>404</v>
      </c>
      <c r="B135" s="152">
        <v>1008323178</v>
      </c>
      <c r="C135" s="150">
        <v>1008323178</v>
      </c>
      <c r="D135" s="151" t="s">
        <v>591</v>
      </c>
      <c r="E135" s="151" t="s">
        <v>499</v>
      </c>
    </row>
    <row r="136" spans="1:5">
      <c r="A136" s="149" t="s">
        <v>404</v>
      </c>
      <c r="B136" s="152">
        <v>19835586</v>
      </c>
      <c r="C136" s="150">
        <v>19835586</v>
      </c>
      <c r="D136" s="151" t="s">
        <v>592</v>
      </c>
      <c r="E136" s="151" t="s">
        <v>464</v>
      </c>
    </row>
    <row r="137" spans="1:5">
      <c r="A137" s="149" t="s">
        <v>404</v>
      </c>
      <c r="B137" s="152">
        <v>81284041</v>
      </c>
      <c r="C137" s="150">
        <v>81284041</v>
      </c>
      <c r="D137" s="151" t="s">
        <v>593</v>
      </c>
      <c r="E137" s="151" t="s">
        <v>468</v>
      </c>
    </row>
    <row r="138" spans="1:5">
      <c r="A138" s="149" t="s">
        <v>404</v>
      </c>
      <c r="B138" s="152">
        <v>53541495</v>
      </c>
      <c r="C138" s="150">
        <v>53541495</v>
      </c>
      <c r="D138" s="151" t="s">
        <v>594</v>
      </c>
      <c r="E138" s="151" t="s">
        <v>466</v>
      </c>
    </row>
    <row r="139" spans="1:5">
      <c r="A139" s="149" t="s">
        <v>404</v>
      </c>
      <c r="B139" s="152">
        <v>15934903</v>
      </c>
      <c r="C139" s="150">
        <v>15934903</v>
      </c>
      <c r="D139" s="151" t="s">
        <v>595</v>
      </c>
      <c r="E139" s="151" t="s">
        <v>596</v>
      </c>
    </row>
    <row r="140" spans="1:5">
      <c r="A140" s="149" t="s">
        <v>404</v>
      </c>
      <c r="B140" s="152">
        <v>30550416</v>
      </c>
      <c r="C140" s="150">
        <v>30550416</v>
      </c>
      <c r="D140" s="151" t="s">
        <v>597</v>
      </c>
      <c r="E140" s="151" t="s">
        <v>542</v>
      </c>
    </row>
    <row r="141" spans="1:5">
      <c r="A141" s="149" t="s">
        <v>404</v>
      </c>
      <c r="B141" s="152">
        <v>6297434</v>
      </c>
      <c r="C141" s="150">
        <v>6297434</v>
      </c>
      <c r="D141" s="151" t="s">
        <v>598</v>
      </c>
      <c r="E141" s="151" t="s">
        <v>516</v>
      </c>
    </row>
    <row r="142" spans="1:5">
      <c r="A142" s="149" t="s">
        <v>404</v>
      </c>
      <c r="B142" s="152">
        <v>32124897</v>
      </c>
      <c r="C142" s="150">
        <v>32124897</v>
      </c>
      <c r="D142" s="151" t="s">
        <v>599</v>
      </c>
      <c r="E142" s="151" t="s">
        <v>499</v>
      </c>
    </row>
    <row r="143" spans="1:5">
      <c r="A143" s="149" t="s">
        <v>404</v>
      </c>
      <c r="B143" s="152">
        <v>25827463</v>
      </c>
      <c r="C143" s="150">
        <v>25827463</v>
      </c>
      <c r="D143" s="151" t="s">
        <v>600</v>
      </c>
      <c r="E143" s="151" t="s">
        <v>544</v>
      </c>
    </row>
    <row r="144" spans="1:5">
      <c r="A144" s="149" t="s">
        <v>404</v>
      </c>
      <c r="B144" s="152">
        <v>13422500</v>
      </c>
      <c r="C144" s="150">
        <v>13422500</v>
      </c>
      <c r="D144" s="151" t="s">
        <v>601</v>
      </c>
      <c r="E144" s="151" t="s">
        <v>547</v>
      </c>
    </row>
    <row r="145" spans="1:5">
      <c r="A145" s="149" t="s">
        <v>404</v>
      </c>
      <c r="B145" s="152">
        <v>125770607</v>
      </c>
      <c r="C145" s="150">
        <v>125770607</v>
      </c>
      <c r="D145" s="151" t="s">
        <v>602</v>
      </c>
      <c r="E145" s="151" t="s">
        <v>440</v>
      </c>
    </row>
    <row r="146" spans="1:5" ht="27.75">
      <c r="A146" s="149" t="s">
        <v>404</v>
      </c>
      <c r="B146" s="152">
        <v>994196199</v>
      </c>
      <c r="C146" s="150">
        <v>994196199</v>
      </c>
      <c r="D146" s="151" t="s">
        <v>603</v>
      </c>
      <c r="E146" s="151" t="s">
        <v>499</v>
      </c>
    </row>
    <row r="147" spans="1:5">
      <c r="A147" s="149" t="s">
        <v>404</v>
      </c>
      <c r="B147" s="152">
        <v>14347800</v>
      </c>
      <c r="C147" s="150">
        <v>14347800</v>
      </c>
      <c r="D147" s="151" t="s">
        <v>604</v>
      </c>
      <c r="E147" s="151" t="s">
        <v>516</v>
      </c>
    </row>
    <row r="148" spans="1:5">
      <c r="A148" s="149" t="s">
        <v>404</v>
      </c>
      <c r="B148" s="152">
        <v>170239556</v>
      </c>
      <c r="C148" s="150">
        <v>170239556</v>
      </c>
      <c r="D148" s="151" t="s">
        <v>605</v>
      </c>
      <c r="E148" s="151" t="s">
        <v>440</v>
      </c>
    </row>
    <row r="149" spans="1:5">
      <c r="A149" s="149" t="s">
        <v>415</v>
      </c>
      <c r="B149" s="152">
        <v>74810993</v>
      </c>
      <c r="C149" s="150">
        <v>74810993</v>
      </c>
      <c r="D149" s="151" t="s">
        <v>606</v>
      </c>
      <c r="E149" s="151" t="s">
        <v>607</v>
      </c>
    </row>
    <row r="150" spans="1:5">
      <c r="A150" s="149" t="s">
        <v>415</v>
      </c>
      <c r="B150" s="152">
        <v>9481568</v>
      </c>
      <c r="C150" s="150">
        <v>9481568</v>
      </c>
      <c r="D150" s="151" t="s">
        <v>608</v>
      </c>
      <c r="E150" s="151" t="s">
        <v>516</v>
      </c>
    </row>
    <row r="151" spans="1:5" ht="18.75">
      <c r="A151" s="149" t="s">
        <v>415</v>
      </c>
      <c r="B151" s="152">
        <v>1270000</v>
      </c>
      <c r="C151" s="150">
        <v>1270000</v>
      </c>
      <c r="D151" s="151" t="s">
        <v>609</v>
      </c>
      <c r="E151" s="151" t="s">
        <v>440</v>
      </c>
    </row>
    <row r="152" spans="1:5" ht="18.75">
      <c r="A152" s="149" t="s">
        <v>415</v>
      </c>
      <c r="B152" s="152">
        <v>33729320</v>
      </c>
      <c r="C152" s="150">
        <v>33729320</v>
      </c>
      <c r="D152" s="151" t="s">
        <v>610</v>
      </c>
      <c r="E152" s="151" t="s">
        <v>596</v>
      </c>
    </row>
    <row r="153" spans="1:5" ht="18.75">
      <c r="A153" s="149" t="s">
        <v>415</v>
      </c>
      <c r="B153" s="152">
        <v>69063555</v>
      </c>
      <c r="C153" s="150">
        <v>69063555</v>
      </c>
      <c r="D153" s="151" t="s">
        <v>611</v>
      </c>
      <c r="E153" s="151" t="s">
        <v>440</v>
      </c>
    </row>
    <row r="154" spans="1:5">
      <c r="A154" s="149" t="s">
        <v>415</v>
      </c>
      <c r="B154" s="152">
        <v>149541183</v>
      </c>
      <c r="C154" s="150">
        <v>149541183</v>
      </c>
      <c r="D154" s="151" t="s">
        <v>612</v>
      </c>
      <c r="E154" s="151" t="s">
        <v>440</v>
      </c>
    </row>
    <row r="155" spans="1:5">
      <c r="A155" s="149" t="s">
        <v>415</v>
      </c>
      <c r="B155" s="152">
        <v>35306256</v>
      </c>
      <c r="C155" s="150">
        <v>35306256</v>
      </c>
      <c r="D155" s="151" t="s">
        <v>613</v>
      </c>
      <c r="E155" s="151" t="s">
        <v>596</v>
      </c>
    </row>
    <row r="156" spans="1:5">
      <c r="A156" s="149" t="s">
        <v>404</v>
      </c>
      <c r="B156" s="152">
        <v>3200000</v>
      </c>
      <c r="C156" s="150">
        <v>3200000</v>
      </c>
      <c r="D156" s="151" t="s">
        <v>614</v>
      </c>
      <c r="E156" s="151" t="s">
        <v>440</v>
      </c>
    </row>
    <row r="157" spans="1:5">
      <c r="A157" s="149" t="s">
        <v>404</v>
      </c>
      <c r="B157" s="152">
        <v>5095958</v>
      </c>
      <c r="C157" s="150">
        <v>5095958</v>
      </c>
      <c r="D157" s="151" t="s">
        <v>615</v>
      </c>
      <c r="E157" s="151" t="s">
        <v>440</v>
      </c>
    </row>
    <row r="158" spans="1:5" ht="18.75">
      <c r="A158" s="149" t="s">
        <v>404</v>
      </c>
      <c r="B158" s="152">
        <v>49645000</v>
      </c>
      <c r="C158" s="150">
        <v>49645000</v>
      </c>
      <c r="D158" s="151" t="s">
        <v>616</v>
      </c>
      <c r="E158" s="151" t="s">
        <v>440</v>
      </c>
    </row>
    <row r="159" spans="1:5">
      <c r="C159" s="147">
        <f>SUM(C2:C158)-C133</f>
        <v>45033538684</v>
      </c>
    </row>
    <row r="160" spans="1:5">
      <c r="C160" s="147"/>
    </row>
    <row r="162" spans="1:5">
      <c r="A162" s="148" t="s">
        <v>617</v>
      </c>
      <c r="B162" s="148"/>
      <c r="C162" s="148" t="s">
        <v>618</v>
      </c>
      <c r="D162" s="148" t="s">
        <v>619</v>
      </c>
      <c r="E162" s="148" t="s">
        <v>620</v>
      </c>
    </row>
    <row r="163" spans="1:5" ht="38.25">
      <c r="A163" s="153" t="s">
        <v>621</v>
      </c>
      <c r="B163" s="154"/>
      <c r="C163" s="154">
        <v>311808</v>
      </c>
      <c r="D163" s="155" t="s">
        <v>360</v>
      </c>
      <c r="E163" s="156">
        <v>14492</v>
      </c>
    </row>
    <row r="164" spans="1:5" ht="38.25">
      <c r="A164" s="153" t="s">
        <v>621</v>
      </c>
      <c r="B164" s="154"/>
      <c r="C164" s="154">
        <v>311808</v>
      </c>
      <c r="D164" s="155" t="s">
        <v>360</v>
      </c>
      <c r="E164" s="156">
        <v>14838</v>
      </c>
    </row>
    <row r="165" spans="1:5" ht="38.25">
      <c r="A165" s="153" t="s">
        <v>621</v>
      </c>
      <c r="B165" s="154"/>
      <c r="C165" s="154">
        <v>311808</v>
      </c>
      <c r="D165" s="155" t="s">
        <v>360</v>
      </c>
      <c r="E165" s="156">
        <v>14839</v>
      </c>
    </row>
    <row r="166" spans="1:5" ht="38.25">
      <c r="A166" s="153" t="s">
        <v>621</v>
      </c>
      <c r="B166" s="154"/>
      <c r="C166" s="154">
        <v>311808</v>
      </c>
      <c r="D166" s="155" t="s">
        <v>360</v>
      </c>
      <c r="E166" s="156">
        <v>14840</v>
      </c>
    </row>
    <row r="167" spans="1:5" ht="25.5">
      <c r="A167" s="153" t="s">
        <v>622</v>
      </c>
      <c r="B167" s="154"/>
      <c r="C167" s="154">
        <v>311808</v>
      </c>
      <c r="D167" s="155" t="s">
        <v>360</v>
      </c>
      <c r="E167" s="156">
        <v>14862</v>
      </c>
    </row>
    <row r="168" spans="1:5" ht="25.5">
      <c r="A168" s="153" t="s">
        <v>622</v>
      </c>
      <c r="B168" s="154"/>
      <c r="C168" s="154">
        <v>311808</v>
      </c>
      <c r="D168" s="155" t="s">
        <v>360</v>
      </c>
      <c r="E168" s="156">
        <v>14856</v>
      </c>
    </row>
    <row r="169" spans="1:5" ht="25.5">
      <c r="A169" s="153" t="s">
        <v>622</v>
      </c>
      <c r="B169" s="154"/>
      <c r="C169" s="154">
        <v>311808</v>
      </c>
      <c r="D169" s="155" t="s">
        <v>360</v>
      </c>
      <c r="E169" s="156">
        <v>14857</v>
      </c>
    </row>
    <row r="170" spans="1:5" ht="25.5">
      <c r="A170" s="153" t="s">
        <v>622</v>
      </c>
      <c r="B170" s="154"/>
      <c r="C170" s="154">
        <v>311808</v>
      </c>
      <c r="D170" s="155" t="s">
        <v>360</v>
      </c>
      <c r="E170" s="156">
        <v>14858</v>
      </c>
    </row>
    <row r="171" spans="1:5" ht="25.5">
      <c r="A171" s="153" t="s">
        <v>622</v>
      </c>
      <c r="B171" s="154"/>
      <c r="C171" s="154">
        <v>311808</v>
      </c>
      <c r="D171" s="155" t="s">
        <v>360</v>
      </c>
      <c r="E171" s="156">
        <v>14859</v>
      </c>
    </row>
    <row r="172" spans="1:5" ht="25.5">
      <c r="A172" s="153" t="s">
        <v>622</v>
      </c>
      <c r="B172" s="154"/>
      <c r="C172" s="154">
        <v>311808</v>
      </c>
      <c r="D172" s="155" t="s">
        <v>360</v>
      </c>
      <c r="E172" s="156">
        <v>14860</v>
      </c>
    </row>
    <row r="173" spans="1:5" ht="25.5">
      <c r="A173" s="153" t="s">
        <v>622</v>
      </c>
      <c r="B173" s="154"/>
      <c r="C173" s="154">
        <v>311808</v>
      </c>
      <c r="D173" s="155" t="s">
        <v>360</v>
      </c>
      <c r="E173" s="156">
        <v>14854</v>
      </c>
    </row>
    <row r="174" spans="1:5" ht="25.5">
      <c r="A174" s="153" t="s">
        <v>622</v>
      </c>
      <c r="B174" s="154"/>
      <c r="C174" s="154">
        <v>311808</v>
      </c>
      <c r="D174" s="155" t="s">
        <v>360</v>
      </c>
      <c r="E174" s="156">
        <v>14863</v>
      </c>
    </row>
    <row r="175" spans="1:5" ht="25.5">
      <c r="A175" s="153" t="s">
        <v>622</v>
      </c>
      <c r="B175" s="154"/>
      <c r="C175" s="154">
        <v>311808</v>
      </c>
      <c r="D175" s="155" t="s">
        <v>360</v>
      </c>
      <c r="E175" s="156">
        <v>14864</v>
      </c>
    </row>
    <row r="176" spans="1:5" ht="25.5">
      <c r="A176" s="153" t="s">
        <v>622</v>
      </c>
      <c r="B176" s="154"/>
      <c r="C176" s="154">
        <v>311808</v>
      </c>
      <c r="D176" s="155" t="s">
        <v>360</v>
      </c>
      <c r="E176" s="156">
        <v>14865</v>
      </c>
    </row>
    <row r="177" spans="1:5" ht="25.5">
      <c r="A177" s="153" t="s">
        <v>622</v>
      </c>
      <c r="B177" s="154"/>
      <c r="C177" s="154">
        <v>311808</v>
      </c>
      <c r="D177" s="155" t="s">
        <v>360</v>
      </c>
      <c r="E177" s="156">
        <v>14861</v>
      </c>
    </row>
    <row r="178" spans="1:5" ht="38.25">
      <c r="A178" s="153" t="s">
        <v>621</v>
      </c>
      <c r="B178" s="154"/>
      <c r="C178" s="154">
        <v>311808</v>
      </c>
      <c r="D178" s="155" t="s">
        <v>360</v>
      </c>
      <c r="E178" s="156">
        <v>14848</v>
      </c>
    </row>
    <row r="179" spans="1:5" ht="25.5">
      <c r="A179" s="153" t="s">
        <v>623</v>
      </c>
      <c r="B179" s="154"/>
      <c r="C179" s="154">
        <v>311808</v>
      </c>
      <c r="D179" s="155" t="s">
        <v>360</v>
      </c>
      <c r="E179" s="156">
        <v>14844</v>
      </c>
    </row>
    <row r="180" spans="1:5" ht="25.5">
      <c r="A180" s="153" t="s">
        <v>623</v>
      </c>
      <c r="B180" s="154"/>
      <c r="C180" s="154">
        <v>311808</v>
      </c>
      <c r="D180" s="155" t="s">
        <v>360</v>
      </c>
      <c r="E180" s="156">
        <v>14845</v>
      </c>
    </row>
    <row r="181" spans="1:5" ht="25.5">
      <c r="A181" s="153" t="s">
        <v>623</v>
      </c>
      <c r="B181" s="154"/>
      <c r="C181" s="154">
        <v>311808</v>
      </c>
      <c r="D181" s="155" t="s">
        <v>360</v>
      </c>
      <c r="E181" s="156">
        <v>14846</v>
      </c>
    </row>
    <row r="182" spans="1:5" ht="25.5">
      <c r="A182" s="153" t="s">
        <v>622</v>
      </c>
      <c r="B182" s="154"/>
      <c r="C182" s="154">
        <v>311808</v>
      </c>
      <c r="D182" s="155" t="s">
        <v>360</v>
      </c>
      <c r="E182" s="156">
        <v>14855</v>
      </c>
    </row>
    <row r="183" spans="1:5" ht="38.25">
      <c r="A183" s="153" t="s">
        <v>621</v>
      </c>
      <c r="B183" s="154"/>
      <c r="C183" s="154">
        <v>311808</v>
      </c>
      <c r="D183" s="155" t="s">
        <v>360</v>
      </c>
      <c r="E183" s="156">
        <v>14849</v>
      </c>
    </row>
    <row r="184" spans="1:5" ht="38.25">
      <c r="A184" s="153" t="s">
        <v>621</v>
      </c>
      <c r="B184" s="154"/>
      <c r="C184" s="154">
        <v>311808</v>
      </c>
      <c r="D184" s="155" t="s">
        <v>360</v>
      </c>
      <c r="E184" s="156">
        <v>14847</v>
      </c>
    </row>
    <row r="185" spans="1:5" ht="25.5">
      <c r="A185" s="153" t="s">
        <v>624</v>
      </c>
      <c r="B185" s="154"/>
      <c r="C185" s="154">
        <v>311808</v>
      </c>
      <c r="D185" s="155" t="s">
        <v>360</v>
      </c>
      <c r="E185" s="156">
        <v>14866</v>
      </c>
    </row>
    <row r="186" spans="1:5" ht="38.25">
      <c r="A186" s="153" t="s">
        <v>625</v>
      </c>
      <c r="B186" s="154"/>
      <c r="C186" s="154">
        <v>730800</v>
      </c>
      <c r="D186" s="155" t="s">
        <v>360</v>
      </c>
      <c r="E186" s="156">
        <v>14850</v>
      </c>
    </row>
    <row r="187" spans="1:5" ht="38.25">
      <c r="A187" s="153" t="s">
        <v>625</v>
      </c>
      <c r="B187" s="154"/>
      <c r="C187" s="154">
        <v>730800</v>
      </c>
      <c r="D187" s="155" t="s">
        <v>360</v>
      </c>
      <c r="E187" s="156">
        <v>14841</v>
      </c>
    </row>
    <row r="188" spans="1:5" ht="38.25">
      <c r="A188" s="153" t="s">
        <v>626</v>
      </c>
      <c r="B188" s="154"/>
      <c r="C188" s="154">
        <v>1235516</v>
      </c>
      <c r="D188" s="155" t="s">
        <v>360</v>
      </c>
      <c r="E188" s="156">
        <v>14851</v>
      </c>
    </row>
    <row r="189" spans="1:5" ht="25.5">
      <c r="A189" s="153" t="s">
        <v>627</v>
      </c>
      <c r="B189" s="154"/>
      <c r="C189" s="154">
        <v>201608</v>
      </c>
      <c r="D189" s="155" t="s">
        <v>360</v>
      </c>
      <c r="E189" s="156">
        <v>14853</v>
      </c>
    </row>
    <row r="190" spans="1:5">
      <c r="A190" s="57"/>
      <c r="B190" s="157"/>
      <c r="C190" s="157">
        <f>SUM(C163:C189)</f>
        <v>10070308</v>
      </c>
      <c r="D190" s="155" t="s">
        <v>360</v>
      </c>
      <c r="E190" s="57"/>
    </row>
  </sheetData>
  <autoFilter ref="C1:C190" xr:uid="{00000000-0009-0000-0000-000015000000}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28"/>
  <sheetViews>
    <sheetView topLeftCell="A15" workbookViewId="0">
      <selection activeCell="C4" sqref="C4:E4"/>
    </sheetView>
  </sheetViews>
  <sheetFormatPr baseColWidth="10" defaultColWidth="11.42578125" defaultRowHeight="12"/>
  <cols>
    <col min="1" max="1" width="11.42578125" style="36"/>
    <col min="2" max="2" width="9.28515625" style="36" customWidth="1"/>
    <col min="3" max="3" width="40.85546875" style="36" customWidth="1"/>
    <col min="4" max="4" width="13.42578125" style="43" customWidth="1"/>
    <col min="5" max="5" width="13.5703125" style="36" customWidth="1"/>
    <col min="6" max="16384" width="11.42578125" style="36"/>
  </cols>
  <sheetData>
    <row r="1" spans="1:5" ht="31.5" customHeight="1">
      <c r="A1" s="51" t="s">
        <v>628</v>
      </c>
      <c r="B1" s="51" t="s">
        <v>108</v>
      </c>
      <c r="C1" s="51" t="s">
        <v>109</v>
      </c>
      <c r="D1" s="129" t="s">
        <v>294</v>
      </c>
      <c r="E1" s="130" t="s">
        <v>629</v>
      </c>
    </row>
    <row r="2" spans="1:5" ht="22.5">
      <c r="A2" s="116" t="s">
        <v>630</v>
      </c>
      <c r="B2" s="117" t="s">
        <v>631</v>
      </c>
      <c r="C2" s="118" t="s">
        <v>632</v>
      </c>
      <c r="D2" s="119" t="s">
        <v>633</v>
      </c>
      <c r="E2" s="120">
        <v>8800000</v>
      </c>
    </row>
    <row r="3" spans="1:5" ht="22.5">
      <c r="A3" s="116" t="s">
        <v>630</v>
      </c>
      <c r="B3" s="117" t="s">
        <v>634</v>
      </c>
      <c r="C3" s="191" t="s">
        <v>635</v>
      </c>
      <c r="D3" s="119" t="s">
        <v>636</v>
      </c>
      <c r="E3" s="120">
        <v>149500000</v>
      </c>
    </row>
    <row r="4" spans="1:5" ht="22.5">
      <c r="A4" s="116" t="s">
        <v>630</v>
      </c>
      <c r="B4" s="117" t="s">
        <v>637</v>
      </c>
      <c r="C4" s="118" t="s">
        <v>638</v>
      </c>
      <c r="D4" s="119" t="s">
        <v>639</v>
      </c>
      <c r="E4" s="120">
        <v>35500000</v>
      </c>
    </row>
    <row r="5" spans="1:5" ht="22.5">
      <c r="A5" s="116" t="s">
        <v>630</v>
      </c>
      <c r="B5" s="117" t="s">
        <v>640</v>
      </c>
      <c r="C5" s="191" t="s">
        <v>641</v>
      </c>
      <c r="D5" s="119" t="s">
        <v>642</v>
      </c>
      <c r="E5" s="120">
        <v>185600000</v>
      </c>
    </row>
    <row r="6" spans="1:5" ht="22.5">
      <c r="A6" s="116" t="s">
        <v>630</v>
      </c>
      <c r="B6" s="117" t="s">
        <v>643</v>
      </c>
      <c r="C6" s="191" t="s">
        <v>644</v>
      </c>
      <c r="D6" s="119" t="s">
        <v>645</v>
      </c>
      <c r="E6" s="120">
        <v>1500000</v>
      </c>
    </row>
    <row r="7" spans="1:5" ht="22.5">
      <c r="A7" s="116" t="s">
        <v>630</v>
      </c>
      <c r="B7" s="117" t="s">
        <v>646</v>
      </c>
      <c r="C7" s="191" t="s">
        <v>647</v>
      </c>
      <c r="D7" s="119" t="s">
        <v>645</v>
      </c>
      <c r="E7" s="120">
        <v>1500000</v>
      </c>
    </row>
    <row r="8" spans="1:5" ht="22.5">
      <c r="A8" s="116" t="s">
        <v>630</v>
      </c>
      <c r="B8" s="117" t="s">
        <v>648</v>
      </c>
      <c r="C8" s="191" t="s">
        <v>649</v>
      </c>
      <c r="D8" s="119" t="s">
        <v>645</v>
      </c>
      <c r="E8" s="120">
        <v>1500000</v>
      </c>
    </row>
    <row r="9" spans="1:5" ht="22.5">
      <c r="A9" s="116" t="s">
        <v>630</v>
      </c>
      <c r="B9" s="117" t="s">
        <v>650</v>
      </c>
      <c r="C9" s="118" t="s">
        <v>651</v>
      </c>
      <c r="D9" s="122" t="s">
        <v>652</v>
      </c>
      <c r="E9" s="120">
        <v>92200000</v>
      </c>
    </row>
    <row r="10" spans="1:5" ht="22.5">
      <c r="A10" s="116" t="s">
        <v>630</v>
      </c>
      <c r="B10" s="117" t="s">
        <v>653</v>
      </c>
      <c r="C10" s="118" t="s">
        <v>654</v>
      </c>
      <c r="D10" s="122" t="s">
        <v>655</v>
      </c>
      <c r="E10" s="120">
        <v>27200000</v>
      </c>
    </row>
    <row r="11" spans="1:5" ht="22.5">
      <c r="A11" s="116" t="s">
        <v>630</v>
      </c>
      <c r="B11" s="117" t="s">
        <v>656</v>
      </c>
      <c r="C11" s="118" t="s">
        <v>657</v>
      </c>
      <c r="D11" s="122" t="s">
        <v>658</v>
      </c>
      <c r="E11" s="120">
        <v>49800000</v>
      </c>
    </row>
    <row r="12" spans="1:5" ht="22.5">
      <c r="A12" s="116" t="s">
        <v>630</v>
      </c>
      <c r="B12" s="117" t="s">
        <v>659</v>
      </c>
      <c r="C12" s="118" t="s">
        <v>660</v>
      </c>
      <c r="D12" s="122" t="s">
        <v>661</v>
      </c>
      <c r="E12" s="120">
        <v>43100000</v>
      </c>
    </row>
    <row r="13" spans="1:5" ht="22.5">
      <c r="A13" s="116" t="s">
        <v>630</v>
      </c>
      <c r="B13" s="117" t="s">
        <v>662</v>
      </c>
      <c r="C13" s="118" t="s">
        <v>663</v>
      </c>
      <c r="D13" s="119" t="s">
        <v>664</v>
      </c>
      <c r="E13" s="120">
        <v>1700000</v>
      </c>
    </row>
    <row r="14" spans="1:5" ht="22.5">
      <c r="A14" s="116" t="s">
        <v>630</v>
      </c>
      <c r="B14" s="117" t="s">
        <v>665</v>
      </c>
      <c r="C14" s="118" t="s">
        <v>666</v>
      </c>
      <c r="D14" s="119" t="s">
        <v>667</v>
      </c>
      <c r="E14" s="120">
        <v>1400000</v>
      </c>
    </row>
    <row r="15" spans="1:5" ht="22.5">
      <c r="A15" s="116" t="s">
        <v>630</v>
      </c>
      <c r="B15" s="117" t="s">
        <v>668</v>
      </c>
      <c r="C15" s="118" t="s">
        <v>669</v>
      </c>
      <c r="D15" s="122" t="s">
        <v>670</v>
      </c>
      <c r="E15" s="120">
        <v>38500000</v>
      </c>
    </row>
    <row r="16" spans="1:5" ht="22.5">
      <c r="A16" s="116" t="s">
        <v>630</v>
      </c>
      <c r="B16" s="117" t="s">
        <v>671</v>
      </c>
      <c r="C16" s="191" t="s">
        <v>672</v>
      </c>
      <c r="D16" s="119" t="s">
        <v>673</v>
      </c>
      <c r="E16" s="120">
        <v>10500000</v>
      </c>
    </row>
    <row r="17" spans="1:5" ht="22.5">
      <c r="A17" s="116" t="s">
        <v>630</v>
      </c>
      <c r="B17" s="117" t="s">
        <v>674</v>
      </c>
      <c r="C17" s="191" t="s">
        <v>675</v>
      </c>
      <c r="D17" s="119" t="s">
        <v>673</v>
      </c>
      <c r="E17" s="120">
        <v>10500000</v>
      </c>
    </row>
    <row r="18" spans="1:5" ht="22.5">
      <c r="A18" s="116" t="s">
        <v>630</v>
      </c>
      <c r="B18" s="117" t="s">
        <v>676</v>
      </c>
      <c r="C18" s="191" t="s">
        <v>677</v>
      </c>
      <c r="D18" s="119" t="s">
        <v>673</v>
      </c>
      <c r="E18" s="120">
        <v>10500000</v>
      </c>
    </row>
    <row r="19" spans="1:5" ht="22.5">
      <c r="A19" s="116" t="s">
        <v>630</v>
      </c>
      <c r="B19" s="117" t="s">
        <v>678</v>
      </c>
      <c r="C19" s="191" t="s">
        <v>679</v>
      </c>
      <c r="D19" s="119" t="s">
        <v>680</v>
      </c>
      <c r="E19" s="120">
        <v>92600000</v>
      </c>
    </row>
    <row r="20" spans="1:5" ht="22.5">
      <c r="A20" s="116" t="s">
        <v>630</v>
      </c>
      <c r="B20" s="117" t="s">
        <v>681</v>
      </c>
      <c r="C20" s="191" t="s">
        <v>682</v>
      </c>
      <c r="D20" s="119" t="s">
        <v>683</v>
      </c>
      <c r="E20" s="120">
        <v>187800000</v>
      </c>
    </row>
    <row r="21" spans="1:5" ht="22.5">
      <c r="A21" s="116" t="s">
        <v>630</v>
      </c>
      <c r="B21" s="117" t="s">
        <v>684</v>
      </c>
      <c r="C21" s="192" t="s">
        <v>685</v>
      </c>
      <c r="D21" s="119" t="s">
        <v>686</v>
      </c>
      <c r="E21" s="120">
        <v>97400000</v>
      </c>
    </row>
    <row r="22" spans="1:5" ht="22.5">
      <c r="A22" s="116" t="s">
        <v>630</v>
      </c>
      <c r="B22" s="117" t="s">
        <v>687</v>
      </c>
      <c r="C22" s="192" t="s">
        <v>688</v>
      </c>
      <c r="D22" s="119" t="s">
        <v>686</v>
      </c>
      <c r="E22" s="120">
        <v>90600000</v>
      </c>
    </row>
    <row r="23" spans="1:5" ht="22.5">
      <c r="A23" s="116" t="s">
        <v>630</v>
      </c>
      <c r="B23" s="117" t="s">
        <v>689</v>
      </c>
      <c r="C23" s="192" t="s">
        <v>690</v>
      </c>
      <c r="D23" s="119" t="s">
        <v>691</v>
      </c>
      <c r="E23" s="120">
        <v>72600000</v>
      </c>
    </row>
    <row r="24" spans="1:5" ht="22.5">
      <c r="A24" s="116" t="s">
        <v>630</v>
      </c>
      <c r="B24" s="117" t="s">
        <v>692</v>
      </c>
      <c r="C24" s="118" t="s">
        <v>693</v>
      </c>
      <c r="D24" s="119" t="s">
        <v>694</v>
      </c>
      <c r="E24" s="120">
        <v>78000000</v>
      </c>
    </row>
    <row r="25" spans="1:5" ht="22.5">
      <c r="A25" s="116" t="s">
        <v>630</v>
      </c>
      <c r="B25" s="117" t="s">
        <v>695</v>
      </c>
      <c r="C25" s="118" t="s">
        <v>696</v>
      </c>
      <c r="D25" s="119" t="s">
        <v>697</v>
      </c>
      <c r="E25" s="120">
        <v>4600000</v>
      </c>
    </row>
    <row r="26" spans="1:5" ht="33.75">
      <c r="A26" s="116" t="s">
        <v>630</v>
      </c>
      <c r="B26" s="117" t="s">
        <v>698</v>
      </c>
      <c r="C26" s="118" t="s">
        <v>699</v>
      </c>
      <c r="D26" s="119" t="s">
        <v>700</v>
      </c>
      <c r="E26" s="120">
        <v>45800000</v>
      </c>
    </row>
    <row r="27" spans="1:5" ht="22.5">
      <c r="A27" s="116" t="s">
        <v>630</v>
      </c>
      <c r="B27" s="117" t="s">
        <v>701</v>
      </c>
      <c r="C27" s="191" t="s">
        <v>702</v>
      </c>
      <c r="D27" s="119" t="s">
        <v>703</v>
      </c>
      <c r="E27" s="120">
        <v>111300000</v>
      </c>
    </row>
    <row r="28" spans="1:5" ht="12.75">
      <c r="A28" s="341"/>
      <c r="B28" s="642"/>
      <c r="C28" s="642"/>
      <c r="D28" s="642"/>
      <c r="E28" s="193">
        <f>SUM(E2:E27)</f>
        <v>1450000000</v>
      </c>
    </row>
  </sheetData>
  <mergeCells count="1">
    <mergeCell ref="B28:D28"/>
  </mergeCells>
  <pageMargins left="0.7" right="0.7" top="0.75" bottom="0.75" header="0.3" footer="0.3"/>
  <pageSetup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3:D6"/>
  <sheetViews>
    <sheetView workbookViewId="0">
      <selection activeCell="C4" sqref="C4:E4"/>
    </sheetView>
  </sheetViews>
  <sheetFormatPr baseColWidth="10" defaultColWidth="11.42578125" defaultRowHeight="12.75"/>
  <cols>
    <col min="1" max="1" width="8.140625" customWidth="1"/>
    <col min="2" max="2" width="36.85546875" customWidth="1"/>
    <col min="3" max="3" width="12.7109375" customWidth="1"/>
    <col min="4" max="4" width="16.5703125" customWidth="1"/>
  </cols>
  <sheetData>
    <row r="3" spans="1:4" ht="36">
      <c r="A3" s="131" t="s">
        <v>108</v>
      </c>
      <c r="B3" s="131" t="s">
        <v>109</v>
      </c>
      <c r="C3" s="131" t="s">
        <v>294</v>
      </c>
      <c r="D3" s="131" t="s">
        <v>704</v>
      </c>
    </row>
    <row r="4" spans="1:4" ht="24">
      <c r="A4" s="142" t="s">
        <v>705</v>
      </c>
      <c r="B4" s="143" t="s">
        <v>706</v>
      </c>
      <c r="C4" s="144">
        <v>8817040</v>
      </c>
      <c r="D4" s="145">
        <v>470000</v>
      </c>
    </row>
    <row r="5" spans="1:4" ht="24">
      <c r="A5" s="142" t="s">
        <v>707</v>
      </c>
      <c r="B5" s="143" t="s">
        <v>708</v>
      </c>
      <c r="C5" s="144">
        <v>8817040</v>
      </c>
      <c r="D5" s="145">
        <v>400000</v>
      </c>
    </row>
    <row r="6" spans="1:4">
      <c r="A6" s="643" t="s">
        <v>371</v>
      </c>
      <c r="B6" s="643"/>
      <c r="C6" s="643"/>
      <c r="D6" s="146">
        <f>SUM(D4:D5)</f>
        <v>870000</v>
      </c>
    </row>
  </sheetData>
  <mergeCells count="1">
    <mergeCell ref="A6:C6"/>
  </mergeCells>
  <pageMargins left="0.7" right="0.7" top="0.75" bottom="0.75" header="0.3" footer="0.3"/>
  <pageSetup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H29"/>
  <sheetViews>
    <sheetView topLeftCell="D4" workbookViewId="0">
      <selection activeCell="C4" sqref="C4:E4"/>
    </sheetView>
  </sheetViews>
  <sheetFormatPr baseColWidth="10" defaultColWidth="11.42578125" defaultRowHeight="12.75"/>
  <cols>
    <col min="1" max="1" width="8.140625" customWidth="1"/>
    <col min="2" max="2" width="8" customWidth="1"/>
    <col min="6" max="6" width="39.140625" customWidth="1"/>
    <col min="7" max="7" width="21.85546875" customWidth="1"/>
  </cols>
  <sheetData>
    <row r="2" spans="1:8" ht="15">
      <c r="D2" s="644" t="s">
        <v>709</v>
      </c>
      <c r="E2" s="644"/>
      <c r="F2" s="644"/>
      <c r="G2" s="644"/>
      <c r="H2" s="644"/>
    </row>
    <row r="3" spans="1:8" ht="21.75" customHeight="1">
      <c r="A3" s="51" t="s">
        <v>710</v>
      </c>
      <c r="B3" s="51" t="s">
        <v>108</v>
      </c>
      <c r="C3" s="51" t="s">
        <v>711</v>
      </c>
      <c r="D3" s="131" t="s">
        <v>628</v>
      </c>
      <c r="E3" s="131" t="s">
        <v>108</v>
      </c>
      <c r="F3" s="131" t="s">
        <v>109</v>
      </c>
      <c r="G3" s="131" t="s">
        <v>110</v>
      </c>
      <c r="H3" s="132" t="s">
        <v>712</v>
      </c>
    </row>
    <row r="4" spans="1:8" ht="24">
      <c r="A4" s="58">
        <v>1</v>
      </c>
      <c r="B4" s="52" t="s">
        <v>671</v>
      </c>
      <c r="C4" s="53" t="s">
        <v>713</v>
      </c>
      <c r="D4" s="133" t="s">
        <v>630</v>
      </c>
      <c r="E4" s="134" t="s">
        <v>653</v>
      </c>
      <c r="F4" s="135" t="s">
        <v>714</v>
      </c>
      <c r="G4" s="136">
        <v>43293</v>
      </c>
      <c r="H4" s="137">
        <v>854400</v>
      </c>
    </row>
    <row r="5" spans="1:8" ht="24">
      <c r="A5" s="58">
        <v>2</v>
      </c>
      <c r="B5" s="52" t="s">
        <v>674</v>
      </c>
      <c r="C5" s="53" t="s">
        <v>713</v>
      </c>
      <c r="D5" s="133" t="s">
        <v>630</v>
      </c>
      <c r="E5" s="134" t="s">
        <v>659</v>
      </c>
      <c r="F5" s="135" t="s">
        <v>715</v>
      </c>
      <c r="G5" s="136">
        <v>43293</v>
      </c>
      <c r="H5" s="137">
        <v>1013100</v>
      </c>
    </row>
    <row r="6" spans="1:8" ht="24">
      <c r="A6" s="58">
        <v>3</v>
      </c>
      <c r="B6" s="52" t="s">
        <v>676</v>
      </c>
      <c r="C6" s="53" t="s">
        <v>713</v>
      </c>
      <c r="D6" s="133" t="s">
        <v>630</v>
      </c>
      <c r="E6" s="134" t="s">
        <v>662</v>
      </c>
      <c r="F6" s="135" t="s">
        <v>716</v>
      </c>
      <c r="G6" s="136">
        <v>43293</v>
      </c>
      <c r="H6" s="137">
        <v>452850</v>
      </c>
    </row>
    <row r="7" spans="1:8" ht="24">
      <c r="A7" s="58">
        <v>4</v>
      </c>
      <c r="B7" s="52" t="s">
        <v>678</v>
      </c>
      <c r="C7" s="53" t="s">
        <v>717</v>
      </c>
      <c r="D7" s="133" t="s">
        <v>630</v>
      </c>
      <c r="E7" s="134" t="s">
        <v>665</v>
      </c>
      <c r="F7" s="135" t="s">
        <v>666</v>
      </c>
      <c r="G7" s="136">
        <v>43293</v>
      </c>
      <c r="H7" s="137">
        <v>452850</v>
      </c>
    </row>
    <row r="8" spans="1:8" ht="36">
      <c r="A8" s="58">
        <v>5</v>
      </c>
      <c r="B8" s="52" t="s">
        <v>681</v>
      </c>
      <c r="C8" s="53" t="s">
        <v>718</v>
      </c>
      <c r="D8" s="133" t="s">
        <v>630</v>
      </c>
      <c r="E8" s="134" t="s">
        <v>668</v>
      </c>
      <c r="F8" s="135" t="s">
        <v>669</v>
      </c>
      <c r="G8" s="136">
        <v>43297</v>
      </c>
      <c r="H8" s="137">
        <v>860250</v>
      </c>
    </row>
    <row r="9" spans="1:8" ht="24">
      <c r="A9" s="58">
        <v>6</v>
      </c>
      <c r="B9" s="52" t="s">
        <v>687</v>
      </c>
      <c r="C9" s="53" t="s">
        <v>719</v>
      </c>
      <c r="D9" s="133" t="s">
        <v>630</v>
      </c>
      <c r="E9" s="134" t="s">
        <v>656</v>
      </c>
      <c r="F9" s="135" t="s">
        <v>720</v>
      </c>
      <c r="G9" s="136">
        <v>43342</v>
      </c>
      <c r="H9" s="137">
        <v>860250</v>
      </c>
    </row>
    <row r="10" spans="1:8" ht="24">
      <c r="A10" s="58">
        <v>7</v>
      </c>
      <c r="B10" s="52" t="s">
        <v>684</v>
      </c>
      <c r="C10" s="53" t="s">
        <v>719</v>
      </c>
      <c r="D10" s="133" t="s">
        <v>630</v>
      </c>
      <c r="E10" s="134" t="s">
        <v>671</v>
      </c>
      <c r="F10" s="138" t="s">
        <v>672</v>
      </c>
      <c r="G10" s="136">
        <v>43357</v>
      </c>
      <c r="H10" s="137">
        <v>452850</v>
      </c>
    </row>
    <row r="11" spans="1:8" ht="24">
      <c r="A11" s="58">
        <v>8</v>
      </c>
      <c r="B11" s="52" t="s">
        <v>689</v>
      </c>
      <c r="C11" s="53" t="s">
        <v>719</v>
      </c>
      <c r="D11" s="133" t="s">
        <v>630</v>
      </c>
      <c r="E11" s="134" t="s">
        <v>674</v>
      </c>
      <c r="F11" s="138" t="s">
        <v>675</v>
      </c>
      <c r="G11" s="136">
        <v>43357</v>
      </c>
      <c r="H11" s="137">
        <v>452850</v>
      </c>
    </row>
    <row r="12" spans="1:8" ht="24">
      <c r="A12" s="58">
        <v>9</v>
      </c>
      <c r="B12" s="52" t="s">
        <v>692</v>
      </c>
      <c r="C12" s="53" t="s">
        <v>717</v>
      </c>
      <c r="D12" s="133" t="s">
        <v>630</v>
      </c>
      <c r="E12" s="134" t="s">
        <v>676</v>
      </c>
      <c r="F12" s="138" t="s">
        <v>677</v>
      </c>
      <c r="G12" s="136">
        <v>43357</v>
      </c>
      <c r="H12" s="137">
        <v>452850</v>
      </c>
    </row>
    <row r="13" spans="1:8" ht="24">
      <c r="A13" s="58">
        <v>10</v>
      </c>
      <c r="B13" s="52" t="s">
        <v>695</v>
      </c>
      <c r="C13" s="53" t="s">
        <v>721</v>
      </c>
      <c r="D13" s="133" t="s">
        <v>630</v>
      </c>
      <c r="E13" s="134" t="s">
        <v>678</v>
      </c>
      <c r="F13" s="138" t="s">
        <v>679</v>
      </c>
      <c r="G13" s="136">
        <v>43357</v>
      </c>
      <c r="H13" s="137">
        <v>634950</v>
      </c>
    </row>
    <row r="14" spans="1:8" ht="48">
      <c r="A14" s="58">
        <v>11</v>
      </c>
      <c r="B14" s="52" t="s">
        <v>701</v>
      </c>
      <c r="C14" s="53" t="s">
        <v>719</v>
      </c>
      <c r="D14" s="133" t="s">
        <v>630</v>
      </c>
      <c r="E14" s="134" t="s">
        <v>681</v>
      </c>
      <c r="F14" s="138" t="s">
        <v>722</v>
      </c>
      <c r="G14" s="136">
        <v>43414</v>
      </c>
      <c r="H14" s="137">
        <v>1013100</v>
      </c>
    </row>
    <row r="15" spans="1:8" ht="24">
      <c r="A15" s="58">
        <v>12</v>
      </c>
      <c r="B15" s="52" t="s">
        <v>631</v>
      </c>
      <c r="C15" s="54" t="s">
        <v>723</v>
      </c>
      <c r="D15" s="133" t="s">
        <v>630</v>
      </c>
      <c r="E15" s="134" t="s">
        <v>684</v>
      </c>
      <c r="F15" s="139" t="s">
        <v>724</v>
      </c>
      <c r="G15" s="136">
        <v>43422</v>
      </c>
      <c r="H15" s="137">
        <v>860250</v>
      </c>
    </row>
    <row r="16" spans="1:8" ht="24">
      <c r="A16" s="58">
        <v>13</v>
      </c>
      <c r="B16" s="52" t="s">
        <v>698</v>
      </c>
      <c r="C16" s="53" t="s">
        <v>725</v>
      </c>
      <c r="D16" s="133" t="s">
        <v>630</v>
      </c>
      <c r="E16" s="134" t="s">
        <v>687</v>
      </c>
      <c r="F16" s="139" t="s">
        <v>726</v>
      </c>
      <c r="G16" s="136">
        <v>43422</v>
      </c>
      <c r="H16" s="137">
        <v>860250</v>
      </c>
    </row>
    <row r="17" spans="1:8" ht="24">
      <c r="A17" s="52"/>
      <c r="B17" s="52"/>
      <c r="C17" s="53"/>
      <c r="D17" s="133" t="s">
        <v>630</v>
      </c>
      <c r="E17" s="134" t="s">
        <v>689</v>
      </c>
      <c r="F17" s="139" t="s">
        <v>690</v>
      </c>
      <c r="G17" s="136">
        <v>43424</v>
      </c>
      <c r="H17" s="137">
        <v>860250</v>
      </c>
    </row>
    <row r="18" spans="1:8" ht="24">
      <c r="A18" s="55"/>
      <c r="B18" s="55"/>
      <c r="C18" s="56"/>
      <c r="D18" s="133" t="s">
        <v>630</v>
      </c>
      <c r="E18" s="134" t="s">
        <v>692</v>
      </c>
      <c r="F18" s="135" t="s">
        <v>693</v>
      </c>
      <c r="G18" s="140">
        <v>43431</v>
      </c>
      <c r="H18" s="137">
        <v>634950</v>
      </c>
    </row>
    <row r="19" spans="1:8" ht="36">
      <c r="A19" s="55"/>
      <c r="B19" s="55"/>
      <c r="C19" s="56"/>
      <c r="D19" s="133" t="s">
        <v>630</v>
      </c>
      <c r="E19" s="134" t="s">
        <v>695</v>
      </c>
      <c r="F19" s="135" t="s">
        <v>727</v>
      </c>
      <c r="G19" s="140">
        <v>43433</v>
      </c>
      <c r="H19" s="137">
        <v>452850</v>
      </c>
    </row>
    <row r="20" spans="1:8" ht="36">
      <c r="A20" s="51" t="s">
        <v>710</v>
      </c>
      <c r="B20" s="51" t="s">
        <v>108</v>
      </c>
      <c r="C20" s="51" t="s">
        <v>711</v>
      </c>
      <c r="D20" s="133" t="s">
        <v>630</v>
      </c>
      <c r="E20" s="134" t="s">
        <v>701</v>
      </c>
      <c r="F20" s="138" t="s">
        <v>728</v>
      </c>
      <c r="G20" s="136">
        <v>43448</v>
      </c>
      <c r="H20" s="141">
        <v>1013100</v>
      </c>
    </row>
    <row r="21" spans="1:8" ht="24">
      <c r="A21" s="58">
        <v>14</v>
      </c>
      <c r="B21" s="52" t="s">
        <v>634</v>
      </c>
      <c r="C21" s="53" t="s">
        <v>719</v>
      </c>
      <c r="D21" s="133" t="s">
        <v>630</v>
      </c>
      <c r="E21" s="134" t="s">
        <v>729</v>
      </c>
      <c r="F21" s="138" t="s">
        <v>730</v>
      </c>
      <c r="G21" s="136">
        <v>43462</v>
      </c>
      <c r="H21" s="141">
        <v>510750</v>
      </c>
    </row>
    <row r="22" spans="1:8" ht="24">
      <c r="A22" s="58">
        <v>15</v>
      </c>
      <c r="B22" s="52" t="s">
        <v>637</v>
      </c>
      <c r="C22" s="53" t="s">
        <v>731</v>
      </c>
      <c r="D22" s="133" t="s">
        <v>630</v>
      </c>
      <c r="E22" s="134" t="s">
        <v>732</v>
      </c>
      <c r="F22" s="138" t="s">
        <v>733</v>
      </c>
      <c r="G22" s="136">
        <v>43462</v>
      </c>
      <c r="H22" s="141">
        <v>510750</v>
      </c>
    </row>
    <row r="23" spans="1:8" ht="24">
      <c r="A23" s="58">
        <v>16</v>
      </c>
      <c r="B23" s="52" t="s">
        <v>640</v>
      </c>
      <c r="C23" s="53" t="s">
        <v>719</v>
      </c>
      <c r="D23" s="133" t="s">
        <v>630</v>
      </c>
      <c r="E23" s="134" t="s">
        <v>734</v>
      </c>
      <c r="F23" s="138" t="s">
        <v>735</v>
      </c>
      <c r="G23" s="136">
        <v>43462</v>
      </c>
      <c r="H23" s="141">
        <v>510750</v>
      </c>
    </row>
    <row r="24" spans="1:8" ht="24">
      <c r="A24" s="58">
        <v>17</v>
      </c>
      <c r="B24" s="52" t="s">
        <v>643</v>
      </c>
      <c r="C24" s="53" t="s">
        <v>723</v>
      </c>
      <c r="D24" s="133" t="s">
        <v>630</v>
      </c>
      <c r="E24" s="134" t="s">
        <v>736</v>
      </c>
      <c r="F24" s="138" t="s">
        <v>737</v>
      </c>
      <c r="G24" s="136">
        <v>43462</v>
      </c>
      <c r="H24" s="141">
        <v>510750</v>
      </c>
    </row>
    <row r="25" spans="1:8" ht="24">
      <c r="A25" s="58">
        <v>18</v>
      </c>
      <c r="B25" s="52" t="s">
        <v>646</v>
      </c>
      <c r="C25" s="53" t="s">
        <v>723</v>
      </c>
      <c r="D25" s="133" t="s">
        <v>630</v>
      </c>
      <c r="E25" s="134" t="s">
        <v>738</v>
      </c>
      <c r="F25" s="138" t="s">
        <v>739</v>
      </c>
      <c r="G25" s="136">
        <v>43462</v>
      </c>
      <c r="H25" s="141">
        <v>510750</v>
      </c>
    </row>
    <row r="26" spans="1:8" ht="24">
      <c r="A26" s="58">
        <v>19</v>
      </c>
      <c r="B26" s="52" t="s">
        <v>648</v>
      </c>
      <c r="C26" s="53" t="s">
        <v>723</v>
      </c>
      <c r="D26" s="133" t="s">
        <v>630</v>
      </c>
      <c r="E26" s="134" t="s">
        <v>631</v>
      </c>
      <c r="F26" s="135" t="s">
        <v>632</v>
      </c>
      <c r="G26" s="140">
        <v>43465</v>
      </c>
      <c r="H26" s="137">
        <v>510750</v>
      </c>
    </row>
    <row r="27" spans="1:8" ht="36">
      <c r="A27" s="58">
        <v>20</v>
      </c>
      <c r="B27" s="52" t="s">
        <v>650</v>
      </c>
      <c r="C27" s="53" t="s">
        <v>717</v>
      </c>
      <c r="D27" s="133" t="s">
        <v>630</v>
      </c>
      <c r="E27" s="134" t="s">
        <v>698</v>
      </c>
      <c r="F27" s="135" t="s">
        <v>699</v>
      </c>
      <c r="G27" s="140">
        <v>43465</v>
      </c>
      <c r="H27" s="141">
        <v>744750</v>
      </c>
    </row>
    <row r="28" spans="1:8">
      <c r="A28" s="58">
        <v>21</v>
      </c>
      <c r="B28" s="52" t="s">
        <v>662</v>
      </c>
      <c r="C28" s="53" t="s">
        <v>721</v>
      </c>
      <c r="D28" s="645" t="s">
        <v>6</v>
      </c>
      <c r="E28" s="645"/>
      <c r="F28" s="645"/>
      <c r="G28" s="645"/>
      <c r="H28" s="123">
        <f>SUM(H4:H27)</f>
        <v>15991200</v>
      </c>
    </row>
    <row r="29" spans="1:8">
      <c r="A29" s="58">
        <v>22</v>
      </c>
      <c r="B29" s="52" t="s">
        <v>665</v>
      </c>
      <c r="C29" s="53" t="s">
        <v>713</v>
      </c>
      <c r="D29" s="124"/>
      <c r="E29" s="125"/>
      <c r="F29" s="126"/>
      <c r="G29" s="127"/>
      <c r="H29" s="128"/>
    </row>
  </sheetData>
  <mergeCells count="2">
    <mergeCell ref="D2:H2"/>
    <mergeCell ref="D28:G28"/>
  </mergeCells>
  <pageMargins left="0.7" right="0.7" top="0.75" bottom="0.75" header="0.3" footer="0.3"/>
  <pageSetup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G18"/>
  <sheetViews>
    <sheetView topLeftCell="B7" workbookViewId="0">
      <selection activeCell="C4" sqref="C4:E4"/>
    </sheetView>
  </sheetViews>
  <sheetFormatPr baseColWidth="10" defaultColWidth="22.5703125" defaultRowHeight="12.75"/>
  <cols>
    <col min="1" max="1" width="9" customWidth="1"/>
    <col min="2" max="2" width="10.5703125" customWidth="1"/>
    <col min="3" max="3" width="35.5703125" customWidth="1"/>
    <col min="4" max="4" width="37.28515625" customWidth="1"/>
    <col min="5" max="6" width="0.140625" hidden="1" customWidth="1"/>
    <col min="7" max="7" width="16.28515625" customWidth="1"/>
  </cols>
  <sheetData>
    <row r="1" spans="2:7" ht="37.5" customHeight="1">
      <c r="B1" s="181" t="s">
        <v>740</v>
      </c>
      <c r="C1" s="181" t="s">
        <v>711</v>
      </c>
      <c r="D1" s="181" t="s">
        <v>741</v>
      </c>
      <c r="E1" s="181" t="s">
        <v>742</v>
      </c>
      <c r="F1" s="181" t="s">
        <v>743</v>
      </c>
      <c r="G1" s="182" t="s">
        <v>744</v>
      </c>
    </row>
    <row r="2" spans="2:7" ht="22.5">
      <c r="B2" s="52" t="s">
        <v>745</v>
      </c>
      <c r="C2" s="54" t="s">
        <v>278</v>
      </c>
      <c r="D2" s="54" t="s">
        <v>746</v>
      </c>
      <c r="E2" s="168">
        <v>301806630.58885348</v>
      </c>
      <c r="F2" s="169">
        <f>+(E2*5%/365)*315</f>
        <v>13023162.826779295</v>
      </c>
      <c r="G2" s="170">
        <f>+E2+F2</f>
        <v>314829793.41563278</v>
      </c>
    </row>
    <row r="3" spans="2:7">
      <c r="B3" s="52" t="s">
        <v>745</v>
      </c>
      <c r="C3" s="54" t="s">
        <v>747</v>
      </c>
      <c r="D3" s="54" t="s">
        <v>748</v>
      </c>
      <c r="E3" s="168">
        <v>232254772.00225183</v>
      </c>
      <c r="F3" s="169">
        <f t="shared" ref="F3:F14" si="0">+(E3*5%/365)*315</f>
        <v>10021952.490508128</v>
      </c>
      <c r="G3" s="170">
        <f t="shared" ref="G3:G14" si="1">+E3+F3</f>
        <v>242276724.49275997</v>
      </c>
    </row>
    <row r="4" spans="2:7">
      <c r="B4" s="52" t="s">
        <v>745</v>
      </c>
      <c r="C4" s="54" t="s">
        <v>275</v>
      </c>
      <c r="D4" s="54" t="s">
        <v>749</v>
      </c>
      <c r="E4" s="168">
        <v>226976254.4567461</v>
      </c>
      <c r="F4" s="169">
        <f t="shared" si="0"/>
        <v>9794180.8429965805</v>
      </c>
      <c r="G4" s="170">
        <f t="shared" si="1"/>
        <v>236770435.29974267</v>
      </c>
    </row>
    <row r="5" spans="2:7" ht="33.75">
      <c r="B5" s="52" t="s">
        <v>745</v>
      </c>
      <c r="C5" s="54" t="s">
        <v>750</v>
      </c>
      <c r="D5" s="171" t="s">
        <v>751</v>
      </c>
      <c r="E5" s="168">
        <v>36949622.818540066</v>
      </c>
      <c r="F5" s="169">
        <f t="shared" si="0"/>
        <v>1594401.5325808388</v>
      </c>
      <c r="G5" s="170">
        <f t="shared" si="1"/>
        <v>38544024.351120904</v>
      </c>
    </row>
    <row r="6" spans="2:7" ht="78.75">
      <c r="B6" s="52" t="s">
        <v>745</v>
      </c>
      <c r="C6" s="54" t="s">
        <v>284</v>
      </c>
      <c r="D6" s="171" t="s">
        <v>752</v>
      </c>
      <c r="E6" s="168">
        <v>166167732.33252019</v>
      </c>
      <c r="F6" s="169">
        <f t="shared" si="0"/>
        <v>7170251.4636635417</v>
      </c>
      <c r="G6" s="170">
        <f>+E6+F6+180000</f>
        <v>173517983.79618374</v>
      </c>
    </row>
    <row r="7" spans="2:7" ht="33.75">
      <c r="B7" s="52" t="s">
        <v>745</v>
      </c>
      <c r="C7" s="54" t="s">
        <v>753</v>
      </c>
      <c r="D7" s="171" t="s">
        <v>754</v>
      </c>
      <c r="E7" s="168">
        <v>7653850.4409832992</v>
      </c>
      <c r="F7" s="169">
        <f t="shared" si="0"/>
        <v>330268.88889174513</v>
      </c>
      <c r="G7" s="170">
        <f t="shared" si="1"/>
        <v>7984119.3298750445</v>
      </c>
    </row>
    <row r="8" spans="2:7">
      <c r="B8" s="52" t="s">
        <v>745</v>
      </c>
      <c r="C8" s="54" t="s">
        <v>755</v>
      </c>
      <c r="D8" s="54" t="s">
        <v>756</v>
      </c>
      <c r="E8" s="168">
        <v>179164600</v>
      </c>
      <c r="F8" s="169">
        <f t="shared" si="0"/>
        <v>7731075.2054794515</v>
      </c>
      <c r="G8" s="170">
        <f t="shared" si="1"/>
        <v>186895675.20547944</v>
      </c>
    </row>
    <row r="9" spans="2:7" ht="67.5">
      <c r="B9" s="172" t="s">
        <v>745</v>
      </c>
      <c r="C9" s="54" t="s">
        <v>757</v>
      </c>
      <c r="D9" s="54" t="s">
        <v>758</v>
      </c>
      <c r="E9" s="173">
        <v>100130000</v>
      </c>
      <c r="F9" s="169">
        <f t="shared" si="0"/>
        <v>4320678.0821917811</v>
      </c>
      <c r="G9" s="170">
        <f t="shared" si="1"/>
        <v>104450678.08219178</v>
      </c>
    </row>
    <row r="10" spans="2:7" ht="33.75">
      <c r="B10" s="52" t="s">
        <v>745</v>
      </c>
      <c r="C10" s="54" t="s">
        <v>275</v>
      </c>
      <c r="D10" s="54" t="s">
        <v>759</v>
      </c>
      <c r="E10" s="168">
        <v>380000000</v>
      </c>
      <c r="F10" s="169">
        <f t="shared" si="0"/>
        <v>16397260.273972604</v>
      </c>
      <c r="G10" s="170">
        <f t="shared" si="1"/>
        <v>396397260.27397263</v>
      </c>
    </row>
    <row r="11" spans="2:7" ht="78.75">
      <c r="B11" s="52" t="s">
        <v>745</v>
      </c>
      <c r="C11" s="54" t="s">
        <v>760</v>
      </c>
      <c r="D11" s="54" t="s">
        <v>761</v>
      </c>
      <c r="E11" s="168">
        <v>665093210.73372114</v>
      </c>
      <c r="F11" s="169">
        <f t="shared" si="0"/>
        <v>28699227.586455092</v>
      </c>
      <c r="G11" s="170">
        <f t="shared" si="1"/>
        <v>693792438.32017624</v>
      </c>
    </row>
    <row r="12" spans="2:7" ht="22.5">
      <c r="B12" s="52" t="s">
        <v>745</v>
      </c>
      <c r="C12" s="54" t="s">
        <v>762</v>
      </c>
      <c r="D12" s="54"/>
      <c r="E12" s="174">
        <v>41160000</v>
      </c>
      <c r="F12" s="169">
        <f t="shared" si="0"/>
        <v>1776082.1917808221</v>
      </c>
      <c r="G12" s="170">
        <f t="shared" si="1"/>
        <v>42936082.19178082</v>
      </c>
    </row>
    <row r="13" spans="2:7">
      <c r="B13" s="52" t="s">
        <v>763</v>
      </c>
      <c r="C13" s="54" t="s">
        <v>764</v>
      </c>
      <c r="D13" s="54" t="s">
        <v>765</v>
      </c>
      <c r="E13" s="174">
        <v>37620000</v>
      </c>
      <c r="F13" s="169">
        <f t="shared" si="0"/>
        <v>1623328.7671232878</v>
      </c>
      <c r="G13" s="170">
        <f t="shared" si="1"/>
        <v>39243328.767123289</v>
      </c>
    </row>
    <row r="14" spans="2:7" ht="45">
      <c r="B14" s="52" t="s">
        <v>745</v>
      </c>
      <c r="C14" s="171" t="s">
        <v>766</v>
      </c>
      <c r="D14" s="54"/>
      <c r="E14" s="174">
        <v>143840000</v>
      </c>
      <c r="F14" s="169">
        <f t="shared" si="0"/>
        <v>6206794.5205479451</v>
      </c>
      <c r="G14" s="170">
        <f t="shared" si="1"/>
        <v>150046794.52054796</v>
      </c>
    </row>
    <row r="15" spans="2:7">
      <c r="B15" s="52" t="s">
        <v>763</v>
      </c>
      <c r="C15" s="171" t="s">
        <v>767</v>
      </c>
      <c r="D15" s="57"/>
      <c r="E15" s="57"/>
      <c r="F15" s="57"/>
      <c r="G15" s="175">
        <v>3000000</v>
      </c>
    </row>
    <row r="16" spans="2:7">
      <c r="B16" s="52" t="s">
        <v>763</v>
      </c>
      <c r="C16" s="171" t="s">
        <v>768</v>
      </c>
      <c r="D16" s="57"/>
      <c r="E16" s="57"/>
      <c r="F16" s="57"/>
      <c r="G16" s="175">
        <v>6000000</v>
      </c>
    </row>
    <row r="17" spans="2:7">
      <c r="B17" s="52" t="s">
        <v>763</v>
      </c>
      <c r="C17" s="171" t="s">
        <v>769</v>
      </c>
      <c r="D17" s="57"/>
      <c r="E17" s="57"/>
      <c r="F17" s="57"/>
      <c r="G17" s="175">
        <v>2200000</v>
      </c>
    </row>
    <row r="18" spans="2:7">
      <c r="B18" s="55"/>
      <c r="C18" s="176"/>
      <c r="D18" s="177"/>
      <c r="E18" s="178"/>
      <c r="F18" s="179"/>
      <c r="G18" s="180">
        <f>SUM(G2:G17)</f>
        <v>2638885338.046587</v>
      </c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C3"/>
  <sheetViews>
    <sheetView workbookViewId="0">
      <selection activeCell="C4" sqref="C4:E4"/>
    </sheetView>
  </sheetViews>
  <sheetFormatPr baseColWidth="10" defaultColWidth="11.42578125" defaultRowHeight="12.75"/>
  <cols>
    <col min="3" max="3" width="36.85546875" customWidth="1"/>
  </cols>
  <sheetData>
    <row r="1" spans="1:3" ht="32.25" customHeight="1">
      <c r="A1" s="51" t="s">
        <v>628</v>
      </c>
      <c r="B1" s="51" t="s">
        <v>108</v>
      </c>
      <c r="C1" s="51" t="s">
        <v>109</v>
      </c>
    </row>
    <row r="2" spans="1:3" ht="22.5">
      <c r="A2" s="116" t="s">
        <v>630</v>
      </c>
      <c r="B2" s="117" t="s">
        <v>659</v>
      </c>
      <c r="C2" s="118" t="s">
        <v>770</v>
      </c>
    </row>
    <row r="3" spans="1:3" ht="22.5">
      <c r="A3" s="116" t="s">
        <v>630</v>
      </c>
      <c r="B3" s="117" t="s">
        <v>681</v>
      </c>
      <c r="C3" s="121" t="s">
        <v>682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2:J27"/>
  <sheetViews>
    <sheetView topLeftCell="A7" workbookViewId="0">
      <selection activeCell="C4" sqref="C4:E4"/>
    </sheetView>
  </sheetViews>
  <sheetFormatPr baseColWidth="10" defaultColWidth="11.42578125" defaultRowHeight="12.75"/>
  <cols>
    <col min="2" max="2" width="13.28515625" customWidth="1"/>
    <col min="3" max="3" width="32" customWidth="1"/>
    <col min="4" max="4" width="13.7109375" customWidth="1"/>
    <col min="5" max="5" width="14.28515625" customWidth="1"/>
    <col min="6" max="6" width="18.140625" bestFit="1" customWidth="1"/>
    <col min="7" max="7" width="17.28515625" bestFit="1" customWidth="1"/>
    <col min="9" max="9" width="17.28515625" bestFit="1" customWidth="1"/>
    <col min="10" max="10" width="14.5703125" customWidth="1"/>
    <col min="258" max="258" width="23.7109375" customWidth="1"/>
    <col min="259" max="259" width="35.7109375" bestFit="1" customWidth="1"/>
    <col min="260" max="260" width="18.28515625" customWidth="1"/>
    <col min="261" max="261" width="16.42578125" customWidth="1"/>
    <col min="262" max="262" width="16.85546875" customWidth="1"/>
    <col min="514" max="514" width="23.7109375" customWidth="1"/>
    <col min="515" max="515" width="35.7109375" bestFit="1" customWidth="1"/>
    <col min="516" max="516" width="18.28515625" customWidth="1"/>
    <col min="517" max="517" width="16.42578125" customWidth="1"/>
    <col min="518" max="518" width="16.85546875" customWidth="1"/>
    <col min="770" max="770" width="23.7109375" customWidth="1"/>
    <col min="771" max="771" width="35.7109375" bestFit="1" customWidth="1"/>
    <col min="772" max="772" width="18.28515625" customWidth="1"/>
    <col min="773" max="773" width="16.42578125" customWidth="1"/>
    <col min="774" max="774" width="16.85546875" customWidth="1"/>
    <col min="1026" max="1026" width="23.7109375" customWidth="1"/>
    <col min="1027" max="1027" width="35.7109375" bestFit="1" customWidth="1"/>
    <col min="1028" max="1028" width="18.28515625" customWidth="1"/>
    <col min="1029" max="1029" width="16.42578125" customWidth="1"/>
    <col min="1030" max="1030" width="16.85546875" customWidth="1"/>
    <col min="1282" max="1282" width="23.7109375" customWidth="1"/>
    <col min="1283" max="1283" width="35.7109375" bestFit="1" customWidth="1"/>
    <col min="1284" max="1284" width="18.28515625" customWidth="1"/>
    <col min="1285" max="1285" width="16.42578125" customWidth="1"/>
    <col min="1286" max="1286" width="16.85546875" customWidth="1"/>
    <col min="1538" max="1538" width="23.7109375" customWidth="1"/>
    <col min="1539" max="1539" width="35.7109375" bestFit="1" customWidth="1"/>
    <col min="1540" max="1540" width="18.28515625" customWidth="1"/>
    <col min="1541" max="1541" width="16.42578125" customWidth="1"/>
    <col min="1542" max="1542" width="16.85546875" customWidth="1"/>
    <col min="1794" max="1794" width="23.7109375" customWidth="1"/>
    <col min="1795" max="1795" width="35.7109375" bestFit="1" customWidth="1"/>
    <col min="1796" max="1796" width="18.28515625" customWidth="1"/>
    <col min="1797" max="1797" width="16.42578125" customWidth="1"/>
    <col min="1798" max="1798" width="16.85546875" customWidth="1"/>
    <col min="2050" max="2050" width="23.7109375" customWidth="1"/>
    <col min="2051" max="2051" width="35.7109375" bestFit="1" customWidth="1"/>
    <col min="2052" max="2052" width="18.28515625" customWidth="1"/>
    <col min="2053" max="2053" width="16.42578125" customWidth="1"/>
    <col min="2054" max="2054" width="16.85546875" customWidth="1"/>
    <col min="2306" max="2306" width="23.7109375" customWidth="1"/>
    <col min="2307" max="2307" width="35.7109375" bestFit="1" customWidth="1"/>
    <col min="2308" max="2308" width="18.28515625" customWidth="1"/>
    <col min="2309" max="2309" width="16.42578125" customWidth="1"/>
    <col min="2310" max="2310" width="16.85546875" customWidth="1"/>
    <col min="2562" max="2562" width="23.7109375" customWidth="1"/>
    <col min="2563" max="2563" width="35.7109375" bestFit="1" customWidth="1"/>
    <col min="2564" max="2564" width="18.28515625" customWidth="1"/>
    <col min="2565" max="2565" width="16.42578125" customWidth="1"/>
    <col min="2566" max="2566" width="16.85546875" customWidth="1"/>
    <col min="2818" max="2818" width="23.7109375" customWidth="1"/>
    <col min="2819" max="2819" width="35.7109375" bestFit="1" customWidth="1"/>
    <col min="2820" max="2820" width="18.28515625" customWidth="1"/>
    <col min="2821" max="2821" width="16.42578125" customWidth="1"/>
    <col min="2822" max="2822" width="16.85546875" customWidth="1"/>
    <col min="3074" max="3074" width="23.7109375" customWidth="1"/>
    <col min="3075" max="3075" width="35.7109375" bestFit="1" customWidth="1"/>
    <col min="3076" max="3076" width="18.28515625" customWidth="1"/>
    <col min="3077" max="3077" width="16.42578125" customWidth="1"/>
    <col min="3078" max="3078" width="16.85546875" customWidth="1"/>
    <col min="3330" max="3330" width="23.7109375" customWidth="1"/>
    <col min="3331" max="3331" width="35.7109375" bestFit="1" customWidth="1"/>
    <col min="3332" max="3332" width="18.28515625" customWidth="1"/>
    <col min="3333" max="3333" width="16.42578125" customWidth="1"/>
    <col min="3334" max="3334" width="16.85546875" customWidth="1"/>
    <col min="3586" max="3586" width="23.7109375" customWidth="1"/>
    <col min="3587" max="3587" width="35.7109375" bestFit="1" customWidth="1"/>
    <col min="3588" max="3588" width="18.28515625" customWidth="1"/>
    <col min="3589" max="3589" width="16.42578125" customWidth="1"/>
    <col min="3590" max="3590" width="16.85546875" customWidth="1"/>
    <col min="3842" max="3842" width="23.7109375" customWidth="1"/>
    <col min="3843" max="3843" width="35.7109375" bestFit="1" customWidth="1"/>
    <col min="3844" max="3844" width="18.28515625" customWidth="1"/>
    <col min="3845" max="3845" width="16.42578125" customWidth="1"/>
    <col min="3846" max="3846" width="16.85546875" customWidth="1"/>
    <col min="4098" max="4098" width="23.7109375" customWidth="1"/>
    <col min="4099" max="4099" width="35.7109375" bestFit="1" customWidth="1"/>
    <col min="4100" max="4100" width="18.28515625" customWidth="1"/>
    <col min="4101" max="4101" width="16.42578125" customWidth="1"/>
    <col min="4102" max="4102" width="16.85546875" customWidth="1"/>
    <col min="4354" max="4354" width="23.7109375" customWidth="1"/>
    <col min="4355" max="4355" width="35.7109375" bestFit="1" customWidth="1"/>
    <col min="4356" max="4356" width="18.28515625" customWidth="1"/>
    <col min="4357" max="4357" width="16.42578125" customWidth="1"/>
    <col min="4358" max="4358" width="16.85546875" customWidth="1"/>
    <col min="4610" max="4610" width="23.7109375" customWidth="1"/>
    <col min="4611" max="4611" width="35.7109375" bestFit="1" customWidth="1"/>
    <col min="4612" max="4612" width="18.28515625" customWidth="1"/>
    <col min="4613" max="4613" width="16.42578125" customWidth="1"/>
    <col min="4614" max="4614" width="16.85546875" customWidth="1"/>
    <col min="4866" max="4866" width="23.7109375" customWidth="1"/>
    <col min="4867" max="4867" width="35.7109375" bestFit="1" customWidth="1"/>
    <col min="4868" max="4868" width="18.28515625" customWidth="1"/>
    <col min="4869" max="4869" width="16.42578125" customWidth="1"/>
    <col min="4870" max="4870" width="16.85546875" customWidth="1"/>
    <col min="5122" max="5122" width="23.7109375" customWidth="1"/>
    <col min="5123" max="5123" width="35.7109375" bestFit="1" customWidth="1"/>
    <col min="5124" max="5124" width="18.28515625" customWidth="1"/>
    <col min="5125" max="5125" width="16.42578125" customWidth="1"/>
    <col min="5126" max="5126" width="16.85546875" customWidth="1"/>
    <col min="5378" max="5378" width="23.7109375" customWidth="1"/>
    <col min="5379" max="5379" width="35.7109375" bestFit="1" customWidth="1"/>
    <col min="5380" max="5380" width="18.28515625" customWidth="1"/>
    <col min="5381" max="5381" width="16.42578125" customWidth="1"/>
    <col min="5382" max="5382" width="16.85546875" customWidth="1"/>
    <col min="5634" max="5634" width="23.7109375" customWidth="1"/>
    <col min="5635" max="5635" width="35.7109375" bestFit="1" customWidth="1"/>
    <col min="5636" max="5636" width="18.28515625" customWidth="1"/>
    <col min="5637" max="5637" width="16.42578125" customWidth="1"/>
    <col min="5638" max="5638" width="16.85546875" customWidth="1"/>
    <col min="5890" max="5890" width="23.7109375" customWidth="1"/>
    <col min="5891" max="5891" width="35.7109375" bestFit="1" customWidth="1"/>
    <col min="5892" max="5892" width="18.28515625" customWidth="1"/>
    <col min="5893" max="5893" width="16.42578125" customWidth="1"/>
    <col min="5894" max="5894" width="16.85546875" customWidth="1"/>
    <col min="6146" max="6146" width="23.7109375" customWidth="1"/>
    <col min="6147" max="6147" width="35.7109375" bestFit="1" customWidth="1"/>
    <col min="6148" max="6148" width="18.28515625" customWidth="1"/>
    <col min="6149" max="6149" width="16.42578125" customWidth="1"/>
    <col min="6150" max="6150" width="16.85546875" customWidth="1"/>
    <col min="6402" max="6402" width="23.7109375" customWidth="1"/>
    <col min="6403" max="6403" width="35.7109375" bestFit="1" customWidth="1"/>
    <col min="6404" max="6404" width="18.28515625" customWidth="1"/>
    <col min="6405" max="6405" width="16.42578125" customWidth="1"/>
    <col min="6406" max="6406" width="16.85546875" customWidth="1"/>
    <col min="6658" max="6658" width="23.7109375" customWidth="1"/>
    <col min="6659" max="6659" width="35.7109375" bestFit="1" customWidth="1"/>
    <col min="6660" max="6660" width="18.28515625" customWidth="1"/>
    <col min="6661" max="6661" width="16.42578125" customWidth="1"/>
    <col min="6662" max="6662" width="16.85546875" customWidth="1"/>
    <col min="6914" max="6914" width="23.7109375" customWidth="1"/>
    <col min="6915" max="6915" width="35.7109375" bestFit="1" customWidth="1"/>
    <col min="6916" max="6916" width="18.28515625" customWidth="1"/>
    <col min="6917" max="6917" width="16.42578125" customWidth="1"/>
    <col min="6918" max="6918" width="16.85546875" customWidth="1"/>
    <col min="7170" max="7170" width="23.7109375" customWidth="1"/>
    <col min="7171" max="7171" width="35.7109375" bestFit="1" customWidth="1"/>
    <col min="7172" max="7172" width="18.28515625" customWidth="1"/>
    <col min="7173" max="7173" width="16.42578125" customWidth="1"/>
    <col min="7174" max="7174" width="16.85546875" customWidth="1"/>
    <col min="7426" max="7426" width="23.7109375" customWidth="1"/>
    <col min="7427" max="7427" width="35.7109375" bestFit="1" customWidth="1"/>
    <col min="7428" max="7428" width="18.28515625" customWidth="1"/>
    <col min="7429" max="7429" width="16.42578125" customWidth="1"/>
    <col min="7430" max="7430" width="16.85546875" customWidth="1"/>
    <col min="7682" max="7682" width="23.7109375" customWidth="1"/>
    <col min="7683" max="7683" width="35.7109375" bestFit="1" customWidth="1"/>
    <col min="7684" max="7684" width="18.28515625" customWidth="1"/>
    <col min="7685" max="7685" width="16.42578125" customWidth="1"/>
    <col min="7686" max="7686" width="16.85546875" customWidth="1"/>
    <col min="7938" max="7938" width="23.7109375" customWidth="1"/>
    <col min="7939" max="7939" width="35.7109375" bestFit="1" customWidth="1"/>
    <col min="7940" max="7940" width="18.28515625" customWidth="1"/>
    <col min="7941" max="7941" width="16.42578125" customWidth="1"/>
    <col min="7942" max="7942" width="16.85546875" customWidth="1"/>
    <col min="8194" max="8194" width="23.7109375" customWidth="1"/>
    <col min="8195" max="8195" width="35.7109375" bestFit="1" customWidth="1"/>
    <col min="8196" max="8196" width="18.28515625" customWidth="1"/>
    <col min="8197" max="8197" width="16.42578125" customWidth="1"/>
    <col min="8198" max="8198" width="16.85546875" customWidth="1"/>
    <col min="8450" max="8450" width="23.7109375" customWidth="1"/>
    <col min="8451" max="8451" width="35.7109375" bestFit="1" customWidth="1"/>
    <col min="8452" max="8452" width="18.28515625" customWidth="1"/>
    <col min="8453" max="8453" width="16.42578125" customWidth="1"/>
    <col min="8454" max="8454" width="16.85546875" customWidth="1"/>
    <col min="8706" max="8706" width="23.7109375" customWidth="1"/>
    <col min="8707" max="8707" width="35.7109375" bestFit="1" customWidth="1"/>
    <col min="8708" max="8708" width="18.28515625" customWidth="1"/>
    <col min="8709" max="8709" width="16.42578125" customWidth="1"/>
    <col min="8710" max="8710" width="16.85546875" customWidth="1"/>
    <col min="8962" max="8962" width="23.7109375" customWidth="1"/>
    <col min="8963" max="8963" width="35.7109375" bestFit="1" customWidth="1"/>
    <col min="8964" max="8964" width="18.28515625" customWidth="1"/>
    <col min="8965" max="8965" width="16.42578125" customWidth="1"/>
    <col min="8966" max="8966" width="16.85546875" customWidth="1"/>
    <col min="9218" max="9218" width="23.7109375" customWidth="1"/>
    <col min="9219" max="9219" width="35.7109375" bestFit="1" customWidth="1"/>
    <col min="9220" max="9220" width="18.28515625" customWidth="1"/>
    <col min="9221" max="9221" width="16.42578125" customWidth="1"/>
    <col min="9222" max="9222" width="16.85546875" customWidth="1"/>
    <col min="9474" max="9474" width="23.7109375" customWidth="1"/>
    <col min="9475" max="9475" width="35.7109375" bestFit="1" customWidth="1"/>
    <col min="9476" max="9476" width="18.28515625" customWidth="1"/>
    <col min="9477" max="9477" width="16.42578125" customWidth="1"/>
    <col min="9478" max="9478" width="16.85546875" customWidth="1"/>
    <col min="9730" max="9730" width="23.7109375" customWidth="1"/>
    <col min="9731" max="9731" width="35.7109375" bestFit="1" customWidth="1"/>
    <col min="9732" max="9732" width="18.28515625" customWidth="1"/>
    <col min="9733" max="9733" width="16.42578125" customWidth="1"/>
    <col min="9734" max="9734" width="16.85546875" customWidth="1"/>
    <col min="9986" max="9986" width="23.7109375" customWidth="1"/>
    <col min="9987" max="9987" width="35.7109375" bestFit="1" customWidth="1"/>
    <col min="9988" max="9988" width="18.28515625" customWidth="1"/>
    <col min="9989" max="9989" width="16.42578125" customWidth="1"/>
    <col min="9990" max="9990" width="16.85546875" customWidth="1"/>
    <col min="10242" max="10242" width="23.7109375" customWidth="1"/>
    <col min="10243" max="10243" width="35.7109375" bestFit="1" customWidth="1"/>
    <col min="10244" max="10244" width="18.28515625" customWidth="1"/>
    <col min="10245" max="10245" width="16.42578125" customWidth="1"/>
    <col min="10246" max="10246" width="16.85546875" customWidth="1"/>
    <col min="10498" max="10498" width="23.7109375" customWidth="1"/>
    <col min="10499" max="10499" width="35.7109375" bestFit="1" customWidth="1"/>
    <col min="10500" max="10500" width="18.28515625" customWidth="1"/>
    <col min="10501" max="10501" width="16.42578125" customWidth="1"/>
    <col min="10502" max="10502" width="16.85546875" customWidth="1"/>
    <col min="10754" max="10754" width="23.7109375" customWidth="1"/>
    <col min="10755" max="10755" width="35.7109375" bestFit="1" customWidth="1"/>
    <col min="10756" max="10756" width="18.28515625" customWidth="1"/>
    <col min="10757" max="10757" width="16.42578125" customWidth="1"/>
    <col min="10758" max="10758" width="16.85546875" customWidth="1"/>
    <col min="11010" max="11010" width="23.7109375" customWidth="1"/>
    <col min="11011" max="11011" width="35.7109375" bestFit="1" customWidth="1"/>
    <col min="11012" max="11012" width="18.28515625" customWidth="1"/>
    <col min="11013" max="11013" width="16.42578125" customWidth="1"/>
    <col min="11014" max="11014" width="16.85546875" customWidth="1"/>
    <col min="11266" max="11266" width="23.7109375" customWidth="1"/>
    <col min="11267" max="11267" width="35.7109375" bestFit="1" customWidth="1"/>
    <col min="11268" max="11268" width="18.28515625" customWidth="1"/>
    <col min="11269" max="11269" width="16.42578125" customWidth="1"/>
    <col min="11270" max="11270" width="16.85546875" customWidth="1"/>
    <col min="11522" max="11522" width="23.7109375" customWidth="1"/>
    <col min="11523" max="11523" width="35.7109375" bestFit="1" customWidth="1"/>
    <col min="11524" max="11524" width="18.28515625" customWidth="1"/>
    <col min="11525" max="11525" width="16.42578125" customWidth="1"/>
    <col min="11526" max="11526" width="16.85546875" customWidth="1"/>
    <col min="11778" max="11778" width="23.7109375" customWidth="1"/>
    <col min="11779" max="11779" width="35.7109375" bestFit="1" customWidth="1"/>
    <col min="11780" max="11780" width="18.28515625" customWidth="1"/>
    <col min="11781" max="11781" width="16.42578125" customWidth="1"/>
    <col min="11782" max="11782" width="16.85546875" customWidth="1"/>
    <col min="12034" max="12034" width="23.7109375" customWidth="1"/>
    <col min="12035" max="12035" width="35.7109375" bestFit="1" customWidth="1"/>
    <col min="12036" max="12036" width="18.28515625" customWidth="1"/>
    <col min="12037" max="12037" width="16.42578125" customWidth="1"/>
    <col min="12038" max="12038" width="16.85546875" customWidth="1"/>
    <col min="12290" max="12290" width="23.7109375" customWidth="1"/>
    <col min="12291" max="12291" width="35.7109375" bestFit="1" customWidth="1"/>
    <col min="12292" max="12292" width="18.28515625" customWidth="1"/>
    <col min="12293" max="12293" width="16.42578125" customWidth="1"/>
    <col min="12294" max="12294" width="16.85546875" customWidth="1"/>
    <col min="12546" max="12546" width="23.7109375" customWidth="1"/>
    <col min="12547" max="12547" width="35.7109375" bestFit="1" customWidth="1"/>
    <col min="12548" max="12548" width="18.28515625" customWidth="1"/>
    <col min="12549" max="12549" width="16.42578125" customWidth="1"/>
    <col min="12550" max="12550" width="16.85546875" customWidth="1"/>
    <col min="12802" max="12802" width="23.7109375" customWidth="1"/>
    <col min="12803" max="12803" width="35.7109375" bestFit="1" customWidth="1"/>
    <col min="12804" max="12804" width="18.28515625" customWidth="1"/>
    <col min="12805" max="12805" width="16.42578125" customWidth="1"/>
    <col min="12806" max="12806" width="16.85546875" customWidth="1"/>
    <col min="13058" max="13058" width="23.7109375" customWidth="1"/>
    <col min="13059" max="13059" width="35.7109375" bestFit="1" customWidth="1"/>
    <col min="13060" max="13060" width="18.28515625" customWidth="1"/>
    <col min="13061" max="13061" width="16.42578125" customWidth="1"/>
    <col min="13062" max="13062" width="16.85546875" customWidth="1"/>
    <col min="13314" max="13314" width="23.7109375" customWidth="1"/>
    <col min="13315" max="13315" width="35.7109375" bestFit="1" customWidth="1"/>
    <col min="13316" max="13316" width="18.28515625" customWidth="1"/>
    <col min="13317" max="13317" width="16.42578125" customWidth="1"/>
    <col min="13318" max="13318" width="16.85546875" customWidth="1"/>
    <col min="13570" max="13570" width="23.7109375" customWidth="1"/>
    <col min="13571" max="13571" width="35.7109375" bestFit="1" customWidth="1"/>
    <col min="13572" max="13572" width="18.28515625" customWidth="1"/>
    <col min="13573" max="13573" width="16.42578125" customWidth="1"/>
    <col min="13574" max="13574" width="16.85546875" customWidth="1"/>
    <col min="13826" max="13826" width="23.7109375" customWidth="1"/>
    <col min="13827" max="13827" width="35.7109375" bestFit="1" customWidth="1"/>
    <col min="13828" max="13828" width="18.28515625" customWidth="1"/>
    <col min="13829" max="13829" width="16.42578125" customWidth="1"/>
    <col min="13830" max="13830" width="16.85546875" customWidth="1"/>
    <col min="14082" max="14082" width="23.7109375" customWidth="1"/>
    <col min="14083" max="14083" width="35.7109375" bestFit="1" customWidth="1"/>
    <col min="14084" max="14084" width="18.28515625" customWidth="1"/>
    <col min="14085" max="14085" width="16.42578125" customWidth="1"/>
    <col min="14086" max="14086" width="16.85546875" customWidth="1"/>
    <col min="14338" max="14338" width="23.7109375" customWidth="1"/>
    <col min="14339" max="14339" width="35.7109375" bestFit="1" customWidth="1"/>
    <col min="14340" max="14340" width="18.28515625" customWidth="1"/>
    <col min="14341" max="14341" width="16.42578125" customWidth="1"/>
    <col min="14342" max="14342" width="16.85546875" customWidth="1"/>
    <col min="14594" max="14594" width="23.7109375" customWidth="1"/>
    <col min="14595" max="14595" width="35.7109375" bestFit="1" customWidth="1"/>
    <col min="14596" max="14596" width="18.28515625" customWidth="1"/>
    <col min="14597" max="14597" width="16.42578125" customWidth="1"/>
    <col min="14598" max="14598" width="16.85546875" customWidth="1"/>
    <col min="14850" max="14850" width="23.7109375" customWidth="1"/>
    <col min="14851" max="14851" width="35.7109375" bestFit="1" customWidth="1"/>
    <col min="14852" max="14852" width="18.28515625" customWidth="1"/>
    <col min="14853" max="14853" width="16.42578125" customWidth="1"/>
    <col min="14854" max="14854" width="16.85546875" customWidth="1"/>
    <col min="15106" max="15106" width="23.7109375" customWidth="1"/>
    <col min="15107" max="15107" width="35.7109375" bestFit="1" customWidth="1"/>
    <col min="15108" max="15108" width="18.28515625" customWidth="1"/>
    <col min="15109" max="15109" width="16.42578125" customWidth="1"/>
    <col min="15110" max="15110" width="16.85546875" customWidth="1"/>
    <col min="15362" max="15362" width="23.7109375" customWidth="1"/>
    <col min="15363" max="15363" width="35.7109375" bestFit="1" customWidth="1"/>
    <col min="15364" max="15364" width="18.28515625" customWidth="1"/>
    <col min="15365" max="15365" width="16.42578125" customWidth="1"/>
    <col min="15366" max="15366" width="16.85546875" customWidth="1"/>
    <col min="15618" max="15618" width="23.7109375" customWidth="1"/>
    <col min="15619" max="15619" width="35.7109375" bestFit="1" customWidth="1"/>
    <col min="15620" max="15620" width="18.28515625" customWidth="1"/>
    <col min="15621" max="15621" width="16.42578125" customWidth="1"/>
    <col min="15622" max="15622" width="16.85546875" customWidth="1"/>
    <col min="15874" max="15874" width="23.7109375" customWidth="1"/>
    <col min="15875" max="15875" width="35.7109375" bestFit="1" customWidth="1"/>
    <col min="15876" max="15876" width="18.28515625" customWidth="1"/>
    <col min="15877" max="15877" width="16.42578125" customWidth="1"/>
    <col min="15878" max="15878" width="16.85546875" customWidth="1"/>
    <col min="16130" max="16130" width="23.7109375" customWidth="1"/>
    <col min="16131" max="16131" width="35.7109375" bestFit="1" customWidth="1"/>
    <col min="16132" max="16132" width="18.28515625" customWidth="1"/>
    <col min="16133" max="16133" width="16.42578125" customWidth="1"/>
    <col min="16134" max="16134" width="16.85546875" customWidth="1"/>
  </cols>
  <sheetData>
    <row r="2" spans="2:10">
      <c r="G2">
        <f ca="1">TODAY()</f>
        <v>46224</v>
      </c>
    </row>
    <row r="3" spans="2:10">
      <c r="B3" s="646" t="s">
        <v>771</v>
      </c>
      <c r="C3" s="646"/>
      <c r="D3" s="646"/>
      <c r="E3" s="646"/>
      <c r="F3" s="646"/>
    </row>
    <row r="4" spans="2:10" ht="24">
      <c r="B4" s="261" t="s">
        <v>326</v>
      </c>
      <c r="C4" s="59" t="s">
        <v>327</v>
      </c>
      <c r="D4" s="49" t="s">
        <v>328</v>
      </c>
      <c r="E4" s="60" t="s">
        <v>329</v>
      </c>
      <c r="F4" s="49" t="s">
        <v>772</v>
      </c>
      <c r="I4" s="194"/>
    </row>
    <row r="5" spans="2:10">
      <c r="B5" s="61" t="s">
        <v>331</v>
      </c>
      <c r="C5" s="62" t="s">
        <v>773</v>
      </c>
      <c r="D5" s="63">
        <v>26135</v>
      </c>
      <c r="E5" s="64">
        <v>11347839</v>
      </c>
      <c r="F5" s="65">
        <f>C19*20</f>
        <v>102694960</v>
      </c>
      <c r="G5" s="196">
        <f ca="1">($G$2-D5)/365</f>
        <v>55.038356164383565</v>
      </c>
      <c r="I5" s="194"/>
      <c r="J5" s="195"/>
    </row>
    <row r="6" spans="2:10" ht="24">
      <c r="B6" s="61" t="s">
        <v>774</v>
      </c>
      <c r="C6" s="62" t="s">
        <v>775</v>
      </c>
      <c r="D6" s="63">
        <v>32738</v>
      </c>
      <c r="E6" s="64">
        <v>1070305176</v>
      </c>
      <c r="F6" s="65">
        <f>C19*20</f>
        <v>102694960</v>
      </c>
      <c r="G6" s="196">
        <f t="shared" ref="G6:G17" ca="1" si="0">($G$2-D6)/365</f>
        <v>36.947945205479449</v>
      </c>
    </row>
    <row r="7" spans="2:10">
      <c r="B7" s="61" t="s">
        <v>776</v>
      </c>
      <c r="C7" s="109" t="s">
        <v>777</v>
      </c>
      <c r="D7" s="63">
        <v>28100</v>
      </c>
      <c r="E7" s="64">
        <v>80541286</v>
      </c>
      <c r="F7" s="65">
        <f>C19*20</f>
        <v>102694960</v>
      </c>
      <c r="G7" s="196">
        <f t="shared" ca="1" si="0"/>
        <v>49.654794520547945</v>
      </c>
    </row>
    <row r="8" spans="2:10">
      <c r="B8" s="61" t="s">
        <v>776</v>
      </c>
      <c r="C8" s="109" t="s">
        <v>778</v>
      </c>
      <c r="D8" s="63">
        <v>33433</v>
      </c>
      <c r="E8" s="66">
        <v>1075664167</v>
      </c>
      <c r="F8" s="65">
        <f>C19*20</f>
        <v>102694960</v>
      </c>
      <c r="G8" s="196">
        <f t="shared" ca="1" si="0"/>
        <v>35.043835616438358</v>
      </c>
    </row>
    <row r="9" spans="2:10">
      <c r="B9" s="61" t="s">
        <v>776</v>
      </c>
      <c r="C9" s="109" t="s">
        <v>779</v>
      </c>
      <c r="D9" s="63">
        <v>31254</v>
      </c>
      <c r="E9" s="64">
        <v>35428919</v>
      </c>
      <c r="F9" s="65">
        <f>C19*20</f>
        <v>102694960</v>
      </c>
      <c r="G9" s="196">
        <f t="shared" ca="1" si="0"/>
        <v>41.013698630136986</v>
      </c>
    </row>
    <row r="10" spans="2:10">
      <c r="B10" s="61" t="s">
        <v>776</v>
      </c>
      <c r="C10" s="109" t="s">
        <v>780</v>
      </c>
      <c r="D10" s="63">
        <v>29077</v>
      </c>
      <c r="E10" s="64">
        <v>2986770</v>
      </c>
      <c r="F10" s="65">
        <f>C19*20</f>
        <v>102694960</v>
      </c>
      <c r="G10" s="196">
        <f t="shared" ca="1" si="0"/>
        <v>46.978082191780821</v>
      </c>
    </row>
    <row r="11" spans="2:10" ht="24" customHeight="1">
      <c r="B11" s="61" t="s">
        <v>776</v>
      </c>
      <c r="C11" s="109" t="s">
        <v>781</v>
      </c>
      <c r="D11" s="63">
        <v>24739</v>
      </c>
      <c r="E11" s="64">
        <v>2986153</v>
      </c>
      <c r="F11" s="65">
        <f>C19*20</f>
        <v>102694960</v>
      </c>
      <c r="G11" s="196">
        <f t="shared" ca="1" si="0"/>
        <v>58.863013698630134</v>
      </c>
    </row>
    <row r="12" spans="2:10" ht="31.5" customHeight="1">
      <c r="B12" s="61" t="s">
        <v>776</v>
      </c>
      <c r="C12" s="109" t="s">
        <v>782</v>
      </c>
      <c r="D12" s="63">
        <v>26090</v>
      </c>
      <c r="E12" s="64">
        <v>80376379</v>
      </c>
      <c r="F12" s="65">
        <f>C19*20</f>
        <v>102694960</v>
      </c>
      <c r="G12" s="196">
        <f t="shared" ca="1" si="0"/>
        <v>55.161643835616438</v>
      </c>
    </row>
    <row r="13" spans="2:10" ht="26.25" customHeight="1">
      <c r="B13" s="61" t="s">
        <v>776</v>
      </c>
      <c r="C13" s="109" t="s">
        <v>783</v>
      </c>
      <c r="D13" s="63">
        <v>30413</v>
      </c>
      <c r="E13" s="64">
        <v>80547811</v>
      </c>
      <c r="F13" s="65">
        <f>C19*20</f>
        <v>102694960</v>
      </c>
      <c r="G13" s="196">
        <f t="shared" ca="1" si="0"/>
        <v>43.317808219178083</v>
      </c>
    </row>
    <row r="14" spans="2:10" ht="22.5" customHeight="1">
      <c r="B14" s="61" t="s">
        <v>776</v>
      </c>
      <c r="C14" s="109" t="s">
        <v>784</v>
      </c>
      <c r="D14" s="63">
        <v>27331</v>
      </c>
      <c r="E14" s="64">
        <v>2986558</v>
      </c>
      <c r="F14" s="65">
        <f>C19*20</f>
        <v>102694960</v>
      </c>
      <c r="G14" s="196">
        <f t="shared" ca="1" si="0"/>
        <v>51.761643835616439</v>
      </c>
    </row>
    <row r="15" spans="2:10">
      <c r="B15" s="61" t="s">
        <v>776</v>
      </c>
      <c r="C15" s="109" t="s">
        <v>785</v>
      </c>
      <c r="D15" s="63">
        <v>26842</v>
      </c>
      <c r="E15" s="64">
        <v>11349175</v>
      </c>
      <c r="F15" s="65">
        <f>C19*20</f>
        <v>102694960</v>
      </c>
      <c r="G15" s="196">
        <f t="shared" ca="1" si="0"/>
        <v>53.101369863013701</v>
      </c>
    </row>
    <row r="16" spans="2:10">
      <c r="B16" s="61" t="s">
        <v>776</v>
      </c>
      <c r="C16" s="109" t="s">
        <v>786</v>
      </c>
      <c r="D16" s="63">
        <v>24085</v>
      </c>
      <c r="E16" s="64">
        <v>2986019</v>
      </c>
      <c r="F16" s="65">
        <f>C19*20</f>
        <v>102694960</v>
      </c>
      <c r="G16" s="196">
        <f t="shared" ca="1" si="0"/>
        <v>60.654794520547945</v>
      </c>
    </row>
    <row r="17" spans="2:7">
      <c r="B17" s="61" t="s">
        <v>776</v>
      </c>
      <c r="C17" s="109" t="s">
        <v>787</v>
      </c>
      <c r="D17" s="63">
        <v>28470</v>
      </c>
      <c r="E17" s="64">
        <v>2986701</v>
      </c>
      <c r="F17" s="65">
        <f>C19*20</f>
        <v>102694960</v>
      </c>
      <c r="G17" s="196">
        <f t="shared" ca="1" si="0"/>
        <v>48.641095890410959</v>
      </c>
    </row>
    <row r="19" spans="2:7" ht="33.75">
      <c r="B19" s="34" t="s">
        <v>788</v>
      </c>
      <c r="C19" s="35">
        <v>5134748</v>
      </c>
    </row>
    <row r="21" spans="2:7">
      <c r="F21" s="231">
        <v>2380000</v>
      </c>
      <c r="G21" s="232">
        <v>184</v>
      </c>
    </row>
    <row r="22" spans="2:7">
      <c r="F22" s="233">
        <f>F21*G22/G21</f>
        <v>4721195.6521739131</v>
      </c>
      <c r="G22" s="232">
        <v>365</v>
      </c>
    </row>
    <row r="23" spans="2:7">
      <c r="F23" s="234"/>
      <c r="G23" s="234"/>
    </row>
    <row r="24" spans="2:7">
      <c r="F24" s="231">
        <v>1335034480</v>
      </c>
      <c r="G24" s="234"/>
    </row>
    <row r="25" spans="2:7">
      <c r="F25" s="234"/>
      <c r="G25" s="234"/>
    </row>
    <row r="26" spans="2:7">
      <c r="F26" s="232">
        <f>F22/F24*1000</f>
        <v>3.5363848072103075</v>
      </c>
      <c r="G26" s="234"/>
    </row>
    <row r="27" spans="2:7">
      <c r="F27" s="234"/>
      <c r="G27" s="234"/>
    </row>
  </sheetData>
  <mergeCells count="1">
    <mergeCell ref="B3:F3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497FF197188947AE83A45CC8C26BE2" ma:contentTypeVersion="13" ma:contentTypeDescription="Crear nuevo documento." ma:contentTypeScope="" ma:versionID="19938b79679f324fac9d6154c35ca2be">
  <xsd:schema xmlns:xsd="http://www.w3.org/2001/XMLSchema" xmlns:xs="http://www.w3.org/2001/XMLSchema" xmlns:p="http://schemas.microsoft.com/office/2006/metadata/properties" xmlns:ns2="cd1edd13-ef02-45ac-bb2b-5a50ee617a5d" xmlns:ns3="5adc8b20-41f6-4714-84b1-843594edfd0c" targetNamespace="http://schemas.microsoft.com/office/2006/metadata/properties" ma:root="true" ma:fieldsID="4c68bb7214b1c80f90e3d10630c93b3e" ns2:_="" ns3:_="">
    <xsd:import namespace="cd1edd13-ef02-45ac-bb2b-5a50ee617a5d"/>
    <xsd:import namespace="5adc8b20-41f6-4714-84b1-843594edfd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1edd13-ef02-45ac-bb2b-5a50ee617a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1750fa01-e385-48a7-b723-330ec7e8e7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dc8b20-41f6-4714-84b1-843594edfd0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6278734-1ba2-4acd-a11e-abfa2fcf2556}" ma:internalName="TaxCatchAll" ma:showField="CatchAllData" ma:web="5adc8b20-41f6-4714-84b1-843594edfd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dc8b20-41f6-4714-84b1-843594edfd0c" xsi:nil="true"/>
    <lcf76f155ced4ddcb4097134ff3c332f xmlns="cd1edd13-ef02-45ac-bb2b-5a50ee617a5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119EB8-060A-46D8-83AB-69732C3BB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1edd13-ef02-45ac-bb2b-5a50ee617a5d"/>
    <ds:schemaRef ds:uri="5adc8b20-41f6-4714-84b1-843594edfd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F1E511-3E9F-41B6-8E36-A70AD91D9CA7}">
  <ds:schemaRefs>
    <ds:schemaRef ds:uri="01cb89a3-358f-488f-89f7-7278f128fb56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1be004ff-a407-417d-b643-55a1d134aec9"/>
    <ds:schemaRef ds:uri="http://schemas.microsoft.com/office/2006/metadata/properties"/>
    <ds:schemaRef ds:uri="http://www.w3.org/XML/1998/namespace"/>
    <ds:schemaRef ds:uri="5adc8b20-41f6-4714-84b1-843594edfd0c"/>
    <ds:schemaRef ds:uri="cd1edd13-ef02-45ac-bb2b-5a50ee617a5d"/>
  </ds:schemaRefs>
</ds:datastoreItem>
</file>

<file path=customXml/itemProps3.xml><?xml version="1.0" encoding="utf-8"?>
<ds:datastoreItem xmlns:ds="http://schemas.openxmlformats.org/officeDocument/2006/customXml" ds:itemID="{2E22C0F6-E02D-46DC-8696-A5EF0A33BD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6</vt:i4>
      </vt:variant>
    </vt:vector>
  </HeadingPairs>
  <TitlesOfParts>
    <vt:vector size="35" baseType="lpstr">
      <vt:lpstr>RESUMEN  MV</vt:lpstr>
      <vt:lpstr>RESUMEN </vt:lpstr>
      <vt:lpstr>DEDUCIBLES</vt:lpstr>
      <vt:lpstr>RESUMEN</vt:lpstr>
      <vt:lpstr>EDIFICIOS Y TERRENOS</vt:lpstr>
      <vt:lpstr>CONTENIDOS - ENSERES - OTROS</vt:lpstr>
      <vt:lpstr>VEHIC Y MAQUI. REPOSO</vt:lpstr>
      <vt:lpstr>EQ ELEC - DATOS -COM - PORTAT.</vt:lpstr>
      <vt:lpstr>TR. MAQUINARIA Y EQUIPO</vt:lpstr>
      <vt:lpstr>AUTOMOVILES</vt:lpstr>
      <vt:lpstr>SOAT1</vt:lpstr>
      <vt:lpstr>Hoja1</vt:lpstr>
      <vt:lpstr>RC SERV. PUBLICOS</vt:lpstr>
      <vt:lpstr>MANEJO</vt:lpstr>
      <vt:lpstr>RCE</vt:lpstr>
      <vt:lpstr>RC CONTRACTUAL OCUP</vt:lpstr>
      <vt:lpstr>VIDA GRUPO</vt:lpstr>
      <vt:lpstr>SEGUROS SOAT</vt:lpstr>
      <vt:lpstr>Hoja4</vt:lpstr>
      <vt:lpstr>VIDA CONCEJALES</vt:lpstr>
      <vt:lpstr>distr. tasa </vt:lpstr>
      <vt:lpstr>ESTUDIO MERCADOS</vt:lpstr>
      <vt:lpstr>EDIFICACIONES</vt:lpstr>
      <vt:lpstr>AUTOS</vt:lpstr>
      <vt:lpstr>REPOSO</vt:lpstr>
      <vt:lpstr>SOAT</vt:lpstr>
      <vt:lpstr>M&amp;E</vt:lpstr>
      <vt:lpstr>ACCIDENTES PASAJEROS</vt:lpstr>
      <vt:lpstr>VG</vt:lpstr>
      <vt:lpstr>'distr. tasa '!Área_de_impresión</vt:lpstr>
      <vt:lpstr>'RESUMEN '!Área_de_impresión</vt:lpstr>
      <vt:lpstr>'RESUMEN  MV'!Área_de_impresión</vt:lpstr>
      <vt:lpstr>'ESTUDIO MERCADOS'!Títulos_a_imprimir</vt:lpstr>
      <vt:lpstr>'RESUMEN '!Títulos_a_imprimir</vt:lpstr>
      <vt:lpstr>'RESUMEN  MV'!Títulos_a_imprimir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SUSANA OSPINA SALAS</dc:creator>
  <cp:keywords/>
  <dc:description/>
  <cp:lastModifiedBy>PERSONAL</cp:lastModifiedBy>
  <cp:revision/>
  <cp:lastPrinted>2024-05-10T20:28:42Z</cp:lastPrinted>
  <dcterms:created xsi:type="dcterms:W3CDTF">2013-03-12T23:53:40Z</dcterms:created>
  <dcterms:modified xsi:type="dcterms:W3CDTF">2026-07-21T15:26:53Z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0x010100EA497FF197188947AE83A45CC8C26BE2</vt:lpwstr>
  </property>
  <property fmtid="{D5CDD505-2E9C-101B-9397-08002B2CF9AE}" pid="3" name="MediaServiceImageTags">
    <vt:lpwstr/>
  </property>
</Properties>
</file>