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ABEL LOAIZA\Documentos\2. CODAZZI 2026\CANCHAS\"/>
    </mc:Choice>
  </mc:AlternateContent>
  <xr:revisionPtr revIDLastSave="0" documentId="8_{36E50D54-3184-42AE-BFB9-DAB46E703D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 (Entida (2)" sheetId="10" r:id="rId1"/>
    <sheet name="PPT PRINCIPAL" sheetId="8" r:id="rId2"/>
    <sheet name="PPT" sheetId="1" r:id="rId3"/>
    <sheet name="APU" sheetId="5" r:id="rId4"/>
    <sheet name="INSUMOS" sheetId="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 (2)'!$I$11:$I$100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3">APU!$B$2:$G$249</definedName>
    <definedName name="_xlnm.Print_Area" localSheetId="2">PPT!$B$3:$J$103</definedName>
    <definedName name="_xlnm.Print_Area" localSheetId="1">'PPT PRINCIPAL'!$D$4:$J$30</definedName>
    <definedName name="_xlnm.Print_Area" localSheetId="0">'PRESUPUESTO OFICIAL (Entida (2)'!$A$1:$M$116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 (2)'!#REF!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 (2)'!$K$111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 (2)'!$K$111</definedName>
    <definedName name="solver_pre" localSheetId="0" hidden="1">0.000001</definedName>
    <definedName name="solver_rel1" localSheetId="0" hidden="1">2</definedName>
    <definedName name="solver_rhs1" localSheetId="0" hidden="1">'PRESUPUESTO OFICIAL (Entida (2)'!$K$112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4">#N/A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6" i="10" l="1"/>
  <c r="K105" i="10"/>
  <c r="K104" i="10"/>
  <c r="K103" i="10"/>
  <c r="K113" i="10"/>
  <c r="K112" i="10"/>
  <c r="K111" i="10"/>
  <c r="K110" i="10"/>
  <c r="K102" i="10"/>
  <c r="G96" i="10"/>
  <c r="H96" i="10"/>
  <c r="I96" i="10"/>
  <c r="J96" i="10"/>
  <c r="K96" i="10"/>
  <c r="K99" i="10" s="1"/>
  <c r="G97" i="10"/>
  <c r="H97" i="10"/>
  <c r="I97" i="10"/>
  <c r="J97" i="10"/>
  <c r="K97" i="10"/>
  <c r="G98" i="10"/>
  <c r="H98" i="10"/>
  <c r="I98" i="10"/>
  <c r="J98" i="10"/>
  <c r="K98" i="10"/>
  <c r="G88" i="10"/>
  <c r="H88" i="10"/>
  <c r="I88" i="10"/>
  <c r="J88" i="10"/>
  <c r="K88" i="10"/>
  <c r="K94" i="10" s="1"/>
  <c r="G89" i="10"/>
  <c r="H89" i="10"/>
  <c r="I89" i="10"/>
  <c r="J89" i="10"/>
  <c r="K89" i="10"/>
  <c r="G90" i="10"/>
  <c r="H90" i="10"/>
  <c r="I90" i="10"/>
  <c r="J90" i="10"/>
  <c r="K90" i="10"/>
  <c r="G91" i="10"/>
  <c r="H91" i="10"/>
  <c r="I91" i="10"/>
  <c r="J91" i="10"/>
  <c r="K91" i="10"/>
  <c r="G92" i="10"/>
  <c r="H92" i="10"/>
  <c r="I92" i="10"/>
  <c r="J92" i="10"/>
  <c r="K92" i="10"/>
  <c r="G93" i="10"/>
  <c r="H93" i="10"/>
  <c r="I93" i="10"/>
  <c r="J93" i="10"/>
  <c r="K93" i="10"/>
  <c r="G81" i="10"/>
  <c r="H81" i="10"/>
  <c r="I81" i="10"/>
  <c r="J81" i="10"/>
  <c r="K81" i="10"/>
  <c r="G82" i="10"/>
  <c r="H82" i="10"/>
  <c r="I82" i="10"/>
  <c r="J82" i="10"/>
  <c r="K82" i="10"/>
  <c r="G83" i="10"/>
  <c r="H83" i="10"/>
  <c r="I83" i="10"/>
  <c r="J83" i="10"/>
  <c r="K83" i="10"/>
  <c r="G84" i="10"/>
  <c r="H84" i="10"/>
  <c r="I84" i="10"/>
  <c r="J84" i="10"/>
  <c r="K84" i="10"/>
  <c r="G85" i="10"/>
  <c r="H85" i="10"/>
  <c r="I85" i="10"/>
  <c r="J85" i="10"/>
  <c r="K85" i="10"/>
  <c r="G75" i="10"/>
  <c r="H75" i="10"/>
  <c r="I75" i="10"/>
  <c r="J75" i="10"/>
  <c r="K75" i="10"/>
  <c r="G76" i="10"/>
  <c r="H76" i="10"/>
  <c r="I76" i="10"/>
  <c r="J76" i="10"/>
  <c r="K76" i="10"/>
  <c r="G77" i="10"/>
  <c r="H77" i="10"/>
  <c r="I77" i="10"/>
  <c r="J77" i="10"/>
  <c r="K77" i="10"/>
  <c r="G78" i="10"/>
  <c r="H78" i="10"/>
  <c r="I78" i="10"/>
  <c r="J78" i="10"/>
  <c r="K78" i="10"/>
  <c r="G67" i="10"/>
  <c r="H67" i="10"/>
  <c r="I67" i="10"/>
  <c r="J67" i="10"/>
  <c r="K67" i="10"/>
  <c r="G68" i="10"/>
  <c r="H68" i="10"/>
  <c r="I68" i="10"/>
  <c r="J68" i="10"/>
  <c r="K68" i="10"/>
  <c r="G69" i="10"/>
  <c r="H69" i="10"/>
  <c r="I69" i="10"/>
  <c r="J69" i="10"/>
  <c r="K69" i="10"/>
  <c r="G70" i="10"/>
  <c r="H70" i="10"/>
  <c r="I70" i="10"/>
  <c r="J70" i="10"/>
  <c r="K70" i="10"/>
  <c r="G71" i="10"/>
  <c r="H71" i="10"/>
  <c r="I71" i="10"/>
  <c r="J71" i="10"/>
  <c r="K71" i="10"/>
  <c r="G72" i="10"/>
  <c r="H72" i="10"/>
  <c r="I72" i="10"/>
  <c r="J72" i="10"/>
  <c r="K72" i="10"/>
  <c r="G59" i="10"/>
  <c r="H59" i="10"/>
  <c r="I59" i="10"/>
  <c r="J59" i="10"/>
  <c r="K59" i="10"/>
  <c r="G60" i="10"/>
  <c r="H60" i="10"/>
  <c r="I60" i="10"/>
  <c r="J60" i="10"/>
  <c r="K60" i="10"/>
  <c r="G61" i="10"/>
  <c r="H61" i="10"/>
  <c r="I61" i="10"/>
  <c r="J61" i="10"/>
  <c r="K61" i="10"/>
  <c r="G62" i="10"/>
  <c r="H62" i="10"/>
  <c r="I62" i="10"/>
  <c r="J62" i="10"/>
  <c r="K62" i="10"/>
  <c r="G63" i="10"/>
  <c r="H63" i="10"/>
  <c r="I63" i="10"/>
  <c r="J63" i="10"/>
  <c r="K63" i="10"/>
  <c r="G64" i="10"/>
  <c r="H64" i="10"/>
  <c r="I64" i="10"/>
  <c r="J64" i="10"/>
  <c r="K64" i="10"/>
  <c r="G51" i="10"/>
  <c r="H51" i="10"/>
  <c r="I51" i="10"/>
  <c r="J51" i="10"/>
  <c r="K51" i="10"/>
  <c r="G52" i="10"/>
  <c r="H52" i="10"/>
  <c r="I52" i="10"/>
  <c r="J52" i="10"/>
  <c r="K52" i="10"/>
  <c r="G53" i="10"/>
  <c r="H53" i="10"/>
  <c r="I53" i="10"/>
  <c r="J53" i="10"/>
  <c r="K53" i="10"/>
  <c r="G54" i="10"/>
  <c r="H54" i="10"/>
  <c r="I54" i="10"/>
  <c r="J54" i="10"/>
  <c r="K54" i="10"/>
  <c r="G55" i="10"/>
  <c r="H55" i="10"/>
  <c r="I55" i="10"/>
  <c r="J55" i="10"/>
  <c r="K55" i="10"/>
  <c r="G56" i="10"/>
  <c r="H56" i="10"/>
  <c r="I56" i="10"/>
  <c r="J56" i="10"/>
  <c r="K56" i="10"/>
  <c r="G43" i="10"/>
  <c r="H43" i="10"/>
  <c r="I43" i="10"/>
  <c r="J43" i="10"/>
  <c r="K43" i="10"/>
  <c r="G44" i="10"/>
  <c r="H44" i="10"/>
  <c r="I44" i="10"/>
  <c r="J44" i="10"/>
  <c r="K44" i="10"/>
  <c r="G45" i="10"/>
  <c r="H45" i="10"/>
  <c r="I45" i="10"/>
  <c r="J45" i="10"/>
  <c r="K45" i="10"/>
  <c r="G46" i="10"/>
  <c r="H46" i="10"/>
  <c r="I46" i="10"/>
  <c r="J46" i="10"/>
  <c r="K46" i="10"/>
  <c r="G47" i="10"/>
  <c r="H47" i="10"/>
  <c r="I47" i="10"/>
  <c r="J47" i="10"/>
  <c r="K47" i="10"/>
  <c r="G48" i="10"/>
  <c r="H48" i="10"/>
  <c r="I48" i="10"/>
  <c r="J48" i="10"/>
  <c r="K48" i="10"/>
  <c r="J38" i="10"/>
  <c r="K38" i="10"/>
  <c r="J39" i="10"/>
  <c r="K39" i="10"/>
  <c r="J40" i="10"/>
  <c r="K40" i="10"/>
  <c r="J31" i="10"/>
  <c r="K31" i="10"/>
  <c r="J32" i="10"/>
  <c r="K32" i="10"/>
  <c r="J33" i="10"/>
  <c r="K33" i="10"/>
  <c r="J34" i="10"/>
  <c r="K34" i="10"/>
  <c r="J35" i="10"/>
  <c r="K35" i="10"/>
  <c r="J23" i="10"/>
  <c r="K23" i="10"/>
  <c r="J24" i="10"/>
  <c r="K24" i="10"/>
  <c r="J25" i="10"/>
  <c r="K25" i="10"/>
  <c r="J26" i="10"/>
  <c r="K26" i="10"/>
  <c r="J27" i="10"/>
  <c r="K27" i="10"/>
  <c r="J28" i="10"/>
  <c r="K28" i="10"/>
  <c r="G14" i="10"/>
  <c r="H14" i="10"/>
  <c r="I14" i="10"/>
  <c r="J14" i="10"/>
  <c r="K14" i="10"/>
  <c r="G15" i="10"/>
  <c r="H15" i="10"/>
  <c r="I15" i="10"/>
  <c r="J15" i="10"/>
  <c r="K15" i="10"/>
  <c r="G16" i="10"/>
  <c r="H16" i="10"/>
  <c r="I16" i="10"/>
  <c r="J16" i="10"/>
  <c r="K16" i="10"/>
  <c r="G17" i="10"/>
  <c r="H17" i="10"/>
  <c r="I17" i="10"/>
  <c r="J17" i="10"/>
  <c r="K17" i="10"/>
  <c r="G18" i="10"/>
  <c r="H18" i="10"/>
  <c r="I18" i="10"/>
  <c r="J18" i="10"/>
  <c r="K18" i="10"/>
  <c r="G19" i="10"/>
  <c r="H19" i="10"/>
  <c r="I19" i="10"/>
  <c r="J19" i="10"/>
  <c r="K19" i="10"/>
  <c r="G20" i="10"/>
  <c r="H20" i="10"/>
  <c r="I20" i="10"/>
  <c r="J20" i="10"/>
  <c r="K20" i="10"/>
  <c r="E22" i="8"/>
  <c r="E21" i="8"/>
  <c r="E20" i="8"/>
  <c r="E19" i="8"/>
  <c r="E18" i="8"/>
  <c r="E17" i="8"/>
  <c r="E16" i="8"/>
  <c r="E15" i="8"/>
  <c r="E14" i="8"/>
  <c r="E13" i="8"/>
  <c r="E12" i="8"/>
  <c r="E11" i="8"/>
  <c r="K79" i="10" l="1"/>
  <c r="K86" i="10"/>
  <c r="K65" i="10"/>
  <c r="K73" i="10"/>
  <c r="K57" i="10"/>
  <c r="K49" i="10"/>
  <c r="K36" i="10"/>
  <c r="K41" i="10"/>
  <c r="K29" i="10"/>
  <c r="K21" i="10"/>
  <c r="E22" i="7"/>
  <c r="D26" i="7"/>
  <c r="D31" i="7"/>
  <c r="G45" i="7"/>
  <c r="F46" i="7"/>
  <c r="F48" i="7"/>
  <c r="D49" i="7"/>
  <c r="I54" i="7"/>
  <c r="G63" i="7"/>
  <c r="E106" i="7"/>
  <c r="F106" i="7" s="1"/>
  <c r="D131" i="7"/>
  <c r="D135" i="7"/>
  <c r="D144" i="7"/>
  <c r="D146" i="7" s="1"/>
  <c r="I148" i="7"/>
  <c r="H150" i="7"/>
  <c r="D155" i="7"/>
  <c r="D165" i="7"/>
  <c r="G187" i="7"/>
  <c r="G188" i="7"/>
  <c r="G195" i="7"/>
  <c r="F224" i="7"/>
  <c r="F225" i="7"/>
  <c r="F226" i="7"/>
  <c r="D233" i="7"/>
  <c r="D234" i="7"/>
  <c r="D235" i="7"/>
  <c r="D244" i="7"/>
  <c r="D245" i="7"/>
  <c r="D254" i="7"/>
  <c r="D255" i="7"/>
  <c r="D257" i="7"/>
  <c r="D258" i="7"/>
  <c r="D259" i="7"/>
  <c r="F261" i="7"/>
  <c r="D261" i="7" s="1"/>
  <c r="F262" i="7"/>
  <c r="D262" i="7" s="1"/>
  <c r="D263" i="7"/>
  <c r="D265" i="7"/>
  <c r="D272" i="7"/>
  <c r="D273" i="7"/>
  <c r="D274" i="7"/>
  <c r="D275" i="7"/>
  <c r="D276" i="7"/>
  <c r="D277" i="7"/>
  <c r="D279" i="7"/>
  <c r="D280" i="7"/>
  <c r="D281" i="7"/>
  <c r="D282" i="7"/>
  <c r="D283" i="7"/>
  <c r="F284" i="7"/>
  <c r="D284" i="7" s="1"/>
  <c r="D285" i="7"/>
  <c r="D286" i="7"/>
  <c r="F287" i="7"/>
  <c r="D287" i="7" s="1"/>
  <c r="D288" i="7"/>
  <c r="D289" i="7"/>
  <c r="D290" i="7"/>
  <c r="D291" i="7"/>
  <c r="F292" i="7"/>
  <c r="D292" i="7" s="1"/>
  <c r="D293" i="7"/>
  <c r="D294" i="7"/>
  <c r="F295" i="7"/>
  <c r="D295" i="7" s="1"/>
  <c r="D296" i="7"/>
  <c r="F297" i="7"/>
  <c r="D297" i="7" s="1"/>
  <c r="F298" i="7"/>
  <c r="D298" i="7" s="1"/>
  <c r="D299" i="7"/>
  <c r="F300" i="7"/>
  <c r="D300" i="7" s="1"/>
  <c r="D301" i="7"/>
  <c r="F302" i="7"/>
  <c r="D302" i="7" s="1"/>
  <c r="F303" i="7"/>
  <c r="D303" i="7" s="1"/>
  <c r="F304" i="7"/>
  <c r="D304" i="7" s="1"/>
  <c r="F305" i="7"/>
  <c r="D305" i="7" s="1"/>
  <c r="F306" i="7"/>
  <c r="D306" i="7" s="1"/>
  <c r="F307" i="7"/>
  <c r="D307" i="7" s="1"/>
  <c r="D308" i="7"/>
  <c r="D309" i="7"/>
  <c r="D310" i="7"/>
  <c r="D311" i="7"/>
  <c r="D312" i="7"/>
  <c r="D314" i="7"/>
  <c r="D315" i="7"/>
  <c r="D338" i="7"/>
  <c r="D339" i="7"/>
  <c r="D340" i="7"/>
  <c r="D348" i="7"/>
  <c r="D349" i="7"/>
  <c r="D350" i="7"/>
  <c r="D351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85" i="7"/>
  <c r="D387" i="7"/>
  <c r="D411" i="7"/>
  <c r="D412" i="7"/>
  <c r="D413" i="7"/>
  <c r="D420" i="7"/>
  <c r="D424" i="7"/>
  <c r="D440" i="7"/>
  <c r="D444" i="7"/>
  <c r="D446" i="7"/>
  <c r="D448" i="7"/>
  <c r="D449" i="7"/>
  <c r="D450" i="7"/>
  <c r="D451" i="7"/>
  <c r="D452" i="7"/>
  <c r="D453" i="7"/>
  <c r="D454" i="7"/>
  <c r="D455" i="7"/>
  <c r="D456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41" i="7"/>
  <c r="D542" i="7"/>
  <c r="D543" i="7"/>
  <c r="D544" i="7"/>
  <c r="F545" i="7"/>
  <c r="D545" i="7" s="1"/>
  <c r="F546" i="7"/>
  <c r="D546" i="7" s="1"/>
  <c r="F547" i="7"/>
  <c r="D547" i="7" s="1"/>
  <c r="F548" i="7"/>
  <c r="D548" i="7" s="1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70" i="7"/>
  <c r="F572" i="7"/>
  <c r="D572" i="7" s="1"/>
  <c r="D573" i="7"/>
  <c r="D574" i="7"/>
  <c r="D575" i="7"/>
  <c r="F576" i="7"/>
  <c r="D577" i="7"/>
  <c r="D578" i="7"/>
  <c r="F581" i="7"/>
  <c r="F588" i="7"/>
  <c r="F589" i="7" s="1"/>
  <c r="F591" i="7"/>
  <c r="D591" i="7" s="1"/>
  <c r="D592" i="7"/>
  <c r="D593" i="7"/>
  <c r="D594" i="7"/>
  <c r="D595" i="7"/>
  <c r="D596" i="7"/>
  <c r="D597" i="7"/>
  <c r="D598" i="7"/>
  <c r="D599" i="7"/>
  <c r="D600" i="7"/>
  <c r="D601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F628" i="7"/>
  <c r="D628" i="7" s="1"/>
  <c r="D629" i="7"/>
  <c r="D630" i="7"/>
  <c r="D631" i="7"/>
  <c r="D632" i="7"/>
  <c r="D633" i="7"/>
  <c r="D634" i="7"/>
  <c r="D635" i="7"/>
  <c r="D636" i="7"/>
  <c r="D637" i="7"/>
  <c r="D638" i="7"/>
  <c r="D639" i="7"/>
  <c r="D640" i="7"/>
  <c r="D641" i="7"/>
  <c r="D642" i="7"/>
  <c r="F643" i="7"/>
  <c r="D643" i="7" s="1"/>
  <c r="F644" i="7"/>
  <c r="D644" i="7" s="1"/>
  <c r="D645" i="7"/>
  <c r="F646" i="7"/>
  <c r="D646" i="7" s="1"/>
  <c r="F647" i="7"/>
  <c r="D647" i="7" s="1"/>
  <c r="D648" i="7"/>
  <c r="D649" i="7"/>
  <c r="D650" i="7"/>
  <c r="D651" i="7"/>
  <c r="D652" i="7"/>
  <c r="D653" i="7"/>
  <c r="D654" i="7"/>
  <c r="D656" i="7"/>
  <c r="D657" i="7"/>
  <c r="F659" i="7"/>
  <c r="F661" i="7"/>
  <c r="D662" i="7"/>
  <c r="F667" i="7"/>
  <c r="D667" i="7" s="1"/>
  <c r="D681" i="7"/>
  <c r="D683" i="7"/>
  <c r="D684" i="7"/>
  <c r="D685" i="7"/>
  <c r="D759" i="7"/>
  <c r="D760" i="7"/>
  <c r="D762" i="7"/>
  <c r="D763" i="7"/>
  <c r="D764" i="7"/>
  <c r="D765" i="7"/>
  <c r="D768" i="7"/>
  <c r="D769" i="7"/>
  <c r="D772" i="7"/>
  <c r="D807" i="7"/>
  <c r="D808" i="7"/>
  <c r="D809" i="7"/>
  <c r="D810" i="7"/>
  <c r="D814" i="7"/>
  <c r="D815" i="7"/>
  <c r="D816" i="7"/>
  <c r="D817" i="7"/>
  <c r="B840" i="7"/>
  <c r="D840" i="7"/>
  <c r="B841" i="7"/>
  <c r="D841" i="7"/>
  <c r="D842" i="7"/>
  <c r="D843" i="7"/>
  <c r="D844" i="7"/>
  <c r="D845" i="7"/>
  <c r="D846" i="7"/>
  <c r="D847" i="7"/>
  <c r="D848" i="7"/>
  <c r="D849" i="7"/>
  <c r="D850" i="7"/>
  <c r="D852" i="7"/>
  <c r="D853" i="7"/>
  <c r="D854" i="7"/>
  <c r="D855" i="7"/>
  <c r="D856" i="7"/>
  <c r="E898" i="7"/>
  <c r="E1282" i="7"/>
  <c r="D880" i="7" l="1"/>
  <c r="D851" i="7" l="1"/>
  <c r="E242" i="5" l="1"/>
  <c r="C242" i="5"/>
  <c r="B242" i="5"/>
  <c r="D237" i="5"/>
  <c r="B237" i="5"/>
  <c r="E236" i="5"/>
  <c r="D236" i="5"/>
  <c r="B236" i="5"/>
  <c r="E230" i="5"/>
  <c r="D230" i="5"/>
  <c r="B230" i="5"/>
  <c r="E215" i="5"/>
  <c r="C215" i="5"/>
  <c r="B215" i="5"/>
  <c r="E209" i="5"/>
  <c r="D209" i="5"/>
  <c r="B209" i="5"/>
  <c r="E203" i="5"/>
  <c r="D203" i="5"/>
  <c r="B203" i="5"/>
  <c r="E188" i="5"/>
  <c r="C188" i="5"/>
  <c r="B188" i="5"/>
  <c r="D183" i="5"/>
  <c r="B183" i="5"/>
  <c r="B181" i="5"/>
  <c r="E180" i="5"/>
  <c r="D180" i="5"/>
  <c r="B180" i="5"/>
  <c r="E174" i="5"/>
  <c r="D174" i="5"/>
  <c r="B174" i="5"/>
  <c r="E152" i="5"/>
  <c r="D152" i="5"/>
  <c r="B152" i="5"/>
  <c r="E146" i="5"/>
  <c r="D146" i="5"/>
  <c r="B146" i="5"/>
  <c r="C136" i="5"/>
  <c r="D125" i="5"/>
  <c r="B125" i="5"/>
  <c r="E104" i="5"/>
  <c r="C104" i="5"/>
  <c r="B104" i="5"/>
  <c r="D99" i="5"/>
  <c r="E99" i="5"/>
  <c r="B99" i="5"/>
  <c r="D71" i="5"/>
  <c r="D70" i="5"/>
  <c r="B71" i="5"/>
  <c r="B70" i="5"/>
  <c r="B65" i="5"/>
  <c r="C50" i="5"/>
  <c r="D44" i="5"/>
  <c r="B44" i="5"/>
  <c r="E43" i="5"/>
  <c r="D43" i="5"/>
  <c r="B43" i="5"/>
  <c r="D42" i="5"/>
  <c r="B42" i="5"/>
  <c r="B22" i="5"/>
  <c r="D16" i="5"/>
  <c r="B16" i="5"/>
  <c r="D15" i="5"/>
  <c r="B15" i="5"/>
  <c r="D14" i="5"/>
  <c r="B14" i="5"/>
  <c r="E237" i="5" l="1"/>
  <c r="G242" i="5"/>
  <c r="G237" i="5"/>
  <c r="G236" i="5"/>
  <c r="E210" i="5"/>
  <c r="G210" i="5" s="1"/>
  <c r="D210" i="5"/>
  <c r="B210" i="5"/>
  <c r="G215" i="5"/>
  <c r="G209" i="5"/>
  <c r="E183" i="5"/>
  <c r="G183" i="5" s="1"/>
  <c r="E182" i="5"/>
  <c r="G182" i="5" s="1"/>
  <c r="D182" i="5"/>
  <c r="B182" i="5"/>
  <c r="E181" i="5"/>
  <c r="G181" i="5" s="1"/>
  <c r="D181" i="5"/>
  <c r="G180" i="5"/>
  <c r="G188" i="5"/>
  <c r="E154" i="5"/>
  <c r="G154" i="5" s="1"/>
  <c r="D154" i="5"/>
  <c r="B154" i="5"/>
  <c r="E153" i="5"/>
  <c r="G153" i="5" s="1"/>
  <c r="D153" i="5"/>
  <c r="B153" i="5"/>
  <c r="E159" i="5"/>
  <c r="G159" i="5" s="1"/>
  <c r="C159" i="5"/>
  <c r="B159" i="5"/>
  <c r="G152" i="5"/>
  <c r="E125" i="5"/>
  <c r="G125" i="5" s="1"/>
  <c r="F136" i="5"/>
  <c r="G136" i="5" s="1"/>
  <c r="G137" i="5" s="1"/>
  <c r="B136" i="5"/>
  <c r="E131" i="5"/>
  <c r="G131" i="5" s="1"/>
  <c r="G132" i="5" s="1"/>
  <c r="G119" i="5" s="1"/>
  <c r="G120" i="5" s="1"/>
  <c r="C131" i="5"/>
  <c r="B131" i="5"/>
  <c r="E124" i="5"/>
  <c r="G124" i="5" s="1"/>
  <c r="D124" i="5"/>
  <c r="B124" i="5"/>
  <c r="C115" i="5"/>
  <c r="E98" i="5"/>
  <c r="G98" i="5" s="1"/>
  <c r="B98" i="5"/>
  <c r="E97" i="5"/>
  <c r="G97" i="5" s="1"/>
  <c r="D97" i="5"/>
  <c r="B97" i="5"/>
  <c r="G110" i="5"/>
  <c r="G104" i="5"/>
  <c r="G105" i="5" s="1"/>
  <c r="G92" i="5" s="1"/>
  <c r="G93" i="5" s="1"/>
  <c r="G99" i="5"/>
  <c r="D98" i="5"/>
  <c r="C88" i="5"/>
  <c r="E77" i="5"/>
  <c r="G77" i="5" s="1"/>
  <c r="G78" i="5" s="1"/>
  <c r="B77" i="5"/>
  <c r="E65" i="5"/>
  <c r="G65" i="5" s="1"/>
  <c r="E71" i="5"/>
  <c r="G71" i="5" s="1"/>
  <c r="E70" i="5"/>
  <c r="G70" i="5" s="1"/>
  <c r="G83" i="5"/>
  <c r="C77" i="5"/>
  <c r="E50" i="5"/>
  <c r="G50" i="5" s="1"/>
  <c r="G51" i="5" s="1"/>
  <c r="G37" i="5" s="1"/>
  <c r="G38" i="5" s="1"/>
  <c r="B50" i="5"/>
  <c r="E44" i="5"/>
  <c r="G43" i="5"/>
  <c r="E42" i="5"/>
  <c r="G42" i="5" s="1"/>
  <c r="E22" i="5"/>
  <c r="G22" i="5" s="1"/>
  <c r="G23" i="5" s="1"/>
  <c r="G9" i="5" s="1"/>
  <c r="G10" i="5" s="1"/>
  <c r="E16" i="5"/>
  <c r="G16" i="5" s="1"/>
  <c r="E15" i="5"/>
  <c r="G15" i="5" s="1"/>
  <c r="E14" i="5"/>
  <c r="G14" i="5" s="1"/>
  <c r="G56" i="5"/>
  <c r="G44" i="5"/>
  <c r="G28" i="5"/>
  <c r="C22" i="5"/>
  <c r="G3" i="5"/>
  <c r="G238" i="5" l="1"/>
  <c r="G247" i="5" s="1"/>
  <c r="G248" i="5" s="1"/>
  <c r="G230" i="5"/>
  <c r="G243" i="5"/>
  <c r="G231" i="5" s="1"/>
  <c r="G184" i="5"/>
  <c r="G193" i="5" s="1"/>
  <c r="G194" i="5" s="1"/>
  <c r="G211" i="5"/>
  <c r="G220" i="5" s="1"/>
  <c r="G221" i="5" s="1"/>
  <c r="G203" i="5"/>
  <c r="G216" i="5"/>
  <c r="G204" i="5" s="1"/>
  <c r="G66" i="5"/>
  <c r="G189" i="5"/>
  <c r="G175" i="5" s="1"/>
  <c r="G174" i="5"/>
  <c r="G155" i="5"/>
  <c r="G164" i="5" s="1"/>
  <c r="G165" i="5" s="1"/>
  <c r="G160" i="5"/>
  <c r="G147" i="5" s="1"/>
  <c r="G146" i="5"/>
  <c r="G126" i="5"/>
  <c r="G127" i="5" s="1"/>
  <c r="G138" i="5" s="1"/>
  <c r="G100" i="5"/>
  <c r="G111" i="5" s="1"/>
  <c r="G72" i="5"/>
  <c r="G73" i="5" s="1"/>
  <c r="G45" i="5"/>
  <c r="G46" i="5" s="1"/>
  <c r="G57" i="5" s="1"/>
  <c r="G17" i="5"/>
  <c r="G18" i="5" s="1"/>
  <c r="G29" i="5" s="1"/>
  <c r="G148" i="5" l="1"/>
  <c r="G176" i="5"/>
  <c r="G24" i="1"/>
  <c r="H24" i="1" s="1"/>
  <c r="G81" i="1"/>
  <c r="G44" i="1"/>
  <c r="G68" i="1"/>
  <c r="H68" i="1" s="1"/>
  <c r="G60" i="1"/>
  <c r="G52" i="1"/>
  <c r="G32" i="1"/>
  <c r="G14" i="1"/>
  <c r="G67" i="1"/>
  <c r="H67" i="1" s="1"/>
  <c r="G43" i="1"/>
  <c r="G51" i="1"/>
  <c r="G31" i="1"/>
  <c r="G96" i="1"/>
  <c r="G88" i="1"/>
  <c r="G23" i="1"/>
  <c r="H23" i="1" s="1"/>
  <c r="G59" i="1"/>
  <c r="G82" i="1"/>
  <c r="G232" i="5"/>
  <c r="G249" i="5" s="1"/>
  <c r="G84" i="5"/>
  <c r="G205" i="5"/>
  <c r="G222" i="5" s="1"/>
  <c r="G90" i="1" s="1"/>
  <c r="G80" i="1"/>
  <c r="G22" i="1"/>
  <c r="H22" i="1" s="1"/>
  <c r="G58" i="1"/>
  <c r="G50" i="1"/>
  <c r="G42" i="1"/>
  <c r="G87" i="1"/>
  <c r="G74" i="1"/>
  <c r="G13" i="1"/>
  <c r="G37" i="1"/>
  <c r="G66" i="1"/>
  <c r="H66" i="1" s="1"/>
  <c r="G30" i="1"/>
  <c r="G195" i="5"/>
  <c r="G45" i="1" s="1"/>
  <c r="G166" i="5"/>
  <c r="G38" i="1"/>
  <c r="G26" i="1"/>
  <c r="H26" i="1" s="1"/>
  <c r="G18" i="1"/>
  <c r="G70" i="1"/>
  <c r="H70" i="1" s="1"/>
  <c r="G53" i="1"/>
  <c r="G95" i="1"/>
  <c r="G83" i="1"/>
  <c r="G76" i="1"/>
  <c r="G15" i="1"/>
  <c r="G89" i="1"/>
  <c r="G12" i="1" l="1"/>
  <c r="G57" i="1"/>
  <c r="G79" i="1"/>
  <c r="G65" i="1"/>
  <c r="H65" i="1" s="1"/>
  <c r="G21" i="1"/>
  <c r="H21" i="1" s="1"/>
  <c r="G73" i="1"/>
  <c r="G49" i="1"/>
  <c r="G41" i="1"/>
  <c r="G36" i="1"/>
  <c r="G94" i="1"/>
  <c r="G29" i="1"/>
  <c r="G75" i="1"/>
  <c r="G61" i="1"/>
  <c r="G25" i="1"/>
  <c r="H25" i="1" s="1"/>
  <c r="G17" i="1"/>
  <c r="G62" i="1"/>
  <c r="G54" i="1"/>
  <c r="G46" i="1"/>
  <c r="G91" i="1"/>
  <c r="G69" i="1"/>
  <c r="H69" i="1" s="1"/>
  <c r="G33" i="1"/>
  <c r="G16" i="1"/>
  <c r="D20" i="1" l="1"/>
  <c r="I12" i="8" s="1"/>
  <c r="D64" i="1"/>
  <c r="I18" i="8" s="1"/>
  <c r="H82" i="1"/>
  <c r="H96" i="1" l="1"/>
  <c r="H95" i="1"/>
  <c r="H94" i="1"/>
  <c r="H57" i="1"/>
  <c r="H58" i="1"/>
  <c r="H59" i="1"/>
  <c r="H60" i="1"/>
  <c r="H61" i="1"/>
  <c r="H62" i="1"/>
  <c r="H18" i="1"/>
  <c r="H13" i="1"/>
  <c r="H14" i="1"/>
  <c r="H15" i="1"/>
  <c r="H16" i="1"/>
  <c r="H17" i="1"/>
  <c r="H12" i="1"/>
  <c r="D10" i="1" s="1"/>
  <c r="I11" i="8" s="1"/>
  <c r="H87" i="1"/>
  <c r="H88" i="1"/>
  <c r="H89" i="1"/>
  <c r="H90" i="1"/>
  <c r="H91" i="1"/>
  <c r="H86" i="1"/>
  <c r="H80" i="1"/>
  <c r="H81" i="1"/>
  <c r="H83" i="1"/>
  <c r="H79" i="1"/>
  <c r="H74" i="1"/>
  <c r="H75" i="1"/>
  <c r="H76" i="1"/>
  <c r="H73" i="1"/>
  <c r="D72" i="1" s="1"/>
  <c r="I19" i="8" s="1"/>
  <c r="H50" i="1"/>
  <c r="H51" i="1"/>
  <c r="H52" i="1"/>
  <c r="H53" i="1"/>
  <c r="H54" i="1"/>
  <c r="H49" i="1"/>
  <c r="H42" i="1"/>
  <c r="H43" i="1"/>
  <c r="H44" i="1"/>
  <c r="H45" i="1"/>
  <c r="H46" i="1"/>
  <c r="H41" i="1"/>
  <c r="H37" i="1"/>
  <c r="H38" i="1"/>
  <c r="H36" i="1"/>
  <c r="D35" i="1" s="1"/>
  <c r="I14" i="8" s="1"/>
  <c r="H30" i="1"/>
  <c r="H31" i="1"/>
  <c r="H32" i="1"/>
  <c r="H33" i="1"/>
  <c r="H29" i="1"/>
  <c r="D93" i="1" l="1"/>
  <c r="I22" i="8" s="1"/>
  <c r="D85" i="1"/>
  <c r="I21" i="8" s="1"/>
  <c r="D78" i="1"/>
  <c r="I20" i="8" s="1"/>
  <c r="D48" i="1"/>
  <c r="I16" i="8" s="1"/>
  <c r="D56" i="1"/>
  <c r="I17" i="8" s="1"/>
  <c r="D40" i="1"/>
  <c r="I15" i="8" s="1"/>
  <c r="D28" i="1"/>
  <c r="H99" i="1" l="1"/>
  <c r="H102" i="1" s="1"/>
  <c r="I13" i="8"/>
  <c r="I25" i="8" s="1"/>
  <c r="H101" i="1"/>
  <c r="H100" i="1"/>
  <c r="I27" i="8" l="1"/>
  <c r="I28" i="8"/>
  <c r="I26" i="8"/>
  <c r="I29" i="8" s="1"/>
  <c r="H10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Jefe de Interventori</author>
  </authors>
  <commentList>
    <comment ref="B4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Jefe de Interventori:</t>
        </r>
        <r>
          <rPr>
            <sz val="9"/>
            <color indexed="81"/>
            <rFont val="Tahoma"/>
            <family val="2"/>
          </rPr>
          <t xml:space="preserve">
añadir especificaciones tecnias ( Marca del material )
</t>
        </r>
      </text>
    </comment>
    <comment ref="B9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Jefe de Interventori:</t>
        </r>
        <r>
          <rPr>
            <sz val="9"/>
            <color indexed="81"/>
            <rFont val="Tahoma"/>
            <family val="2"/>
          </rPr>
          <t xml:space="preserve">
especificar tecnicamente el objeto a comprar y señalar en tomo de la gobernacion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Jefe de Interventori</author>
    <author>User</author>
  </authors>
  <commentList>
    <comment ref="A6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Jefe de Interventori:</t>
        </r>
        <r>
          <rPr>
            <sz val="9"/>
            <color indexed="81"/>
            <rFont val="Tahoma"/>
            <family val="2"/>
          </rPr>
          <t xml:space="preserve">
actualixar precios a utilizar 
</t>
        </r>
      </text>
    </comment>
    <comment ref="B186" authorId="1" shapeId="0" xr:uid="{00000000-0006-0000-04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SIKAFLEX 15 LM SL</t>
        </r>
      </text>
    </comment>
    <comment ref="F251" authorId="1" shapeId="0" xr:uid="{00000000-0006-0000-04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SIN TRANSPORTE 32.387 - TRANSPORTE POR M2 $ 11.849</t>
        </r>
      </text>
    </comment>
    <comment ref="F254" authorId="1" shapeId="0" xr:uid="{00000000-0006-0000-0400-00000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SIN TRANSPORTE 32.387 - TRANSPORTE POR M2 $ 11.849</t>
        </r>
      </text>
    </comment>
    <comment ref="B880" authorId="1" shapeId="0" xr:uid="{00000000-0006-0000-0400-00000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NOTA: COPIAR ESTE RENGLON, CELDA D = +C8, CELDA E=SUMA DE MATERIALES A INCREMENTAR</t>
        </r>
      </text>
    </comment>
  </commentList>
</comments>
</file>

<file path=xl/sharedStrings.xml><?xml version="1.0" encoding="utf-8"?>
<sst xmlns="http://schemas.openxmlformats.org/spreadsheetml/2006/main" count="2754" uniqueCount="1174">
  <si>
    <t>CANCHA BARRIO QUINCE DE NOVIEMBRE</t>
  </si>
  <si>
    <t>ITEM</t>
  </si>
  <si>
    <t>DESCRIPCIÓN</t>
  </si>
  <si>
    <t>UND</t>
  </si>
  <si>
    <t>CANT</t>
  </si>
  <si>
    <t>VLR UNIT</t>
  </si>
  <si>
    <t>VLR TOTAL</t>
  </si>
  <si>
    <t>1.1</t>
  </si>
  <si>
    <t>1.2</t>
  </si>
  <si>
    <t>1.3</t>
  </si>
  <si>
    <t>1.4</t>
  </si>
  <si>
    <t>1.5</t>
  </si>
  <si>
    <t>1.6</t>
  </si>
  <si>
    <t>1.7</t>
  </si>
  <si>
    <t>SUBTOTAL</t>
  </si>
  <si>
    <t>CANCHA BARRIO EL OBRERO</t>
  </si>
  <si>
    <t>2.1</t>
  </si>
  <si>
    <t>2.2</t>
  </si>
  <si>
    <t>2.3</t>
  </si>
  <si>
    <t>2.4</t>
  </si>
  <si>
    <t>2.5</t>
  </si>
  <si>
    <t>2.6</t>
  </si>
  <si>
    <t>CANCHA BARRIO PRIMERO DE MAYO</t>
  </si>
  <si>
    <t>3.1</t>
  </si>
  <si>
    <t>3.2</t>
  </si>
  <si>
    <t>3.3</t>
  </si>
  <si>
    <t>3.4</t>
  </si>
  <si>
    <t>3.5</t>
  </si>
  <si>
    <t>CANCHA PARQUE DE LA GUITARRA</t>
  </si>
  <si>
    <t>4.1</t>
  </si>
  <si>
    <t>4.2</t>
  </si>
  <si>
    <t>4.3</t>
  </si>
  <si>
    <t>5.1</t>
  </si>
  <si>
    <t>5.2</t>
  </si>
  <si>
    <t>5.3</t>
  </si>
  <si>
    <t>5.4</t>
  </si>
  <si>
    <t>5.5</t>
  </si>
  <si>
    <t>5.6</t>
  </si>
  <si>
    <t>CANCHA PARQUE LA SALCHIPAPA</t>
  </si>
  <si>
    <t>6.1</t>
  </si>
  <si>
    <t>6.2</t>
  </si>
  <si>
    <t>6.3</t>
  </si>
  <si>
    <t>6.4</t>
  </si>
  <si>
    <t>6.5</t>
  </si>
  <si>
    <t>6.6</t>
  </si>
  <si>
    <t>CANCHA BARRIO INSTITUTO</t>
  </si>
  <si>
    <t>7.1</t>
  </si>
  <si>
    <t>7.2</t>
  </si>
  <si>
    <t>7.3</t>
  </si>
  <si>
    <t>7.4</t>
  </si>
  <si>
    <t>7.5</t>
  </si>
  <si>
    <t>7.6</t>
  </si>
  <si>
    <t>CANCHA BARRIO LA ANTILLANA</t>
  </si>
  <si>
    <t>8.1</t>
  </si>
  <si>
    <t>8.2</t>
  </si>
  <si>
    <t>8.3</t>
  </si>
  <si>
    <t>8.4</t>
  </si>
  <si>
    <t>8.5</t>
  </si>
  <si>
    <t>8.6</t>
  </si>
  <si>
    <t>9.1</t>
  </si>
  <si>
    <t>9.2</t>
  </si>
  <si>
    <t>9.3</t>
  </si>
  <si>
    <t>9.4</t>
  </si>
  <si>
    <t>10.1</t>
  </si>
  <si>
    <t>10.2</t>
  </si>
  <si>
    <t>10.3</t>
  </si>
  <si>
    <t>10.4</t>
  </si>
  <si>
    <t>11.1</t>
  </si>
  <si>
    <t>11.2</t>
  </si>
  <si>
    <t>11.3</t>
  </si>
  <si>
    <t>11.4</t>
  </si>
  <si>
    <t>11.5</t>
  </si>
  <si>
    <t>ML</t>
  </si>
  <si>
    <t>11.6</t>
  </si>
  <si>
    <t>CANCHA BARRIO SAN JOSÉ</t>
  </si>
  <si>
    <t>CANCHA PARQUE LA ESPERANZA</t>
  </si>
  <si>
    <t>CANCHA PARQUE EL SOCORRO</t>
  </si>
  <si>
    <t>CANCHA BARRIO EL TESORO</t>
  </si>
  <si>
    <t>12.1</t>
  </si>
  <si>
    <t>12.2</t>
  </si>
  <si>
    <t>12.3</t>
  </si>
  <si>
    <t>CANCHA LLERASCA</t>
  </si>
  <si>
    <t>GLB</t>
  </si>
  <si>
    <t>KG</t>
  </si>
  <si>
    <t>GL</t>
  </si>
  <si>
    <t>10.5</t>
  </si>
  <si>
    <t>UNIDAD</t>
  </si>
  <si>
    <t>VINILO TIPO 1 VINILTEX O SIMILAR</t>
  </si>
  <si>
    <t>GAL</t>
  </si>
  <si>
    <t>PINTURA ANTICORROSIVA CORROTEC O SIMILAR</t>
  </si>
  <si>
    <t>PINTURA ESMALTE PINTULUX O SIMILAR</t>
  </si>
  <si>
    <t>PINTURA PARA CANCHAS Y PISOS ANTIDESLIZANTE</t>
  </si>
  <si>
    <t>DISOLVENTE THINER</t>
  </si>
  <si>
    <t>SOLDADURA 60-11</t>
  </si>
  <si>
    <t>CERRADURA DE SOBREPONER YALE O SIMILAR</t>
  </si>
  <si>
    <t>BISAGRA GOZNE X PAR</t>
  </si>
  <si>
    <t>CUADRILLA AA - ALBAÑILERIA</t>
  </si>
  <si>
    <t>HC</t>
  </si>
  <si>
    <t>CUADRILLA CC - PINTURA</t>
  </si>
  <si>
    <t>CUADRILLA EE - ELECTRICOS</t>
  </si>
  <si>
    <t>CUADRILLA DD - CARPINTERÍA</t>
  </si>
  <si>
    <t>ANDAMIO TUBULAR</t>
  </si>
  <si>
    <t>DIA</t>
  </si>
  <si>
    <t>ANDAMIO TUBULAR CON PLANCHON</t>
  </si>
  <si>
    <t>RODILLO DE FELPA 9"</t>
  </si>
  <si>
    <t>LIJA DE AGUA NO. 150</t>
  </si>
  <si>
    <t>ALQUILER EQUIPO DE SOLDADURA 225 AMP</t>
  </si>
  <si>
    <t>BROCHA 2"</t>
  </si>
  <si>
    <t>BROCHA 3"</t>
  </si>
  <si>
    <t>PINCEL NO. 10</t>
  </si>
  <si>
    <t>PINCEL NO. 12</t>
  </si>
  <si>
    <t>AIRE ACONDICIONADO SPLIT 18.000 BTU</t>
  </si>
  <si>
    <t>TANQUE DE ALMACENAMIENTO PVC DE 2000 LTS</t>
  </si>
  <si>
    <t>RELLENO SELECCIONADO</t>
  </si>
  <si>
    <t>M3</t>
  </si>
  <si>
    <t>VIBROCOMPACTADOR TIPO RANA</t>
  </si>
  <si>
    <t>TRANSPORTE DE MATERIALES</t>
  </si>
  <si>
    <t>M3/KM</t>
  </si>
  <si>
    <t>CONCRETO 1:2:3 ELABORADO EN OBRA DE 3.000 PSI CLASE D</t>
  </si>
  <si>
    <t>ALAMBRE NEGRO NO. 17</t>
  </si>
  <si>
    <t>ACERO DE REFUERZO PDR-60</t>
  </si>
  <si>
    <t>ACARREO EN CARRETILLA DISTANCIA MAX. 100 ML</t>
  </si>
  <si>
    <t>TABLAS ALGARROBILLO 1" X 30CM X 3 MTS</t>
  </si>
  <si>
    <t>LISTON ALGARROBILLO 2" X 2" X 3MTS</t>
  </si>
  <si>
    <t>PUNTILLA CON CABEZA 2" 159UN/LB</t>
  </si>
  <si>
    <t>LB</t>
  </si>
  <si>
    <t>FORMALETA PARA COLUMNAS</t>
  </si>
  <si>
    <t>VIBRADOR DE CONCRETO</t>
  </si>
  <si>
    <t>FORMALETA PARA PLACAS AEREAS</t>
  </si>
  <si>
    <t>M2</t>
  </si>
  <si>
    <t>LAMPARA LED 100W TIPO REFLECTORA</t>
  </si>
  <si>
    <t>LAMPARA LED 50W TIPO REFLECTORA</t>
  </si>
  <si>
    <t>FOTOCELDA</t>
  </si>
  <si>
    <t>ALAMBRE SOLIDO NO. 10</t>
  </si>
  <si>
    <t>MT</t>
  </si>
  <si>
    <t>CINTA AISLANTE SUPER 33 X 20M</t>
  </si>
  <si>
    <t>ROLLO</t>
  </si>
  <si>
    <t>BREAKERS 20 AMP</t>
  </si>
  <si>
    <t>ANÁLISIS DE PRECIOS UNITARIOS</t>
  </si>
  <si>
    <t>No. DEL ÍTEM:</t>
  </si>
  <si>
    <t>UNIDAD:</t>
  </si>
  <si>
    <t>DESCRIPCIÓN DEL ÍTEM:</t>
  </si>
  <si>
    <t>PROYECTO:</t>
  </si>
  <si>
    <t>1. EQUIPO, HERRAMIENTAS Y/O MAQUINARIA</t>
  </si>
  <si>
    <t>PRECIO UNITARIO</t>
  </si>
  <si>
    <t>RENDIMIENTO</t>
  </si>
  <si>
    <t>VALOR PARCIAL</t>
  </si>
  <si>
    <t>HERRAMIENTAS MENORES</t>
  </si>
  <si>
    <t>%MO</t>
  </si>
  <si>
    <t>2. MATERIALES EN OBRA</t>
  </si>
  <si>
    <t>CANTIDAD</t>
  </si>
  <si>
    <t>DESPERDICIO</t>
  </si>
  <si>
    <t>%MT</t>
  </si>
  <si>
    <t>3. MANO DE OBRA</t>
  </si>
  <si>
    <t>TRABAJADOR</t>
  </si>
  <si>
    <t xml:space="preserve">JORNAL </t>
  </si>
  <si>
    <t>RENDIMIENTO (HORAS)</t>
  </si>
  <si>
    <t>4. TRANSPORTES</t>
  </si>
  <si>
    <t>M3 O TON</t>
  </si>
  <si>
    <t>DISTANCIA (KM)</t>
  </si>
  <si>
    <t>M3 O TON/ KM</t>
  </si>
  <si>
    <t>TARIFA/KM</t>
  </si>
  <si>
    <t>TOTAL COSTOS DIRECTOS</t>
  </si>
  <si>
    <t>CANTIDAD (M3)</t>
  </si>
  <si>
    <t>AGUA</t>
  </si>
  <si>
    <t>DETERGENTE</t>
  </si>
  <si>
    <t>HIDROLAVADORA</t>
  </si>
  <si>
    <t>SIKA -32</t>
  </si>
  <si>
    <t>MALLA ESLABONADA  GALVANIZADA 6mm</t>
  </si>
  <si>
    <t>TABLERO ACRILICO 1.22X2.44 m</t>
  </si>
  <si>
    <t>OK</t>
  </si>
  <si>
    <t>UN</t>
  </si>
  <si>
    <t>ok</t>
  </si>
  <si>
    <t>BARRAS DE UNIÓN CORRUGADO 1/2"</t>
  </si>
  <si>
    <t xml:space="preserve">PASADORES DE ACERO LISO 3/4" A 1" </t>
  </si>
  <si>
    <t>GB</t>
  </si>
  <si>
    <t>Ml</t>
  </si>
  <si>
    <t xml:space="preserve">M3 </t>
  </si>
  <si>
    <t>ITEMS</t>
  </si>
  <si>
    <t>Calle 16 No 12 - 120 - Telefax: (5) 5749671  -  e-mail: obras@gobcesar.gov.co - Valledupar, Cesar.</t>
  </si>
  <si>
    <t>PRECIOS DE REFERENCIA PARA EL DEPARTAMENTO DEL CESAR</t>
  </si>
  <si>
    <t>SECRETARIA DE INFRAESTRUCTURA</t>
  </si>
  <si>
    <t>GOBERNACION DEL CESAR</t>
  </si>
  <si>
    <t>Dia</t>
  </si>
  <si>
    <t xml:space="preserve">SOPLETE </t>
  </si>
  <si>
    <t xml:space="preserve">viaje </t>
  </si>
  <si>
    <t xml:space="preserve">VOLQUETA 6 m3 </t>
  </si>
  <si>
    <t>EQUIPO DE OXICORTE, CON ACETILENO COMO COMBUSTIBLE Y OXÍGENO COMO COMBURENTE.</t>
  </si>
  <si>
    <t>PINTURA NOVAFLEX</t>
  </si>
  <si>
    <t>YEE SN RED. 6" X 4" PAVCO.</t>
  </si>
  <si>
    <t>LADRILLO A LA VISTA BRILLANTE VITRIFICADO</t>
  </si>
  <si>
    <t>unidades</t>
  </si>
  <si>
    <t>Tapete Caucho Troquelado 45x75 cm</t>
  </si>
  <si>
    <t xml:space="preserve">KG </t>
  </si>
  <si>
    <t>ACERO UNION CORRUGA. 1/2",L=0,85, @1.20</t>
  </si>
  <si>
    <t>BURRO O FORMALETA PARA FIJACION DE LA BARRA 1/4",L=0,5</t>
  </si>
  <si>
    <t>El Dorado abril -23</t>
  </si>
  <si>
    <t xml:space="preserve">CONCRETO MR-42 </t>
  </si>
  <si>
    <t>COSTO ADICIONAL BOMBEO</t>
  </si>
  <si>
    <t xml:space="preserve">gl </t>
  </si>
  <si>
    <t>PINT VINIPLUS TERINSA BLANCO TIPO 1</t>
  </si>
  <si>
    <t xml:space="preserve">rollo </t>
  </si>
  <si>
    <t>CINTA MALLA ADHESIVA 5 CM X 90 ML</t>
  </si>
  <si>
    <t>SIKA MERULEXT I.F.A X 3.5 KLS 94388</t>
  </si>
  <si>
    <t>Pino 2X4 Pulgadas 3.2 mts Dimensionado 4.5X9.5 cm</t>
  </si>
  <si>
    <t>CABALLETE ACESCO C90 X 2MTS</t>
  </si>
  <si>
    <t>EQUIPO DE SOLDADURA ELÉCTRICA</t>
  </si>
  <si>
    <t>RECARGA ACETILENO</t>
  </si>
  <si>
    <t xml:space="preserve">RECARGA OXIGENO </t>
  </si>
  <si>
    <t>Lámina Alveolar 6mm 5.90X2.10mt Cristal</t>
  </si>
  <si>
    <t xml:space="preserve">PLUMA GRÚA CON MOTOR ELÉCTRICO, SIN OPERADOR </t>
  </si>
  <si>
    <t>MEZCLA DENSA  MDC -19</t>
  </si>
  <si>
    <t>ACARREO EN CARRETILLA DE MATERIALES, ESCOMBROS Y OTROS, DISTANCIA MAXIMA 100  ML</t>
  </si>
  <si>
    <t>Materiales pinturas - Acrilicos</t>
  </si>
  <si>
    <t>MATERIALES VARIOS PARA DEMARCACIÓN</t>
  </si>
  <si>
    <t xml:space="preserve">Carrotanque de agua(1000 Galones) </t>
  </si>
  <si>
    <t>Hr</t>
  </si>
  <si>
    <t xml:space="preserve">EQUIPO DE HUMEDECIMIENTO - Carrotanque de agua(1000 Galones) </t>
  </si>
  <si>
    <t>Motoniveladora  potencia 215 HP, ancho de cuchilla 4,27 m, peso 18 ton.</t>
  </si>
  <si>
    <t>EQUIPO DE ESTENDIDA -Motoniveladora  potencia 215 HP, ancho de cuchilla 4,27 m, peso 18 ton.</t>
  </si>
  <si>
    <t xml:space="preserve">Lubricante Pavco </t>
  </si>
  <si>
    <t xml:space="preserve">ACONDICION SUPERF NOVAFORT  </t>
  </si>
  <si>
    <t>BTO</t>
  </si>
  <si>
    <t>BOÑIGA</t>
  </si>
  <si>
    <t xml:space="preserve">PAJA-SISGO 20 KILOS                      </t>
  </si>
  <si>
    <t xml:space="preserve">CAL HIDRATADA               </t>
  </si>
  <si>
    <t>CEMENTO GRIS</t>
  </si>
  <si>
    <t xml:space="preserve">ARCILLA  PARA MUROS           </t>
  </si>
  <si>
    <t>invias</t>
  </si>
  <si>
    <t>Lt</t>
  </si>
  <si>
    <t>CAÑABRAVA</t>
  </si>
  <si>
    <t>ml</t>
  </si>
  <si>
    <t>CORTADORA CON PUNTA DE DIAMANTE</t>
  </si>
  <si>
    <t>PIEDRA</t>
  </si>
  <si>
    <t>MEZCLADORA, RANA, VIBRADOR, MOTOBOMBA SIN OPERADOR- REGLA VIBRADORA</t>
  </si>
  <si>
    <t xml:space="preserve">2 H </t>
  </si>
  <si>
    <t xml:space="preserve">COMPRESOR NEUMÁTICO CON UN MARTILLO </t>
  </si>
  <si>
    <t xml:space="preserve">ARENA LAVADA CANTERA </t>
  </si>
  <si>
    <t>KM</t>
  </si>
  <si>
    <t xml:space="preserve">TRANSPORTE 1 KM </t>
  </si>
  <si>
    <t>TRITURADO 3/4</t>
  </si>
  <si>
    <t>BASE</t>
  </si>
  <si>
    <t>SUB-BASE</t>
  </si>
  <si>
    <t>rollo</t>
  </si>
  <si>
    <t xml:space="preserve">LIENZA NYLON /100 ml </t>
  </si>
  <si>
    <t>CONCRETO 1:3:4 ELABORADO EN OBRA</t>
  </si>
  <si>
    <t>CONCRETO 1:4:8 ELABORADO EN OBRA</t>
  </si>
  <si>
    <t>CONCRETO 1:4:5 ELABORADO EN OBRA</t>
  </si>
  <si>
    <t xml:space="preserve">CONCRETO 1:2:4 ELABORADO EN OBRA - 2.500 PSI </t>
  </si>
  <si>
    <t>CONCRETO 1:2:3 ELABORADO EN OBRA-3.000PSI CLASE D</t>
  </si>
  <si>
    <t>CONCRETO 1:2:3 ELABORADO EN OBRA-3.000PSI CLASE D-IMPERMEABILIZADO</t>
  </si>
  <si>
    <t>CONCRETO 1:2:2 ELABORADO EN OBRA-4.000PSI CLASE C</t>
  </si>
  <si>
    <t>CONCRETO 1:2:2 1/2 ELABORADO EN OBRA-3.300PSI</t>
  </si>
  <si>
    <t>CONCRETO 1:1 1/2:2 ELABORADO EN OBRA</t>
  </si>
  <si>
    <t>MORTERO 1:4 IMPERMEABILIZADO</t>
  </si>
  <si>
    <t>MORTERO 1:5</t>
  </si>
  <si>
    <t>MORTERO 1:4</t>
  </si>
  <si>
    <t>MORTERO 1:3</t>
  </si>
  <si>
    <t>HR</t>
  </si>
  <si>
    <t>MANO DE OBRA CC</t>
  </si>
  <si>
    <t>MANO DE OBRA BB</t>
  </si>
  <si>
    <t>HIDROSELLO NOVAFORT (60") PAVCO</t>
  </si>
  <si>
    <t>HIDROSELLO NOVAFORT (51") PAVCO</t>
  </si>
  <si>
    <t>HIDROSELLO NOVAFORT (42") S4 PAVCO</t>
  </si>
  <si>
    <t>HIDROSELLO NOVAFORT (30") S4 PAVCO</t>
  </si>
  <si>
    <t>HIDROSELLO NOVAFORT 500 MM (20") PAVCO</t>
  </si>
  <si>
    <t>HIDROSELLO NOVAFORT 400 MM (16") PAVCO</t>
  </si>
  <si>
    <t>HIDROSELLO NOVAFORT 355 MM ( 14" ) PAVCO</t>
  </si>
  <si>
    <t>HIDROSELLO NOVAFORT 315 MM  (12")  PAVCO</t>
  </si>
  <si>
    <t>HIDROSELLO NOVAFORT 250 MM (10") PAVCO</t>
  </si>
  <si>
    <t>HIDROSELLO NOVAFORT 160 MM (6") PAVCO</t>
  </si>
  <si>
    <t>ADHESIVO EPOXICO NOVAFORT X 1/2 GALON 96</t>
  </si>
  <si>
    <t xml:space="preserve">HIDROSELLO NOVAFORT 200MM   </t>
  </si>
  <si>
    <t>Compactador de Rodillo POTENCIA: 99HP, PESO: 8 ton</t>
  </si>
  <si>
    <t>Compactador neumático de Potencia 70 HP, peso de 13 ton</t>
  </si>
  <si>
    <t xml:space="preserve">Terminadora de asfalto (Finisher), potencia en el volante 174 HP, R=20M3/H, velocidad de desplazamiento 114 m/min
</t>
  </si>
  <si>
    <t xml:space="preserve">Cesar 2.023 </t>
  </si>
  <si>
    <t>COLOMBINA PLASTICA P/SEÑALIZACION</t>
  </si>
  <si>
    <t xml:space="preserve">LADRILLO BOCADILLO DE ARCILLA </t>
  </si>
  <si>
    <t>LOSETA CEMENTO OLAS 40 x 40  TIPO ALFA O SIMILAR TRAFICO 5</t>
  </si>
  <si>
    <t>TUBO ESTRUCTURAL REDONDO TIPO COLMENA  DE 4" X 4 mm /ASTM-A-500 GRADO C</t>
  </si>
  <si>
    <t>TUBO ESTRUCTURAL REDONDO TIPO COLMENA DE 1" X 1,5 mm /ASTM-A-500 GRADO C</t>
  </si>
  <si>
    <t>TUBO ESTRUCTURAL REDONDO TIPO COLMENA DE 2" X 1,5 mm /ASTM-A-500 GRADO C</t>
  </si>
  <si>
    <t>CICLOPARQUEADERO M-100</t>
  </si>
  <si>
    <t>JUEGOS INFANTIL M - ZONAL</t>
  </si>
  <si>
    <t>COLUMPIOS POR DOS PUESTOS M - 5 A</t>
  </si>
  <si>
    <t xml:space="preserve">JUEGOS INFANTIL M - 3 A </t>
  </si>
  <si>
    <t>JUEGOS INFANTIL M - 3</t>
  </si>
  <si>
    <t>CANECAS BASURA M -120</t>
  </si>
  <si>
    <t>BOLARDO BAJO EN FUNDICION GRIS M - 62</t>
  </si>
  <si>
    <t>BOLARDO EN CONCRETO O GUARDA ACERAS, ABUZARDADO O LISO TIPOS - M - 60,M -61 M- 62, M-63</t>
  </si>
  <si>
    <t>BANCAS DE MADERA  COLONIAL M 52</t>
  </si>
  <si>
    <t>ESPALDAR SILLAS EN MALLA METALICA</t>
  </si>
  <si>
    <t>SUMINISTRO E INSTALACION DE BANCAS M 30 A CON ESPALDAR EN ACERO INOXIDABLE</t>
  </si>
  <si>
    <t>PROTECTOR DE ARBOL DOS TUBOS M 91</t>
  </si>
  <si>
    <t>Instalcion $200.000 + base Metalica $40.000</t>
  </si>
  <si>
    <t>Aire Mini split de 12.000 Btu</t>
  </si>
  <si>
    <t>LIGA  70  KILOS</t>
  </si>
  <si>
    <t xml:space="preserve">EMULSION  55 Gl </t>
  </si>
  <si>
    <t xml:space="preserve">DIA </t>
  </si>
  <si>
    <t>MOTOBOMBA A GASOLINA CON OPERADOR</t>
  </si>
  <si>
    <t>hora</t>
  </si>
  <si>
    <t>VOLQUETA 6 M3 / HORA</t>
  </si>
  <si>
    <t>LAMINA SUPERBOARD 17 mm  2.44X1.22</t>
  </si>
  <si>
    <t xml:space="preserve">PLACA SUPERBOARD 1.22 X 2.44 X 8MM </t>
  </si>
  <si>
    <t>2 H</t>
  </si>
  <si>
    <t xml:space="preserve">COMPRESOR DE DOS MARTILLOS       </t>
  </si>
  <si>
    <t>2023- Cesar</t>
  </si>
  <si>
    <t>Un</t>
  </si>
  <si>
    <t>ladrillo hueco H 15x20x30</t>
  </si>
  <si>
    <t>ladrillo hueco H 10x20x40</t>
  </si>
  <si>
    <t>ladrillo hueco H 10x20x30</t>
  </si>
  <si>
    <t>ladrillo hueco H 9x20x30</t>
  </si>
  <si>
    <t>ladrillo hueco H 7x20x30</t>
  </si>
  <si>
    <t>ladrillo a la vista rejilla "Y" 6x12x25</t>
  </si>
  <si>
    <t>LADRILLO CORRIENTE .07X.11X.22</t>
  </si>
  <si>
    <t>LADRILLO A LA VISTA .07X.12X.25-VITRIFICADO</t>
  </si>
  <si>
    <t>ladrillo a la vista brillante 7x12x25</t>
  </si>
  <si>
    <t xml:space="preserve">Tableta 33x33 graf rom com </t>
  </si>
  <si>
    <t>Tableta 33x33 liso pota bte</t>
  </si>
  <si>
    <t xml:space="preserve">Tableta 30x30 col pego </t>
  </si>
  <si>
    <t xml:space="preserve">Tableta 30x30 col pego matiz o exp </t>
  </si>
  <si>
    <t>Tableta 30x30 liso pata lote bte</t>
  </si>
  <si>
    <t xml:space="preserve">Tableta 25x25 liso pego  (hojilla) </t>
  </si>
  <si>
    <t xml:space="preserve">Tableta 25x25 col pego  matizado </t>
  </si>
  <si>
    <t>Tableta 25x25 col pata matizado o exp</t>
  </si>
  <si>
    <t xml:space="preserve">Tableta 25x25 Graf. Rom </t>
  </si>
  <si>
    <t>ZOCALO DE GRESS 7 * 25 Rojo Bte o colonial H=7.5CM</t>
  </si>
  <si>
    <t>Epacato 1</t>
  </si>
  <si>
    <t xml:space="preserve">Fachaletas Canela "y"  7*25 </t>
  </si>
  <si>
    <t xml:space="preserve">Fachaletas Corcho  Mat 7*25 </t>
  </si>
  <si>
    <t>MESONES EN ACERO C = 18    ancho 0,60 ml</t>
  </si>
  <si>
    <t>POCETA EN ACERO C= 20      ancho 0,60 ml</t>
  </si>
  <si>
    <t>MESONES EN ACERO C= 20      ancho 0,60 ml</t>
  </si>
  <si>
    <t xml:space="preserve">Cesar 2.021 </t>
  </si>
  <si>
    <t>kg</t>
  </si>
  <si>
    <t>SOLD. W/ARCO 7024 5/32</t>
  </si>
  <si>
    <t>PLATINA DE 1/2"X3/16"</t>
  </si>
  <si>
    <t>TUBO AGUAS NEGRAS 1 1/2"</t>
  </si>
  <si>
    <t>PLATINA DE 1/2"</t>
  </si>
  <si>
    <t>TUBO AGUAS NEGRAS 2"</t>
  </si>
  <si>
    <t>TUBO AGUAS NEGRAS 4"</t>
  </si>
  <si>
    <t>BOMBA DE FUMIGAR</t>
  </si>
  <si>
    <t xml:space="preserve">MATA MALEZA </t>
  </si>
  <si>
    <t>SUMINISTRO E INSTALACION DE BANCAS DE MADERA  TIPO IDU M 50</t>
  </si>
  <si>
    <t>SUMINISTRO E INSTALACION DE BANCAS SIN ESPALDAR TIPO IDU M 31</t>
  </si>
  <si>
    <t>SUMINISTRO E INSTALACION DE BANCAS MODULAR TIPO IDU M 40</t>
  </si>
  <si>
    <t>SUMINISTRO E INSTALACION DE BANCAS SEGÚN DISEÑO M 30</t>
  </si>
  <si>
    <t>SARDINEL ACHAFLANADO A10 .20 X .80 X .50H  TIPO IDU O SIMILAR</t>
  </si>
  <si>
    <t>PROTECTOR DE ARBOL M 90 TIPO IDU O SIMILAR</t>
  </si>
  <si>
    <t>PARADERO EN ACERO INOXIDABLE M 10</t>
  </si>
  <si>
    <t>T. COSTO IDU</t>
  </si>
  <si>
    <t>Vaso para caneca de Basura</t>
  </si>
  <si>
    <t>Tapones plasticos</t>
  </si>
  <si>
    <t>Silla de fibra de vidrio para sube y baja</t>
  </si>
  <si>
    <t>Lona para columpios</t>
  </si>
  <si>
    <t>Tobogan de 2.40 mts x .40 de ancho</t>
  </si>
  <si>
    <t>Tobogan de 3.90 mts x .45 de ancho</t>
  </si>
  <si>
    <t>Tunel en fibra de vidrio en forma de S</t>
  </si>
  <si>
    <t>Agarraderas de Ø3/4 " de los sube y baja</t>
  </si>
  <si>
    <t>Soporte de banca inglesa</t>
  </si>
  <si>
    <t>Soporte de cubierta principal en platina</t>
  </si>
  <si>
    <t>Puntilla corriente de 5"</t>
  </si>
  <si>
    <t>Puntilla de vareta de 4"</t>
  </si>
  <si>
    <t>Balinera para columpio</t>
  </si>
  <si>
    <t>Lamina galvanizada para columpio</t>
  </si>
  <si>
    <t xml:space="preserve">Tuberia de Ø3/4 " L=.55mt para agarraderas </t>
  </si>
  <si>
    <t>Tornilleria cabeza carruaje galvanizada con tuerca</t>
  </si>
  <si>
    <t>Cadena de columpios cadenas de soporte de 1/4 aproximadamente 3.0mt por puesto</t>
  </si>
  <si>
    <t>Juegos de trapecio incl.  cadenas de soporte de 1/4 aproximadamente .30mt cada una.</t>
  </si>
  <si>
    <t>Aros de gimnasia</t>
  </si>
  <si>
    <t>Estructura de la rampa estructura en de tubo  galvanizado de Ø1 ½” L=4.60mt</t>
  </si>
  <si>
    <r>
      <t xml:space="preserve">Barras de tubo galvanizado de </t>
    </r>
    <r>
      <rPr>
        <sz val="10"/>
        <rFont val="Arial"/>
        <family val="2"/>
      </rPr>
      <t>Ø</t>
    </r>
    <r>
      <rPr>
        <sz val="10"/>
        <rFont val="Arial Narrow"/>
        <family val="2"/>
      </rPr>
      <t xml:space="preserve"> 3/4” L= 1.3 ml – 10un.</t>
    </r>
  </si>
  <si>
    <t xml:space="preserve">Cadena de soporte de 5/16 de puente colgante </t>
  </si>
  <si>
    <t xml:space="preserve">Cadena de 1/4 de soporte para puente de equilibrio </t>
  </si>
  <si>
    <t>Estructura metálica en  tubo  galvanizado de Ø1 1/2” L=2.70mt y pasamanos de salida en  tubo  galvanizado de Ø3/4” L=4.00mt del tobogan de 3.90 mt .</t>
  </si>
  <si>
    <t>Escalera de arbol tubo  galvanizado de Ø1 L=3.70mt y Ø 3/4” L=4.00mt.</t>
  </si>
  <si>
    <t>Barra de bomberos de de tubo  galvanizado de Ø1 L=2.15mt y Ø 3/4” L=1.70mt.</t>
  </si>
  <si>
    <t xml:space="preserve">Escalera de cadena galvanizada de 1/4 aproximadamente </t>
  </si>
  <si>
    <t>Estructura de escalera de peldaños estructura y baranda en  tubo  galvanizado de Ø1 ½” - long. Aproximada 13.00mt</t>
  </si>
  <si>
    <t>Protectores del modulo central hexagonal tubo  galvanizado de Ø3/4” x 2un - long. 1.3mt, según diseño</t>
  </si>
  <si>
    <t>Baranda concavo de 2.00mt de tubo  galvanizado de Ø1 ½” - long. Aproximada 2.00mt x 3un,</t>
  </si>
  <si>
    <t>Baranda convexo de 2.00mt de tubo  galvanizado de Ø1 ½” - long. Aproximada 2.00mt x 3un</t>
  </si>
  <si>
    <t>Baranda tubular de .90mt-altura 1.00mt para modulo hexagonal en tubo galvanizado de Ø1 ½”  L=1.80 y Ø 3/4” L=3.35mt, según diseño</t>
  </si>
  <si>
    <t>Baranda tubular de .85mt - altura .68mt para mirador pequeño en tubo galvanizado de Ø1 ½” y Ø 3/4”, según diseño</t>
  </si>
  <si>
    <t>Baranda tubular de 2.80mt - altura .68mt para puente colgante en tubo galvanizado de Ø1 ½” L=5.60mt y Ø 3/4” L= 7.95mt, según diseño</t>
  </si>
  <si>
    <t>Baranda tubular de 1.25mt - altura .68mt para puente fijo en tubo galvanizado de Ø1 ½” L=2.50mt y Ø 3/4” L=3.3mt, según diseño</t>
  </si>
  <si>
    <t>JGO</t>
  </si>
  <si>
    <t>Cubierta de madera para banca inglesa 4" x 1" x1.5mt - 6 un por banca</t>
  </si>
  <si>
    <t>Media madera de 1.00 x 4"</t>
  </si>
  <si>
    <t>Media madera de 1.40 x 4"</t>
  </si>
  <si>
    <t>Estacones de 1.00 mts x 4"</t>
  </si>
  <si>
    <t>Estacones de 1.5 mts x 4"</t>
  </si>
  <si>
    <t>UDS</t>
  </si>
  <si>
    <t>Estacones de 1.00 mts x 5"</t>
  </si>
  <si>
    <t>Estacones de 2.00 mts x 5"</t>
  </si>
  <si>
    <t>Estacones de 2.50 mts x 5"</t>
  </si>
  <si>
    <t>Estacones de 3.00 mts x 5"</t>
  </si>
  <si>
    <t>POSTES DE 4.00MT X 5"</t>
  </si>
  <si>
    <t>Esmalte sintetico de alto brillo</t>
  </si>
  <si>
    <t>Barniz solar</t>
  </si>
  <si>
    <t>Sellador lijable al 40% 7204</t>
  </si>
  <si>
    <t>Tunel pequeño Long. 1.14ML</t>
  </si>
  <si>
    <r>
      <t xml:space="preserve">Pasamanos de tubo galvanizado de </t>
    </r>
    <r>
      <rPr>
        <sz val="10"/>
        <rFont val="Arial"/>
        <family val="2"/>
      </rPr>
      <t>Ø</t>
    </r>
    <r>
      <rPr>
        <sz val="10"/>
        <rFont val="Arial Narrow"/>
        <family val="2"/>
      </rPr>
      <t xml:space="preserve"> 3/4” L= 1.3 ml – 5un.</t>
    </r>
  </si>
  <si>
    <t>Baranda tubular de 1.50mt - altura .68mt para puente colgante en tubo galvanizado de Ø1 ½” L=3.00mt y Ø 3/4” L= 4.00mt, según diseño</t>
  </si>
  <si>
    <t>Media madera de 1.00 X 4"</t>
  </si>
  <si>
    <t>Estacones de 1.00 mts x 3.5"</t>
  </si>
  <si>
    <t>Estacones de 1.5 mts x 5"</t>
  </si>
  <si>
    <t>PARQUE INFANTIL DE MADERA DE PINO TORNEADO E INMUNIZADO AL VACIO, AREA REQUERIDA 14X6MT-INCL. 3 MODULOS MIRADORES CON TECHO, 1 PUENTE COLGANTE, 2 RESBALADEROS DE FIBRA DE VIDRIO, 1 BARRA PARA PASAMANOS, 1 BARRA DE GIMNASIO, 1 ESTRUCTURA PARA COLUMPIO CON  DOS CANASTAS</t>
  </si>
  <si>
    <t>SUBE Y BAJA  DOBLE MADERA DE PINO TORNEADO INMUNIZADO AL VACIO-TORNILLERIA GENERAL DE CARRUAJE Y ACABADO EN COLOR</t>
  </si>
  <si>
    <t>RUEDA GIRATORIA O TROMPO METALICO</t>
  </si>
  <si>
    <t>COLUMPIOS POR TRES PUESTOS M - 5</t>
  </si>
  <si>
    <t>SUMINISTRO E INSTALACION DE JUEGOS PARA LA SALUD</t>
  </si>
  <si>
    <t>CANECAS DE BASURA MALLA METALICA M -120</t>
  </si>
  <si>
    <t>SUMINISTRO E INSTALACION DE SEMAFOROS INCLUYEN LA INTALACION ELECTRICA PARA PODER OPERAR</t>
  </si>
  <si>
    <t>SUMINISTRO E INSTALACION DE SEÑALES VERTICALES DE TRANSITO  DE ACUERDO AL MANUAL SOBRE DISPOSITIVOS PARA EL CONTROL DE TRANSITO EN CALLES Y CARRETERAS EN COLOMBIA Y DEMAS NORMAS COMPLEMENTARIAS</t>
  </si>
  <si>
    <t>SIKA O SIMILAR IMPERMEABILIZANTE DE CONCRETOS</t>
  </si>
  <si>
    <t>CARRETILLA BUGGY</t>
  </si>
  <si>
    <t>GRAMA</t>
  </si>
  <si>
    <t>ABONO</t>
  </si>
  <si>
    <t>UNd</t>
  </si>
  <si>
    <t>PALMERA REAL ALTURA NO MENOR DE 3  MTS.</t>
  </si>
  <si>
    <t>ARBOL NATIVO</t>
  </si>
  <si>
    <t>SACO DE FIQUE+ACCESORIOS</t>
  </si>
  <si>
    <t>GRUA</t>
  </si>
  <si>
    <t xml:space="preserve">CAMPAMENTO METALICO </t>
  </si>
  <si>
    <t>mL</t>
  </si>
  <si>
    <t>CINTA SIKA 22</t>
  </si>
  <si>
    <t>MALLA ELECTROSOLDADA E-050 .25X.25 - ,82 KG /M2</t>
  </si>
  <si>
    <t>PORTERÍA MULTIFUNCIONAL</t>
  </si>
  <si>
    <t>MALLA MICROFUTBOL</t>
  </si>
  <si>
    <t>MALLA BASKET</t>
  </si>
  <si>
    <t>ENERO-2.017</t>
  </si>
  <si>
    <t>RLL</t>
  </si>
  <si>
    <t>CINTA DE ENMASCARAR 1/2"</t>
  </si>
  <si>
    <t>MALLA ESLAB. 10.5 X 1,80 MTS PVC ROLLO 10 MT</t>
  </si>
  <si>
    <t>TUBO GALVANIZADO CERRAMIENTO 2"X 2.0MM</t>
  </si>
  <si>
    <t>TUBO GALVANIZADO CERRAMIENTO 3"X 6 ml</t>
  </si>
  <si>
    <t>TUBO GALVANIZADO AGUA 2 1/2"</t>
  </si>
  <si>
    <t>CONCERTINA DE ø 14"- ROLLO 6ML</t>
  </si>
  <si>
    <t>POSTE CERCA 10 X 10 CM 210 KG/CM2</t>
  </si>
  <si>
    <t>INVIAS -2022</t>
  </si>
  <si>
    <t>m</t>
  </si>
  <si>
    <t>ALAMBRE DE PUAS GALVANIZADO  CAL. 12.5</t>
  </si>
  <si>
    <t>SUINGLEA H=,60</t>
  </si>
  <si>
    <t>TANQUE PLASTICO 1.000LT</t>
  </si>
  <si>
    <t>FLOTADOR Ø  1" EN BRONCE</t>
  </si>
  <si>
    <t>FLOTADOR Ø  3/4" EN BRONCE</t>
  </si>
  <si>
    <t>TANQUES AJOVER 2000 LTS</t>
  </si>
  <si>
    <t>REJILLA SOSCO 3X2</t>
  </si>
  <si>
    <t>BARRAS DE SEGURIDAD, PARA MINUSVALIDOS LONG. .45MT, ACABADO CRMADO EN ACERO INOXIDABLE</t>
  </si>
  <si>
    <t>BARRAS DE SEGURIDAD, PARA MINUSVALIDOS LONG. .75MT, ACABADO CRMADO EN ACERO INOXIDABLE</t>
  </si>
  <si>
    <t>SECADOR DE MANOS ELECTRICO</t>
  </si>
  <si>
    <t>jg</t>
  </si>
  <si>
    <t>INCRUSTACIONES PORCELANA: TOALLERO, PAPELERA, JABONERA, GANCHO ELITE O SIMILAR</t>
  </si>
  <si>
    <t xml:space="preserve">DUCHA BALANCE PRESION </t>
  </si>
  <si>
    <t>DUCHA ANTIVANDALICA</t>
  </si>
  <si>
    <t>DUCHA PRISMA  ECONOMICA O SIMILAR</t>
  </si>
  <si>
    <t>TELEDUCHA CORRIENTE BL</t>
  </si>
  <si>
    <t>ORINAL MEDIANO CON FLUXOMETRO</t>
  </si>
  <si>
    <t>ORINAL MEDIANO CON GRIFERIA</t>
  </si>
  <si>
    <t>SANITARIO BALTIC CON FLUXOMETRO</t>
  </si>
  <si>
    <t>SANITARIO ACUACER</t>
  </si>
  <si>
    <t>SANITARIO AVANTI</t>
  </si>
  <si>
    <t>GRIFERIA PRYSMA 4" O SIMILAR</t>
  </si>
  <si>
    <t>GRIFERIA LLAVE AUTOMATICA QK23051 PARA LAVAMANOS O SIMILAR</t>
  </si>
  <si>
    <t>LAVAMANOS ACUACER DE COLG</t>
  </si>
  <si>
    <t>LAVAMANOS DE SOBREPONER MARCELLA BLANCO O SIMILAR SIN GRIFERIA</t>
  </si>
  <si>
    <t>LAVAMANOS AVANTI DE COLG</t>
  </si>
  <si>
    <t>GRIFERIA LAVAPLATOS KIT LP MZ PRAKTI O SIMILAR-INCL. DESAGUE</t>
  </si>
  <si>
    <t>LAVAPLATOS 62 X 48 INOXIDABLE EMPOTRAR</t>
  </si>
  <si>
    <t>LAVAPLATOS 100 X 50 INOXIDABLE SOBREPONER</t>
  </si>
  <si>
    <t>MANGUERA CONEXIÓN FLEXIBLE</t>
  </si>
  <si>
    <t>ADAPTADOR MACHO 1"</t>
  </si>
  <si>
    <t>LLAVE PASO R/WHITE 2 O SIMILAR</t>
  </si>
  <si>
    <t>LLAVE PASO R/WHITE 1 1/2 O SIMILAR</t>
  </si>
  <si>
    <t>LLAVE PASO R/WHITE 1 O SIMILAR</t>
  </si>
  <si>
    <t>LLAVE PASO R/WHITE 3/4 O SIMILAR</t>
  </si>
  <si>
    <t>LLAVE PASO R/WHITE 1/2</t>
  </si>
  <si>
    <t>CHEQUE CORTINA R/W 3/4" O SIMILAR</t>
  </si>
  <si>
    <t>CHEQUE CORTINA R/W 2" O SIMILAR</t>
  </si>
  <si>
    <t>CHEQUE CORTINA R/W 1 1/2" O SIMILAR</t>
  </si>
  <si>
    <t>CHEQUE CORTINA R/W 1" O SIMILAR</t>
  </si>
  <si>
    <t>CHEQUE DE  3/4"-RED WHITE O SIMILAR</t>
  </si>
  <si>
    <t>CHEQUE CORTINA R/W 1/2" O SIMILAR</t>
  </si>
  <si>
    <t>ADAPTADOR MACHO 3/4</t>
  </si>
  <si>
    <t>ADAPTADOR MACHO 1/2</t>
  </si>
  <si>
    <t xml:space="preserve">LLAVE TERMINAL 97722 GRIVAL O SIMILAR DE JARDÍN </t>
  </si>
  <si>
    <t>TEFLON</t>
  </si>
  <si>
    <t>DISOLVENTE (3%) ACRILICO</t>
  </si>
  <si>
    <t>ESFERAS REFLECTIVAS</t>
  </si>
  <si>
    <t>PINTURA ACRILICA PURA PARA TRAFICO</t>
  </si>
  <si>
    <t>gl</t>
  </si>
  <si>
    <t>ESMALTE PARA EXTERIORES</t>
  </si>
  <si>
    <t>GRANIPLAST A TODO COSTO</t>
  </si>
  <si>
    <t>COLORCEL DE ETERNIT O SIMILAR</t>
  </si>
  <si>
    <t>CARBONATO</t>
  </si>
  <si>
    <t>GRANITO</t>
  </si>
  <si>
    <t>SILICATO</t>
  </si>
  <si>
    <t>LATECOL</t>
  </si>
  <si>
    <t>ACRONAL</t>
  </si>
  <si>
    <t>MARMOLINA</t>
  </si>
  <si>
    <t>EQUIPO DE PROTECCION GAFAS, MASCARA CON FILTRO DE SEGURIDAD</t>
  </si>
  <si>
    <t>DISOLVENTE PARA EPOXICAS</t>
  </si>
  <si>
    <t>PINTU COA PINTUCO</t>
  </si>
  <si>
    <t>PINT. KORAZA 2650</t>
  </si>
  <si>
    <t>CTE</t>
  </si>
  <si>
    <t>VINILTEX</t>
  </si>
  <si>
    <t>un</t>
  </si>
  <si>
    <t>PERFIL U ALUMINIO 3/8 X 3/8</t>
  </si>
  <si>
    <t xml:space="preserve">PIRLAN ALUMINIO 1 1/2"* 6,00 ML </t>
  </si>
  <si>
    <t>CEMENTO BLANCO</t>
  </si>
  <si>
    <t>bt</t>
  </si>
  <si>
    <t>GRANITO  NO. 3</t>
  </si>
  <si>
    <t xml:space="preserve">ESQUINERO BRONCE </t>
  </si>
  <si>
    <t>PIEDRA CHINA NO. 3</t>
  </si>
  <si>
    <t>CAOLIN EMPERADOR O SIMILAR 25KG</t>
  </si>
  <si>
    <t>YESO PIRAMIDE O SIMILAR 25KG</t>
  </si>
  <si>
    <t>LACA TRANSPARENTE MATE PRIMERA CALIDAD</t>
  </si>
  <si>
    <t>LIJA DE AGUA 965 SUPER</t>
  </si>
  <si>
    <t>2021 Cesar</t>
  </si>
  <si>
    <t>THINNER CORRIENTE</t>
  </si>
  <si>
    <t>SELLADOR M 140 O SIMILAR</t>
  </si>
  <si>
    <t xml:space="preserve">ESMALTE SINTETICO </t>
  </si>
  <si>
    <t>PINT ANTICORROSIVO ICO GRIS 1308</t>
  </si>
  <si>
    <t xml:space="preserve"> m2 </t>
  </si>
  <si>
    <t xml:space="preserve">ESTRUCTURA DE SOPORTE </t>
  </si>
  <si>
    <t xml:space="preserve">MACHIMBRE </t>
  </si>
  <si>
    <t>GUASA D 3/16"</t>
  </si>
  <si>
    <t>TORNILLO GOLOSO 1X3/16"</t>
  </si>
  <si>
    <t xml:space="preserve">LAMINA DE PLOMO </t>
  </si>
  <si>
    <t xml:space="preserve">VIDRIO PLOMADO </t>
  </si>
  <si>
    <t xml:space="preserve"> UN </t>
  </si>
  <si>
    <t xml:space="preserve">PUERTA TRIPLEX 2.00*1.00 </t>
  </si>
  <si>
    <t xml:space="preserve">RECUBRIMIENTO EN PLOMO </t>
  </si>
  <si>
    <t xml:space="preserve"> ml </t>
  </si>
  <si>
    <t xml:space="preserve">MARCO DE MADERA </t>
  </si>
  <si>
    <t>PROTECTORES METALICOS EN VARILLA CUADRADA DE 1/2" CON NUDO EN LAMINA</t>
  </si>
  <si>
    <t xml:space="preserve">PROTECTORES METALICOS </t>
  </si>
  <si>
    <t xml:space="preserve">MUEBLE EN MADERA Y TRIPLEX </t>
  </si>
  <si>
    <t xml:space="preserve">LIJA MASILLA </t>
  </si>
  <si>
    <t>CERRADURA YALE DE SOBREPONER</t>
  </si>
  <si>
    <t xml:space="preserve"> gl </t>
  </si>
  <si>
    <t xml:space="preserve">PINTURA DE ACABADO EN ESMALTE </t>
  </si>
  <si>
    <t>TAPA Y MARCO PARA REGISTRO ELECTRICO O SANITARIO 0.60X0.60, EN ANGULO 3/16X1 1/2" EN TAPA Y MARCO, INCL. VARILLAS DE 6MM Y ANTICORROSIVO</t>
  </si>
  <si>
    <t>PORTERIA POLIFUNCIONAL TUBO REDONDO 1 1/2" X 2MM, TABLERO ACRILICO  DE 10MM, DIMENSIONES 3X2X2,95-MOVIL</t>
  </si>
  <si>
    <t>PORTERIA POLIFUNCIONAL EN TUBO GALVANIZADO 3"X2.5, TUBO REDONDO 1 1/2" X 2MM, TABLERO ACRILICO  DE 10MM, DIMENSIONES 3X2X2,95-FIJA</t>
  </si>
  <si>
    <t>PORTON EN TUBO REDONDO PARALES EN TUBO 3"X2.5MM, MARCO HOJA TUBOS DE 2"X2.5MM, RIOSTRAS EN TUBO DE 1 1/2"X2.5MM -MALLA ESLABONADA #10, CON PUERTA AUXILIAR Y CERRADURA, INCL. ANTICORROSIVO</t>
  </si>
  <si>
    <t>PORTON METALICO EN LAMINA COLD ROLL CAL 18-TUBO CUADRADO DE 1 1/2", CON PUERTA AUXILIAR Y CERRADURA, INCL. ANTICORROSIVO</t>
  </si>
  <si>
    <t>PORTON METALICO EN LAMINA COLD ROLL CAL 20-TUBO CUADRADO DE 1 1/2", CON PUERTA AUXILIAR Y CERRADURA, INCL. ANTICORROSIVO</t>
  </si>
  <si>
    <t>PROTECTOR EN VARILLA CUADRADA DE 1/2" MODELO CON NUDOS EN PLATINA DE 1/2" X 1/8, INCL. ANTICORROSIVO</t>
  </si>
  <si>
    <t>REJA PARA CERRAMIENTO EN TUBO DE 1 1/2 CAL 18, TUBO CUADRADO DE 1" CAL 18</t>
  </si>
  <si>
    <t>BARANDA METALICA EN TUBO REDONDO DE 1 1/2 X 2.5MM,TUBO REDONDO DE 3/4 X 1.5MM-PLATINA 2 X 3/16, INCL. ANTICORROSIVO</t>
  </si>
  <si>
    <t>DIVISION DE BAÑO EN EN LAMINA COLD ROLL ENTAMBORADA CAL 20, INCL. INSTALACION Y ANTICORROSIVO</t>
  </si>
  <si>
    <t>MARCO METALICO CAL 18 SIN BISAGRA PARA HOJA METALICA , INCL. ANTICORROSIVO</t>
  </si>
  <si>
    <t>MARCO METALICO CAL 20 SIN BISAGRA PARA HOJA METALICA , INCL. ANTICORROSIVO</t>
  </si>
  <si>
    <t xml:space="preserve"> MARCO METALICO DILAT. CAL 18 CON BISAGRA PARA HOJA DE MADERA , INCL. ANTICORROSIVO</t>
  </si>
  <si>
    <t xml:space="preserve"> MARCO METALICO DILAT. CAL 20 CON BISAGRA PARA HOJA DE MADERA, INCL. ANTICORROSIVO</t>
  </si>
  <si>
    <t>HOJA EN LAMINA COLD ROLLED 1.00X2.00 CAL.18, INCLUYE ANTICORROSIVO-SUB-CONTRATO</t>
  </si>
  <si>
    <t>HOJA EN LAMINA COLD ROLLED 1.00X2.00 CAL.20, INCLUYE ANTICORROSIVO-SUB-CONTRATO</t>
  </si>
  <si>
    <t>PUERTA 1.00X2.00 COMPLETA INCL. MARCO EN LAMINA CAL 20, INCL. ANTICORROSIVO, SIN CARRADURA</t>
  </si>
  <si>
    <t>PUERTA 1.00X2.00 COMPLETA INCL. MARCO EN LAMINA CAL 20, INCL. ANTICORROSIVO, SIN CERRADURA</t>
  </si>
  <si>
    <t>SUB-CONTRATO CARPINTERIA METALICA</t>
  </si>
  <si>
    <t>WASH PRIMER</t>
  </si>
  <si>
    <t>TUBO GALVANIZADO AGUA  1 1/2" - 3MM</t>
  </si>
  <si>
    <t>TUBO NEGRO CERRAMIENTO  2" CAL 16 1.5MM</t>
  </si>
  <si>
    <t>VENTANA ALUMINIO FIJA</t>
  </si>
  <si>
    <t>VENTANA PROYECTANTE .60X.60</t>
  </si>
  <si>
    <t>HIERRO CUADRADO 10 MM</t>
  </si>
  <si>
    <t>BISAGRA ALUMINIO EXT 3</t>
  </si>
  <si>
    <t>TUBO RECTANGULAR DE 3" X 1 1/4" CAL. 18</t>
  </si>
  <si>
    <t>ÁNGULO HIERRO 3/4 X 1/8</t>
  </si>
  <si>
    <t>TUBO CUADRADO DE 1" CAL. 18</t>
  </si>
  <si>
    <t>DIVISION DE BAÑO EN ACERO GALVANIZADO</t>
  </si>
  <si>
    <t>LÁMINA COLD ROLLED CAL.18 2.00X1.00</t>
  </si>
  <si>
    <t>VENTANA CORREDIZA 1.2X1.2</t>
  </si>
  <si>
    <t>CERRADURA SCHLAGE BAÑO  A 40S BELL WOOD GOLD O SIMILAR</t>
  </si>
  <si>
    <t>CERRADURA SCHLAGE OFICINA A 50WS BELL WOOD GOLD O SIMILAR</t>
  </si>
  <si>
    <t>PUERTA PIZANO 0.80 O SIMILAR</t>
  </si>
  <si>
    <t>BISAGRAS COBRIZADA 3"</t>
  </si>
  <si>
    <t>VIDRIO 5MM</t>
  </si>
  <si>
    <t>PUERTA PIZANO 0.60 O SIMILAR</t>
  </si>
  <si>
    <t>VIDRIO 4MM</t>
  </si>
  <si>
    <t xml:space="preserve"> MANIJA Y CERRADURA </t>
  </si>
  <si>
    <t xml:space="preserve"> CONTRAMANIJA </t>
  </si>
  <si>
    <t xml:space="preserve"> BISAGRA PIVOTANTE </t>
  </si>
  <si>
    <t xml:space="preserve">VIDRIO TEMPLADO 4MM </t>
  </si>
  <si>
    <t xml:space="preserve">VIDRIO TEMPLADO 5MM </t>
  </si>
  <si>
    <t xml:space="preserve">VIDRIO TEMPLADO 6MM </t>
  </si>
  <si>
    <t xml:space="preserve">VIDRIO TEMPLADO 10MM </t>
  </si>
  <si>
    <t xml:space="preserve"> PUERTA EN ALUMINIO </t>
  </si>
  <si>
    <t xml:space="preserve"> VISOR EN VIDRIO 0.20*0.35 </t>
  </si>
  <si>
    <t xml:space="preserve">BANDA DE CAUCHO </t>
  </si>
  <si>
    <t>VENTANA 744 ANOLOCK-VIDRIO BRONCE DOS NAVES BATIENTES 2.00X2.00</t>
  </si>
  <si>
    <t>VENTANA 744 ANOLOCK-VIDRIO BRONCE DOS NAVES FIJAS Y DOS CORREDIZAS 2.00X2.00</t>
  </si>
  <si>
    <t>VENTANA 744 ANOLOCK-VIDRIO BRONCE UNA NAVE FIJA Y UNA CORREDIZA 2.00X2.00</t>
  </si>
  <si>
    <t>VENTANA 744 ANOLOCK-VIDRIO BRONCE DOS NAVES FIJAS Y DOS CORREDIZAS 2.00X1.20</t>
  </si>
  <si>
    <t>VENTANA 744 ANOLOCK-VIDRIO BRONCE UN CUERPO SUPERIOR PROYECTANTE Y UN CUERPO INFERIOR FIJO .50X1.20</t>
  </si>
  <si>
    <t>VENTANA 744 ANOLOCK-VIDRIO BRONCE UNA NAVE FIJA Y UNA CORREDIZA 1.00X1.20</t>
  </si>
  <si>
    <t>DESCARGOS POR CUENTA DEL CLIENTE DE 5 a 100 kVA</t>
  </si>
  <si>
    <t xml:space="preserve"> REVISION DE INSTALACION DE ENLACE  DE 5 A 100 kVA</t>
  </si>
  <si>
    <t>CONSULTORIA DE PROYECTOS DE 5 A 100 kVA</t>
  </si>
  <si>
    <t>ESTUDIOS DE CONEXIÓN DE 5 A 100 kVA</t>
  </si>
  <si>
    <t>MES</t>
  </si>
  <si>
    <t>PRESUPUESTO</t>
  </si>
  <si>
    <t>DISEÑOS</t>
  </si>
  <si>
    <t>FOTOCOPIAS</t>
  </si>
  <si>
    <t>PLOTEO</t>
  </si>
  <si>
    <t>PATCH PANEL AMP 24 PUERTOS CAT 5E</t>
  </si>
  <si>
    <t xml:space="preserve">PATCH CORD AMP QUANTUM (CAT6) </t>
  </si>
  <si>
    <t xml:space="preserve">GABINETE .600 x.400 x 2.50 </t>
  </si>
  <si>
    <t xml:space="preserve">ANCLAJE CHAZO EXP. 1/2 x 2 3/4" </t>
  </si>
  <si>
    <t>DUCTO METALICO S. DIVISORIO 30X8</t>
  </si>
  <si>
    <t xml:space="preserve">DUCTO VERT .80"P/MANEJ.CABLE </t>
  </si>
  <si>
    <t xml:space="preserve">BANDEJA RACK C/16 TOM. ELE </t>
  </si>
  <si>
    <t>CANALETA PLASTICA AJOVER 10 X4</t>
  </si>
  <si>
    <t xml:space="preserve">ACCES.T P/CANALETA PLAST. </t>
  </si>
  <si>
    <t xml:space="preserve">CHAZOS DE PLASTICOS 1/4 ' ESTRIADO </t>
  </si>
  <si>
    <t xml:space="preserve">UN </t>
  </si>
  <si>
    <t xml:space="preserve">TORNILLO TIRAFONDO DE 4X 3/8 " </t>
  </si>
  <si>
    <t xml:space="preserve">TAPA TROQUEL METAL 2 ORIF </t>
  </si>
  <si>
    <t xml:space="preserve">CLAVO ALTA VELOCIDAD 1" x 1/4" </t>
  </si>
  <si>
    <t xml:space="preserve">CANALETA METAL C/DIVIS .10 X4 </t>
  </si>
  <si>
    <t xml:space="preserve">SOPORTE P/BANDEJA PORTA CAB </t>
  </si>
  <si>
    <t>BANDEJA PORTA CAB. ESCALERA 30X30</t>
  </si>
  <si>
    <t xml:space="preserve">ANCLAJE DE CUÑA. ½ x 2. 3/4" </t>
  </si>
  <si>
    <t xml:space="preserve">ACCES.T P/BANDEJA T ESCAL </t>
  </si>
  <si>
    <t xml:space="preserve">PORTA AISLADOR 3 PUESTO </t>
  </si>
  <si>
    <t xml:space="preserve">AISLADOR DE PIN DE ANSI 55-1 </t>
  </si>
  <si>
    <t xml:space="preserve">WALL PLATE AJUSTE SENCILL </t>
  </si>
  <si>
    <t xml:space="preserve">TOMA RJ45 -110 JACK SNAP </t>
  </si>
  <si>
    <t xml:space="preserve">LIBRO ETIQUET .190 DATOS </t>
  </si>
  <si>
    <t>M</t>
  </si>
  <si>
    <t>CABLE TELEFONICO  DE 10 PARES</t>
  </si>
  <si>
    <t>CABLE UTP 4 PARES</t>
  </si>
  <si>
    <t>CABLE UTP CATEGORÍA 6</t>
  </si>
  <si>
    <t>TOMA VOZ Y DATOS</t>
  </si>
  <si>
    <t>TABLERO TRIF. DE 18 CTOS C/C. LLV LUMINEX</t>
  </si>
  <si>
    <t>TABLERO TRIF. DE 18 CTOS C/P /E/P/T LUMINEX</t>
  </si>
  <si>
    <t>TABLERO TRIF. DE 12 CTOS C/C. LLV LUMINEX</t>
  </si>
  <si>
    <t xml:space="preserve">TABLERO TRIF DE 30 CTOS BARRAJE 225A 240V CON PUERTA, CHAPA, CERRADURA </t>
  </si>
  <si>
    <t>TABLERO TRIF. 30 CTOS C/C. LLV LUMINEX</t>
  </si>
  <si>
    <t>TABLERO TRIFASICO 24 CIRCUITOS C/PTA LUMINEX</t>
  </si>
  <si>
    <t>BREAKER  ENCHUFABLE 3x30 A</t>
  </si>
  <si>
    <t>BREAKER  ENCHUFABLE 2x20 A</t>
  </si>
  <si>
    <t>BREAKER ENCHUFABLE  1x20 A</t>
  </si>
  <si>
    <t>BREAKER INDUSTRIAL DE 3X150 A - 240 V  TIPO Q2L</t>
  </si>
  <si>
    <t>BREAKER INDUSTRIAL DE 3X125 A - 240 V TIPO Q2L</t>
  </si>
  <si>
    <t>BREAKER INDUSTRIAL DE 3X800A - 600V  TIPO MAL</t>
  </si>
  <si>
    <t>BREAKER INDUSTRIAL DE 3X100A - 240V  TIPO FAL</t>
  </si>
  <si>
    <t>BREAKER INDUSTRIAL DE 3X20A - 240V  TIPO FAL</t>
  </si>
  <si>
    <t>BREAKER INDUSTRIAL DE 3X30A - 240V  TIPO FAL</t>
  </si>
  <si>
    <t>BREAKER INDUSTRIAL DE 3X40A - 240V  TIPO FAL</t>
  </si>
  <si>
    <t>BREAKER INDUSTRIAL DE 3X50A - 240V  TIPO FAL</t>
  </si>
  <si>
    <t>BREAKER INDUSTRIAL DE 3X60A - 240V  TIPO FAL</t>
  </si>
  <si>
    <t>BREAKER INDUSTRIAL DE 3X400A - 240V  TIPO Q4L-3400</t>
  </si>
  <si>
    <t>BREAKER INDUSTRIAL DE 3X600A - 600V  TIPO LAL</t>
  </si>
  <si>
    <t xml:space="preserve">TABLERO GENERAL SEGÚN DISEÑO </t>
  </si>
  <si>
    <t>CARCAMO DE 0,5M ANCHO X0.4M PROF. ( CON TAPA EN  LAMINA COLD ROLLED DE 3MM</t>
  </si>
  <si>
    <t>TERMINAL COBRE PONCHAR CABLE #  2/0</t>
  </si>
  <si>
    <t>TRANSFORMADOR TRIFASICO DE 30 kVA</t>
  </si>
  <si>
    <t>TRANSFORMADOR TRIFASICO DE 75 kVA</t>
  </si>
  <si>
    <t xml:space="preserve">FOSO PARA EL ACEITE  Y PLATINAS MONTAJE DEL TRAFO </t>
  </si>
  <si>
    <t>TRANSFORMADOR TRIFASICO DE 300 kVA</t>
  </si>
  <si>
    <t>TRANSFORMADOR TRIFASICO DE 225 kVA</t>
  </si>
  <si>
    <t>TRANSFORMADOR TRIFASICO DE 150 kVA</t>
  </si>
  <si>
    <t>TRANSFORMADOR TRIFASICO DE 112.5 kVA</t>
  </si>
  <si>
    <t>TRANSFORMADOR TRIFASICO DE 45 kVA</t>
  </si>
  <si>
    <t>TRANSFORMADOR TRIFASICO DE 15 kVA</t>
  </si>
  <si>
    <t>TRANSFORMADOR MONOFASICO DE 100 kVA</t>
  </si>
  <si>
    <t>TRANSFORMADOR MONOFASICO DE 75 kVA</t>
  </si>
  <si>
    <t>TRANSFORMADOR MONOFASICO DE 50 kVA</t>
  </si>
  <si>
    <t>TRANSFORMADOR MONOFASICO DE 37.5 kVA</t>
  </si>
  <si>
    <t>TRANSFORMADOR MONOFASICO DE 25 kVA</t>
  </si>
  <si>
    <t>TRANSFORMADOR MONOFASICO DE 15 kVA</t>
  </si>
  <si>
    <t>TRANSFORMADOR MONOFASICO DE 10 kVA</t>
  </si>
  <si>
    <t xml:space="preserve">TRANSFORMADOR MONOFASICO DE 5 kVA </t>
  </si>
  <si>
    <t>TRANSFORMADOR TRIFASICO DE 300 KVA</t>
  </si>
  <si>
    <t>CELDA  DE  PARA ALOJAR TRAFO DE POTENCIA DE 300 KVA. ALTURA 2000mm, ANCHO 1800 mm y PROFUNDIDAD 1500 mm</t>
  </si>
  <si>
    <t>CELDA  DE  SECCIONAMIENTO Y PROTECCION FUSIBLE DE 16 A. ALTURA 2000mm, ANCHO 1100 mm y PROFUNDIDAD 1200 mm</t>
  </si>
  <si>
    <t>ELEMENTOS DE MONTAJE Y CONEXIÓN</t>
  </si>
  <si>
    <t>MEDIDOR ELECTRONICO (NORMA ELECTRICARIBE S.A. E.S.P.)</t>
  </si>
  <si>
    <t>CELDA DE MEDIDA EN MEDIA TENSION CON 3 TCS Y 3 TPS</t>
  </si>
  <si>
    <t>CELDA DE ENTRADA O SALIDA PARA M.T.  17,5 KV  ( LUMINEX )</t>
  </si>
  <si>
    <t>TAPA Y MARCO DE  1,20M  X  0,70  M EN ANGULO GALVANIZADO DE 3" TAPA EN CONCRETO DE 3500 PSI</t>
  </si>
  <si>
    <t>JG</t>
  </si>
  <si>
    <t>TERMINAL PREMOLDEADO PARA 15 KV Y CABLE No 1/0 ( E )</t>
  </si>
  <si>
    <t>PARARRAYO 12KVA HUBBELL SINTETICOS</t>
  </si>
  <si>
    <t>CORTACIRCUITOS 15 KV, 100A ,430 mm</t>
  </si>
  <si>
    <t>BOLSA DE FABIGEL DE 50 KG</t>
  </si>
  <si>
    <t>PTOS</t>
  </si>
  <si>
    <t>SOLDADURA CADWELL</t>
  </si>
  <si>
    <t xml:space="preserve">VARILLA DE COBRE DE 5/8" X 2.4M </t>
  </si>
  <si>
    <t xml:space="preserve">VARILLA DE COBRE DE 5/8" X 1.8M </t>
  </si>
  <si>
    <t>FUSIBLE TIPO SOGA DE 20 AMPERIOS A 15 KV TIPO K</t>
  </si>
  <si>
    <t>TUBO CONDUIT GALVANIZADO DE 1 1/2" X 3ML</t>
  </si>
  <si>
    <t>TUB. CONDUIT GALVANIZADA DE 3" X 3ML</t>
  </si>
  <si>
    <t>TUBO CONDUIT GALVANIZADO DE 1/2" X 3ML</t>
  </si>
  <si>
    <t>AISLADOR SINTETICO DE 15 KV</t>
  </si>
  <si>
    <t>CAPACETE PARA TUBO DE 3"</t>
  </si>
  <si>
    <t>GRAPA TIPO PISTOLA 2 PERNOS</t>
  </si>
  <si>
    <t>TUERCA DE OJO ALARGADA</t>
  </si>
  <si>
    <t>CONECTOR AMPA TIPO CUÑA AZUL REF. 600411 - 4/0 1/0</t>
  </si>
  <si>
    <t>CONECTOR CON ESTRIBO DE COBRE</t>
  </si>
  <si>
    <t>CONECTOR AMPA TIPO CUÑA AMP 1/0-1/0 AWG REF: 83592-1-SA</t>
  </si>
  <si>
    <t>COLLARIN PARA TRANSFORMADOR DE 6" - 7"</t>
  </si>
  <si>
    <t>HEBILLA PARA CINTA BAND IT DE 3/4"</t>
  </si>
  <si>
    <t>CINTA BANDUIT 3/4" X METRO</t>
  </si>
  <si>
    <t xml:space="preserve">ARANDELA  CUADRADA DE 2" X 2"  PARA  1/2"  </t>
  </si>
  <si>
    <t xml:space="preserve">ARANDELA  CUADRADA DE 2" X 2"  PARA  5/8"  </t>
  </si>
  <si>
    <t>PERNO DE MAQUINA DE 5/8" X 8"</t>
  </si>
  <si>
    <t>PERNO DE MAQUINA DE 1/2" X 6"</t>
  </si>
  <si>
    <t>PERNO DE MAQUINA DE 5/8" X 12"</t>
  </si>
  <si>
    <t>ESPARRAGO DE 5/8" X 20 "</t>
  </si>
  <si>
    <t>SILLA PARA CRUCETA DE MADERA</t>
  </si>
  <si>
    <t>DIAGONAL EN VARILLA RECTA DE 3/4"X 0,78 M</t>
  </si>
  <si>
    <t xml:space="preserve">CRUCETA DE MADERA INMUNIZADA  CON QUIMICO DE 4" X4" X 2,40M </t>
  </si>
  <si>
    <t>POSTE DE CONCRETO DE 12 M X 1050 KGF</t>
  </si>
  <si>
    <t>TABLERO CON LLAVE 12 CIRCUITOS, ESPACIO TOTALIZADOR</t>
  </si>
  <si>
    <t>TACO HOMELINE 1 X 30 A.</t>
  </si>
  <si>
    <t>TACO HOMELINE 1 X 20 A.</t>
  </si>
  <si>
    <t>TABLERO BIFASICO DE 12 CIRCUITOS CON BARRAJE DE NEUTRO Y TIERRA</t>
  </si>
  <si>
    <t>Grua (Capacidad 15 ton)</t>
  </si>
  <si>
    <t>CAMION PEQUEÑO</t>
  </si>
  <si>
    <t>D</t>
  </si>
  <si>
    <t>ESCALERA 12MT</t>
  </si>
  <si>
    <t>CAMIÓN CANASTA</t>
  </si>
  <si>
    <t>VEHÍCULO LIGERO</t>
  </si>
  <si>
    <t>PONCHADORA HIDRÁULICA</t>
  </si>
  <si>
    <t>ELEMENTOS DE CONEXIÓN Y MONTAJE</t>
  </si>
  <si>
    <t>CAMIÓN GRANDE</t>
  </si>
  <si>
    <t>TORNILLOS 5/8"X4"</t>
  </si>
  <si>
    <t>TORNILLO LÁMINA DIAM. 3/8</t>
  </si>
  <si>
    <t>CAJA 4X4</t>
  </si>
  <si>
    <t>CAJA RECTANGULAR 2 X 4 GALVANIZADA</t>
  </si>
  <si>
    <t>CAJA OCTAGONAL GALVANIZADA</t>
  </si>
  <si>
    <t>VENTILADOR DE ASPA</t>
  </si>
  <si>
    <t>ROSETA  (PLAFON)</t>
  </si>
  <si>
    <t>LÁMPARA SLIM 2X32 BALAZO ELECTRONICO</t>
  </si>
  <si>
    <t>TOMA BIFASICO 20 AMP</t>
  </si>
  <si>
    <t>TOMA HOSPITALARIA, CON POLO A TIERRA</t>
  </si>
  <si>
    <t>TOMA COAXIAL TV</t>
  </si>
  <si>
    <t>TOMA TELEFÓNICA</t>
  </si>
  <si>
    <t>TOMA DOBLE LUM</t>
  </si>
  <si>
    <t>TOMA DOBLE LEVINTON ORIG</t>
  </si>
  <si>
    <t>INT. TIMBRE.  LUM</t>
  </si>
  <si>
    <t>INT. DOBLE  LUM</t>
  </si>
  <si>
    <t>INT. SENC.  LUM</t>
  </si>
  <si>
    <t>INT. SENC. PILOTO LUM</t>
  </si>
  <si>
    <t>TOMA TRIFÁSICA 20 AMP</t>
  </si>
  <si>
    <t>TOMA TRIFÁSICA 50 AMP</t>
  </si>
  <si>
    <t>POSTE  GALVANIZADO  DE 2" X 3M CON FLANCHE</t>
  </si>
  <si>
    <t>POSTE GALVANIZADO  CUADRADO 9CM X 9CM X 3ML</t>
  </si>
  <si>
    <t>POSTE GALVANIZADO DE 3"X2.00MT- CON ANTICORROSIVO Y ACABADO ESMALTE</t>
  </si>
  <si>
    <t>POSTE GALVANIZADO  DE 4"X6.00MT- INCL. FLANCHE CON ANTICORROSIVO Y ACABADO ESMALTE</t>
  </si>
  <si>
    <t>BUSHING Ø 4 A 3"</t>
  </si>
  <si>
    <t>BRAZO TUBO GALVANIZADO DE 1 1/2" X 1.2MT</t>
  </si>
  <si>
    <t>FOTOCELDA INCL. BASE</t>
  </si>
  <si>
    <t>REFLECTOR RCG  DE 1000W A 220V  S-CWA  ALTA PRESION, CON BOMBILLA  MARCA PHILLIPS O SILVANIA ( COMPLETO )</t>
  </si>
  <si>
    <t>REFLECTOR RCG  DE 400W A 220V  MH R  ALTA PRESION, CON BOMBILLA  MARCA PHILLIPS O SILVANIA ( COMPLETO )</t>
  </si>
  <si>
    <t>BOMBILLO SODIO 150 W</t>
  </si>
  <si>
    <t>BOMBILLO SODIO 250 W</t>
  </si>
  <si>
    <t>POSTE CILINDRICO EN ACERO GALVANIZADO SCHREDER SEXTANTE DE 4,5 MT, BRAO SENCILLO APTO PARA INSTALAR PROYECTOR RADIAL 2 Y LUMINARIA ARAMIS, INCL. BASE Y PERNOS DE ANCLAJE.</t>
  </si>
  <si>
    <t>PROYECTOR RADIAL 2 SCHREDER, REFLECTOR 1640 EN ALUMINIO ABRILLANTADO Y ANODIZADO Y PLACA DE AUXILIARES ELECTRICOS. BALASTO TIPO REACTOR (208/220V)  Y ACCESORIOS ELECTRICOS PARA SODIO 150W (INCL. UNICAMENTE BOMBILLA DE SODIO ALTA PRESION 150W TUBULAR)</t>
  </si>
  <si>
    <t>LAMPARA ARAMIS SCHREDER, REFLECTOR 1627 DE ALUMINIO ABRILLANTADO Y ANODIZADO Y PLACA DE AUXILIARES ELECTRICOS. BALASTO TIPO REACTOR (208/220V)  Y ACCESORIOS ELECTRICOS PARA SODIO ALTA PRESION 70W (INCL. UNICAMENTE BOMBILLA DE SODIO ALTA PRESION 70W TUBULAR)</t>
  </si>
  <si>
    <t>LAMPARA ROY ALPHA TIPO RAP 70 W S</t>
  </si>
  <si>
    <t>LAMPARA ROY ALPHA TIPO CALIMA II 250 W MH R</t>
  </si>
  <si>
    <t>LAMPARA ROY ALPHA TIPO CALIMA II 250 W S, INCL. FOTOCELDA Y BOMBILLO</t>
  </si>
  <si>
    <t>LAMPARA ROY ALPHA TIPO CALIMA II 150 W S, INCL. FOTOCELDA Y BOMBILLO</t>
  </si>
  <si>
    <t>LAMPARA  TIPO DJK DE 150W  S</t>
  </si>
  <si>
    <t xml:space="preserve">CABLE TIPO XLPE No 1/0  PARA 15 KV  </t>
  </si>
  <si>
    <t>CABLE DE COBRE TIPO THWN 500 MCM</t>
  </si>
  <si>
    <t>ALAMBRE TELEFÓNICO 2X22 TRENZADO</t>
  </si>
  <si>
    <t>ALAMBRE DE COBRE No 10</t>
  </si>
  <si>
    <t>ALAMBRE DE COBRE No 8</t>
  </si>
  <si>
    <t>ALAMBRE DE COBRE No 12</t>
  </si>
  <si>
    <t>ALAMBRE COBRE THW 12 AWG THHN/NN</t>
  </si>
  <si>
    <t>ALAMBRE COBRE THW 14 AWG THHN/NN</t>
  </si>
  <si>
    <t>CABLE TIPO ACSR No 1/0 ( RAVEN )</t>
  </si>
  <si>
    <t>CABLE DE COBRE TIPO THWN  No 4/0</t>
  </si>
  <si>
    <t>CABLE DE COBRE DESNUDO No 2 /0 AWG</t>
  </si>
  <si>
    <t>CABLE DE COBRE DESNUDO No 2</t>
  </si>
  <si>
    <t xml:space="preserve">CABLE DE COBRE TIPO THWN 1/0 </t>
  </si>
  <si>
    <t>CABLE 7 HILOS # 2 THWN</t>
  </si>
  <si>
    <t>CABLE 7 HILOS # 4 THWN</t>
  </si>
  <si>
    <t>CABLE 7 HILOS # 6 THWN</t>
  </si>
  <si>
    <t>CABLE 7 HILOS # 8 THWN</t>
  </si>
  <si>
    <t>CABLE 7 HILOS # 10 THWN</t>
  </si>
  <si>
    <t xml:space="preserve">CABLE DE  COBRE TIPO THWN No 12 </t>
  </si>
  <si>
    <t>ADAPTADOR TERMINAL CONDUIT 1/2</t>
  </si>
  <si>
    <t>CURVA CONDUIT DE 3"  R-G</t>
  </si>
  <si>
    <t>CURVA CONDUIT 2"</t>
  </si>
  <si>
    <t>CURVA CONDUIT 1 1/2"</t>
  </si>
  <si>
    <t>CURVA CONDUIT 3/4"</t>
  </si>
  <si>
    <t>CURVA CONDUIT 1/2"</t>
  </si>
  <si>
    <t>CURVA CONDUIT 1"</t>
  </si>
  <si>
    <t>TUBO CONDUIT 3" TIPO PESADO</t>
  </si>
  <si>
    <t>TUBO CONDUIT 2"</t>
  </si>
  <si>
    <t>TUBO CONDUIT 1 1/2"</t>
  </si>
  <si>
    <t>TUBO CONDUIT 3/4"</t>
  </si>
  <si>
    <t>TUBO CONDUIT 1/2"</t>
  </si>
  <si>
    <t>TUBO CONDUIT 1"</t>
  </si>
  <si>
    <t>LUBRICANTE 500GR PARA PVC</t>
  </si>
  <si>
    <t>TUBO PRESIÓN /41 PVC 8</t>
  </si>
  <si>
    <t>CODO 90° PRESIÓN PVC 3/4</t>
  </si>
  <si>
    <t>TUBO PRESIÓN /11 PVC 3/4</t>
  </si>
  <si>
    <t>TUBO PRESIÓN /9 PVC 1/2</t>
  </si>
  <si>
    <t>CODO 90° PRESIÓN PVC 1/2</t>
  </si>
  <si>
    <t>TUBO PRESIÓN /21 PVC 3</t>
  </si>
  <si>
    <t>CODO 90° PRESIÓN PVC 3</t>
  </si>
  <si>
    <t>CODO 90° PRESIÓN PVC 2</t>
  </si>
  <si>
    <t>TUBO PRESIÓN /21 PVC 2</t>
  </si>
  <si>
    <t>UNIÓN PRESIÓN PVC 2</t>
  </si>
  <si>
    <t>UNIÓN PRESIÓN PVC 3</t>
  </si>
  <si>
    <t>UNIÓN PRESIÓN PVC 1</t>
  </si>
  <si>
    <t>CODO 90° PRESIÓN PVC 1</t>
  </si>
  <si>
    <t>TUBO PRESIÓN /13.5 PVC 1</t>
  </si>
  <si>
    <t>UNIÓN PRESIÓN PVC 1 1/2</t>
  </si>
  <si>
    <t>CODO 90° PRESIÓN PVC 1 1/2</t>
  </si>
  <si>
    <t>TUBO PRESIÓN /21 PVC 1 1/2</t>
  </si>
  <si>
    <t>ADAPTADOR MACHO PVC PRESION DE 1"</t>
  </si>
  <si>
    <t>ADAPTADOR HEMBRA PVC PRESION DE 1"</t>
  </si>
  <si>
    <t>ADAPTADOR MACHO PVC PRESION DE 1/2"</t>
  </si>
  <si>
    <t>ADAPTADOR HEMBRA PVC PRESION DE 1/2"</t>
  </si>
  <si>
    <t>ADAPTADOR MACHO PVC PRESION DE 3/4"</t>
  </si>
  <si>
    <t>ADAPTADOR HEMBRA PVC PRESION DE 3/4"</t>
  </si>
  <si>
    <t>VÁLVULA ANTIFRAUDE DE 20 MM (1/2")</t>
  </si>
  <si>
    <t>MICROMEDIDOR VOLUMÉTRICO 1/2" TIPO B</t>
  </si>
  <si>
    <t xml:space="preserve">ASPERSOR DE Ø 3/4" METALICO </t>
  </si>
  <si>
    <t>LLAVE DOBLE SEGURO DE BAYONETA DE 3/4X3/4"</t>
  </si>
  <si>
    <t xml:space="preserve">VALVULA BAYONETA DE Ø 3/4" X 3/4" </t>
  </si>
  <si>
    <t>SILLA DE 3/4X3/4"</t>
  </si>
  <si>
    <t>TUBO PR 3/4" RDE 21 PAVCO.</t>
  </si>
  <si>
    <t>UNION PR 3/4" PAVCO.</t>
  </si>
  <si>
    <t>TUBERIA  RDE 41 DE 2" UNION MECANICA</t>
  </si>
  <si>
    <t>UNIÓN  2" PR</t>
  </si>
  <si>
    <t>TABLETA DE GRESS LISA 25X7 COLOR ALMENDRA, ARENA Y MATIZADA</t>
  </si>
  <si>
    <t xml:space="preserve">LEÑA </t>
  </si>
  <si>
    <t>ASFALTO X TAMBOR 90 KLS</t>
  </si>
  <si>
    <t>PINTURA ELECTROSTÁTICA GRIS RAL 7010</t>
  </si>
  <si>
    <t>VARILLA METÁLICAS Ø3/8"</t>
  </si>
  <si>
    <t>VARILLA METÁLICAS Ø1/2"</t>
  </si>
  <si>
    <t>PLATINA  1/4" X 2" X 6 ML</t>
  </si>
  <si>
    <t>GUARDERA LATERAL H=.10</t>
  </si>
  <si>
    <t>m3</t>
  </si>
  <si>
    <t xml:space="preserve">PIEDRA LAJA </t>
  </si>
  <si>
    <t>m²</t>
  </si>
  <si>
    <t>LOCETA ARCO COLOR .30X.30X.06 TIPO IDU</t>
  </si>
  <si>
    <t>LOCETA PREPULIDA COLOR CUADRATO, OLAS Y RALLAS  .30X.30X.06 TIPO IDU, PUESTA EN OBRA</t>
  </si>
  <si>
    <t>LOCETA PREPULIDA GRIS CUADRATO, OLAS Y RALLAS .30X.30X.06 TIPO IDU, PUESTA EN OBRA</t>
  </si>
  <si>
    <t>LOCETA CUADRATICA DE  TOPEROL, OLAS Y RALLAS GRIS .30X.30X.06 TIPO IDU, PUESTA EN OBRA</t>
  </si>
  <si>
    <t>LOCETA TOPEROL GRIS .30X.30X.06 TIPO IDU, INCL. TRANSPORTE</t>
  </si>
  <si>
    <t xml:space="preserve">LOCETA CUADRATICA COLOR .30X.30X.06 </t>
  </si>
  <si>
    <t xml:space="preserve">ALFAGRES BOGOTA INCLUYE TRANSPORTE </t>
  </si>
  <si>
    <t>LOCETA CUADRATICA GRIS .40X.40X06</t>
  </si>
  <si>
    <t>ADOQUÍN GRES 10X20X6 GRIS-50 UN/M2</t>
  </si>
  <si>
    <t>ADOQUÍN GRES 10X20X6 COLOR-50 UN/M2</t>
  </si>
  <si>
    <t>ADOQUIN CONCRETO 10X20X8 COLOR-50 UN/M2</t>
  </si>
  <si>
    <t>ADOQUIN CONCRETO 10X20X8 GRIS-50 UN/M2</t>
  </si>
  <si>
    <t>ESQUINERO DE ALUMINIO 6.00ML</t>
  </si>
  <si>
    <t>PIRLAN BRONCE 1" * 3.00 ML</t>
  </si>
  <si>
    <t xml:space="preserve">DILATACION DE BRONCE </t>
  </si>
  <si>
    <t>PIEDRA CHINA # 3</t>
  </si>
  <si>
    <t>GRANITO BLANCO N. 3 X 40KLS</t>
  </si>
  <si>
    <t>ZOCALO DE GRESS H= 8 CM</t>
  </si>
  <si>
    <t>PORCELANATO .60X.60 DE PRIMERA CALIDAD</t>
  </si>
  <si>
    <t>CONCOLOR 5 KG BLANCO NACAR O SIMILAR</t>
  </si>
  <si>
    <t>BOQUILLA PORCELAN CONCOLOR BEIG X 2 KL</t>
  </si>
  <si>
    <t>CERÁMICA DUROPISO CORONA ALTO TRAFICO</t>
  </si>
  <si>
    <t>TEJA DE BARRO AMAZONA ANCLAJE CON AMARRE 10 M2</t>
  </si>
  <si>
    <t>Ok aldia $3,570 Un</t>
  </si>
  <si>
    <t>TEJA DE BARRO REDONDA 33 tejas M2</t>
  </si>
  <si>
    <t>TABLÓN VITRIFICADO  .25  X .25</t>
  </si>
  <si>
    <t>PISO TABLON SAHARA 30.5X30.5 ALF</t>
  </si>
  <si>
    <t>TABLÓN VITRIFICADO  .33  X .33</t>
  </si>
  <si>
    <t>PEGAPLUX PORCELANATO GRIS X 25 KLS</t>
  </si>
  <si>
    <t>PEGAPLUS PORCELANATO BLANCO X 25 KLS</t>
  </si>
  <si>
    <t>PEGANTE PEGACOR GRIS X 25 KLS</t>
  </si>
  <si>
    <t>PEGANTE PEGACOR BLANCO X 25  KLS</t>
  </si>
  <si>
    <t>ENCH CORN MACEDONIA BCO 25X35X2 MTS</t>
  </si>
  <si>
    <t>CCC PISO PARED EGEO 20.5 X 20.5 BLANCO X 1,51 M2</t>
  </si>
  <si>
    <t>PULIDA PISOS MARMOL O GRANITO FUNDIDO</t>
  </si>
  <si>
    <t>MARMOL VERDE SALTAN DE .22  CON REMATES LATERALES CURVOS POR AMBOS LADOS, SUMINISTRO Y COLOCACION</t>
  </si>
  <si>
    <t>MARMOL TRAVERTINO .05X1.00 PARA ESQUINERO AMBOS LADOS SUMINISTRO Y COLOCACION</t>
  </si>
  <si>
    <t>MARMOL TRAVERTINO .20X1.00 SUMINISTRO Y COLOCACION</t>
  </si>
  <si>
    <t>MARMOL NEGRO  CARACOL - MESONES SUMINISTRO Y COLOCACION</t>
  </si>
  <si>
    <t>REPULIDA DE PISOS Y BRILLADA</t>
  </si>
  <si>
    <t>PULIDA PISOS BALDOSA DE GRANITO</t>
  </si>
  <si>
    <t xml:space="preserve">nov 29-23- internet </t>
  </si>
  <si>
    <t>PISO GRANITO - BALDOSA BH5 33 x 33</t>
  </si>
  <si>
    <t>CLAV0 DE ACER0</t>
  </si>
  <si>
    <t xml:space="preserve">Homecenter nov 29-23- internet </t>
  </si>
  <si>
    <t>LAMINA ETERBOARD #6 2.44X1.22</t>
  </si>
  <si>
    <t>LAMINA ETERBOARD #8 2.44X1.22</t>
  </si>
  <si>
    <t>TOR. LAMINA  6 -  1 1/2</t>
  </si>
  <si>
    <t xml:space="preserve">TORNILLOS CORTOS </t>
  </si>
  <si>
    <t>TORNILLOS 8MM</t>
  </si>
  <si>
    <t>TORNILLOS 6MM</t>
  </si>
  <si>
    <t>CINTA X90</t>
  </si>
  <si>
    <t>CINTA X75</t>
  </si>
  <si>
    <t>MASILLA TEFLON</t>
  </si>
  <si>
    <t>SUPERMASTIK</t>
  </si>
  <si>
    <t>PERFIL PARAL PARA MUROS EN DRY-WALL</t>
  </si>
  <si>
    <t>PRICIPALES CAL 26 LONG 2.44ML</t>
  </si>
  <si>
    <t xml:space="preserve">2021 Cesar </t>
  </si>
  <si>
    <t>PERFIL OMEGA C 26 X 2.44ML</t>
  </si>
  <si>
    <t>ANGULOS CAL 26 LONG 2.44ML</t>
  </si>
  <si>
    <t>LUBRICANTE</t>
  </si>
  <si>
    <t>CARAPLAST</t>
  </si>
  <si>
    <t>LAMINA PLANA FIBROCEMENTO 1.22X1.22</t>
  </si>
  <si>
    <t>FIBERGLASS DURACUSTIC 5/8</t>
  </si>
  <si>
    <t>LAMINA DRY-WALL PLANO NACIONAL 1/2 1.22 X 2.44</t>
  </si>
  <si>
    <t>LAMINA DRY-WALL PLANO IMPORTADA 1/2 1.22 X 2.44</t>
  </si>
  <si>
    <t>LAMINA DRY-WALL PLANO IMPORTADA RH RESISTENTE A LA HUMEDAD 1/2 1.22 X 2.44</t>
  </si>
  <si>
    <t>ÁNGULO CIELO FALSO ALUMINIO 1'X 1"</t>
  </si>
  <si>
    <t>PERFIL  EN T ALUMINIO 1/2 X 1/2</t>
  </si>
  <si>
    <t xml:space="preserve">2023 Cesar </t>
  </si>
  <si>
    <t>LAM. ICOPOR LISA 1 X 1 X 20MM</t>
  </si>
  <si>
    <t>21900 Homecenter dic 1-23</t>
  </si>
  <si>
    <t>PERFIL U DE ALUMINIO 3/8 X 3/8</t>
  </si>
  <si>
    <t>PLOMAGINADO CORDON 3/8 K = 9.6</t>
  </si>
  <si>
    <t>CCC SELLO POLIURETANO BLANCO REF 40741</t>
  </si>
  <si>
    <t xml:space="preserve">SIKA IGASOL CUB. X  3.5 KLS 94591- 1 kg </t>
  </si>
  <si>
    <t>SIKA FELT (40MT) MANTO EN FRIO</t>
  </si>
  <si>
    <t>SIKA 101 GRIS (10KG)</t>
  </si>
  <si>
    <t>SIKA 101 BLANCO (10KG)</t>
  </si>
  <si>
    <t>SIKA ALUMOL X 16 KLS 94547</t>
  </si>
  <si>
    <t>MANTO EDIL ESTÁNDAR 3MM</t>
  </si>
  <si>
    <t>SIKA IMPER MUR X 2 KLS 177333</t>
  </si>
  <si>
    <t>Kg.</t>
  </si>
  <si>
    <t>SIKA ANTISOL ROJO X 16 KLS 94227</t>
  </si>
  <si>
    <t>SIKA ANTISOL BLANCO X 200 KLS 94225</t>
  </si>
  <si>
    <t>SIKA MERULEX I.F.S X 3 KLOS</t>
  </si>
  <si>
    <t>SIKA SET L X  5 KLS 93982</t>
  </si>
  <si>
    <t>PLASTOCRETE DM X 4,5KG</t>
  </si>
  <si>
    <t>SIKA IMPER MUR X 4KG</t>
  </si>
  <si>
    <t>SIKA LATEX X 20KG</t>
  </si>
  <si>
    <t>ESTUKA ACRILICO (30KG)</t>
  </si>
  <si>
    <t>gL</t>
  </si>
  <si>
    <t>SIKA TRANSPARENTE 10  (5KG)</t>
  </si>
  <si>
    <t xml:space="preserve">SIKA TRANSPARENTE </t>
  </si>
  <si>
    <t>SIKA-2 (5.5 KG)</t>
  </si>
  <si>
    <t>Fria Cesar -2023</t>
  </si>
  <si>
    <t>CINTA SIKA 22 (15,00 ML)</t>
  </si>
  <si>
    <t>CINTA SIKA 0 -15 (30,00 ML)</t>
  </si>
  <si>
    <t>CINTA SIKA 10 (30,00 ML)</t>
  </si>
  <si>
    <t>REJILLAS EN PERFIL I DE 4"-LONG. 1.00ML ANCHO .76ML, RERFILES ESPACIADOS CADA .07MT</t>
  </si>
  <si>
    <t>REJILLAS EN PERFIL I DE 6"-LONG. 1.00ML ANCHO .76ML, RERFILES ESPACIADOS CADA .07MT</t>
  </si>
  <si>
    <t>TUBO ESTRUCTURAL COLMENA 60 X 40 X 3,0MM X 6MTS</t>
  </si>
  <si>
    <t>TUBO ESTRUCTURAL COLMENA 200 X 70 X 4,0MM X 6MTS</t>
  </si>
  <si>
    <t>ok 2,021</t>
  </si>
  <si>
    <t>TORNILLO FIJADOR CANALETA</t>
  </si>
  <si>
    <t>TOR. F. DE ALA CANALETA</t>
  </si>
  <si>
    <t>TEJA CAN. 90 6.00 M</t>
  </si>
  <si>
    <t>TEJA P. ONDULADA # 4 BARROCA ETERNIT</t>
  </si>
  <si>
    <t>LAMINA ONDULADA BARROCA FIBROCEMENTO  No. 8 AREA UTIL 2.30 M2</t>
  </si>
  <si>
    <t>ok 2,023</t>
  </si>
  <si>
    <t>AMARRES N. 16</t>
  </si>
  <si>
    <t>GANCHO GALV. 4.7 MM X 25 CMS  AJOVER</t>
  </si>
  <si>
    <t>PERFIL PHR C 160X60X6 1.5MM C/AN K16 ACE</t>
  </si>
  <si>
    <t>PERFIL GALVANIZADO PHR</t>
  </si>
  <si>
    <t>220 X 80 X K 14 X 6 MTS</t>
  </si>
  <si>
    <t>PERFIL PHR C 220 x 80 x K 14</t>
  </si>
  <si>
    <t>peso /ml</t>
  </si>
  <si>
    <t>Kg</t>
  </si>
  <si>
    <t>PERFIL PHR C 120X60 X 6 MTS CAL 16</t>
  </si>
  <si>
    <t>SOLDADURA 6011X1/8</t>
  </si>
  <si>
    <t xml:space="preserve">CUBIERTA ARQUITECTONICA ACESCO  -AREA UTIL 2,1228 M2 TEJA ARQUIT T/ZOIDAL C 30 X 2.44 ML </t>
  </si>
  <si>
    <t>TEJA ARQ GALV TZA 0.73 * 2.44 C30 (0.30 mm)</t>
  </si>
  <si>
    <t>CABALLETE TERM 0,60M * 0,27MM * 2.0M</t>
  </si>
  <si>
    <t>TORNILLOS AUTOPERFORANTE 7/8</t>
  </si>
  <si>
    <t>TORNILLOS TPF 3/4</t>
  </si>
  <si>
    <t>TEJA TERMOACUSTIC RESIDENC FOIL/BLANCA 2.44
AJOVER</t>
  </si>
  <si>
    <t>LAM. ZINC COR. ACESCO 3 X 10 C-34</t>
  </si>
  <si>
    <t>LAM. ZINC COR. ACESCO 3 X 8 C-34</t>
  </si>
  <si>
    <t>LAM. ZINC COR. ACESCO 3 X 7 C-34</t>
  </si>
  <si>
    <t>MALLA C/VENA 200 X 50</t>
  </si>
  <si>
    <t>TABLERO ACRILICO</t>
  </si>
  <si>
    <t>BOVEDILLA CONCRETO 30X20X60</t>
  </si>
  <si>
    <t>BOVEDILLA CONCRETO 30X20X50</t>
  </si>
  <si>
    <t>BOVEDILLA CONCRETO 25X20X50</t>
  </si>
  <si>
    <t>BOVEDILLA CONCRETO 20X20X50</t>
  </si>
  <si>
    <t>2023</t>
  </si>
  <si>
    <t>BOVEDILLA CONCRETO 15X20X50</t>
  </si>
  <si>
    <t>BLOQUE CONCRETO ESTRUCTURAL  15X19X39</t>
  </si>
  <si>
    <t>BLOQUE CONCRETO ESTRUCTURAL  20X19X39</t>
  </si>
  <si>
    <t>BLOQUE ESTRUCTURAL CONCRETO SPLIT GRIS 15X19X39-12,5 M2</t>
  </si>
  <si>
    <t>BLOQUE ESTRUCTURAL CONCRETO SPLIT COLOR 15X19X39-12,5 M2</t>
  </si>
  <si>
    <t>BLOQUE ABUSARDADO CEMENTO H 15 X 20 X 40</t>
  </si>
  <si>
    <t>CALADOS DE CEMENTO</t>
  </si>
  <si>
    <t>BOVEDILLA 20X15X50</t>
  </si>
  <si>
    <t>BLOQUE CONCRETO 15X20X40</t>
  </si>
  <si>
    <t>BLOQUE CONCRETO 12X20X40</t>
  </si>
  <si>
    <t>2022</t>
  </si>
  <si>
    <t>BLOQUE CEMENTO 10X20X40</t>
  </si>
  <si>
    <t>TAPA METALICA POZO DE INSPECCION ,60</t>
  </si>
  <si>
    <t>AROTAPA DIAMETRO 60CM-AROBASE DIAMETRO 73CM MANJOL -INCL. EMPARILLADO EN VARILLA DE 1/2"</t>
  </si>
  <si>
    <t>Día</t>
  </si>
  <si>
    <t>Formaleta metálica para Cámara Circular</t>
  </si>
  <si>
    <t>CAJA DE DISTRIBUCION</t>
  </si>
  <si>
    <t xml:space="preserve">Cdta </t>
  </si>
  <si>
    <t>TANQUE HORIZONTAL ENTERRAR 2000LT</t>
  </si>
  <si>
    <t>TANQUE TRAMPA GRASAS 95 LTS</t>
  </si>
  <si>
    <t>TUBO PVC AGUAS NEGRAS 18" Novafor</t>
  </si>
  <si>
    <t xml:space="preserve">TUBERIA PVC PERFORADA 8" </t>
  </si>
  <si>
    <t>OK 2,020</t>
  </si>
  <si>
    <t>CANAL AMAZONAS X 3 MTS PAVCO.</t>
  </si>
  <si>
    <t>BAJANTE X 3 MTS PVC PAVCO. B.S</t>
  </si>
  <si>
    <t>TUBO PVC AGUAS NEGRAS 60" Novaloc</t>
  </si>
  <si>
    <t>TUBO PVC AGUAS NEGRAS 51" Novaloc</t>
  </si>
  <si>
    <t>TUBO PVC AGUAS NEGRAS 42" Novafor</t>
  </si>
  <si>
    <t>TUBO PVC AGUAS NEGRAS 30" Novafor</t>
  </si>
  <si>
    <t>TUBO PVC AGUAS NEGRAS 20" Novafor  500 MM</t>
  </si>
  <si>
    <t>TUBO PVC AGUAS NEGRAS 16" Novafor  400 MM</t>
  </si>
  <si>
    <t>TUBO PVC AGUAS NEGRAS 14" Novafor  355MM</t>
  </si>
  <si>
    <t>TUBO PVC AGUAS NEGRAS 12" Novafor  315 MM</t>
  </si>
  <si>
    <t>TUBO PVC AGUAS NEGRAS 10" Novafor  250 MM</t>
  </si>
  <si>
    <t>TUBO PVC AGUAS NEGRAS 8" Novafor de pavco  200 MM</t>
  </si>
  <si>
    <t>TUBO PVC AGUAS NEGRAS 6" Novafor de pavco  160 MM</t>
  </si>
  <si>
    <t>UNIÓN PVC SANITARIA 6</t>
  </si>
  <si>
    <t>CODO SANITARIO PVC CXC DE 45° DE 6"</t>
  </si>
  <si>
    <t xml:space="preserve">TUBO PVC SANITARIO 6" </t>
  </si>
  <si>
    <t>TUBO VENTILACION 3"</t>
  </si>
  <si>
    <t>CODO SANITARIO PVC CXC DE 45° DE 3"</t>
  </si>
  <si>
    <t>TUBO PVC SANITARIO 3"</t>
  </si>
  <si>
    <t>CODO 90° 1/4 CXC SANITARIO 3"</t>
  </si>
  <si>
    <t>TUBO PVC SANITARIO 1 1/2</t>
  </si>
  <si>
    <t>CODO 90° 1/4 CXC SANITARIO 1 1/2</t>
  </si>
  <si>
    <t>UNIÓN PVC SANIT 1 1/2</t>
  </si>
  <si>
    <t>UNIÓN PVC SANIT  3"</t>
  </si>
  <si>
    <t>TUBO VENTILACION 2"</t>
  </si>
  <si>
    <t>CODO 90° 1/4 CXC SANITARIO 2</t>
  </si>
  <si>
    <t>UNIÓN PVC SANIT  2</t>
  </si>
  <si>
    <t>YEE SANITARIA 2</t>
  </si>
  <si>
    <t>TUBO PVC SANITARIO 2</t>
  </si>
  <si>
    <t>LIMPIADOR REMOV. 1/4 PAVCO.</t>
  </si>
  <si>
    <t>SOLDADURA PVC PAVCO 1/4</t>
  </si>
  <si>
    <t>TUBO VENTILACION  4"</t>
  </si>
  <si>
    <t>UNIÓN PVC SANITARIA 4</t>
  </si>
  <si>
    <t>CODO SANITARIO PVC CXC DE 45° DE 4</t>
  </si>
  <si>
    <t>CODO 90°  1/4 CXC SANITARIO 4</t>
  </si>
  <si>
    <t xml:space="preserve">TUBO PVC SANITARIO 4 PULG. </t>
  </si>
  <si>
    <t>YEE SANITARIA PVC REDUCIDA 4 X 2</t>
  </si>
  <si>
    <t>CODO SANITARIO PVC CXC DE 45° DE 2"</t>
  </si>
  <si>
    <t>SEGUETA NICHOLSON</t>
  </si>
  <si>
    <t>MALLA GAVION 2 X 1 X 1 K 13</t>
  </si>
  <si>
    <t>ALAMBRE GALV. K 10</t>
  </si>
  <si>
    <t>PLATINA  1/4" X 1 1/2" X 6 ML</t>
  </si>
  <si>
    <t>Fria Cesar</t>
  </si>
  <si>
    <t>ANGULO 1/8" X 1 1/2" X 6 ML</t>
  </si>
  <si>
    <t>ANGULO 1/4" X 2" X 6 ML</t>
  </si>
  <si>
    <t>ANGULO 1/4" X 2 1/2" X 6 ML</t>
  </si>
  <si>
    <t>ACERO DE Ø1 CORRUGADA</t>
  </si>
  <si>
    <t>ACERO DE Ø3/4 LISO</t>
  </si>
  <si>
    <t>ACERO DE Ø3/4 CORRUGADA</t>
  </si>
  <si>
    <t>ACERO DE Ø5/8 CORRUGADA</t>
  </si>
  <si>
    <t>ACERO DE Ø1/2 CORRUGADA</t>
  </si>
  <si>
    <t>ACERO DE Ø3/8 CORRUGADA</t>
  </si>
  <si>
    <t xml:space="preserve">ACERO DE Ø1/4 CORRUGADA </t>
  </si>
  <si>
    <t>ACERO DE Ø1/4 CORRUGADA</t>
  </si>
  <si>
    <t xml:space="preserve">Cesar- Vdupar -Homecenter </t>
  </si>
  <si>
    <t>ACERO DE REFUERZO PDR-40</t>
  </si>
  <si>
    <t>ALAMBRE NEGRO No.17 kG</t>
  </si>
  <si>
    <t>lb</t>
  </si>
  <si>
    <t>PUNTILLA CON CABEZA 1 1/ 2 a 3 1/2"</t>
  </si>
  <si>
    <t>PUNTILLA CON CABEZA 3/4 a 1"</t>
  </si>
  <si>
    <t>Fria Cesar-2023</t>
  </si>
  <si>
    <t>PUNTILLA 2 1/2" X 11 CC</t>
  </si>
  <si>
    <t>d</t>
  </si>
  <si>
    <t xml:space="preserve">INVIAS </t>
  </si>
  <si>
    <t>h</t>
  </si>
  <si>
    <t>CARROTANQUE (1.000 Litros)</t>
  </si>
  <si>
    <t xml:space="preserve">Vibrocompatador Dynapac C15
</t>
  </si>
  <si>
    <t>lt</t>
  </si>
  <si>
    <t>AGUA DE CARROTANQUE</t>
  </si>
  <si>
    <t>Formaletas</t>
  </si>
  <si>
    <t>Retroexcavadora sobre oruga, potencia 138 HP, balde de 1,5 m3.</t>
  </si>
  <si>
    <t>Cargador : Potencia en el volante 125 hp, Clasificación de RPM del motor 2300.</t>
  </si>
  <si>
    <t>Cargador : Potencia en el volante 110 hp, Clasificación de RPM del motor 2300.</t>
  </si>
  <si>
    <t>Invias</t>
  </si>
  <si>
    <t>m3/Km</t>
  </si>
  <si>
    <t xml:space="preserve">VOLQUETA </t>
  </si>
  <si>
    <t>MOTONIVELADORA</t>
  </si>
  <si>
    <t>km</t>
  </si>
  <si>
    <t>TRANSPORTE MOTONIVELADORA</t>
  </si>
  <si>
    <t>OK 2022</t>
  </si>
  <si>
    <t>TELA VERDE ESTABILIZADA H=2.1</t>
  </si>
  <si>
    <t>BOMBÓN PLASTICO (20 USOS)</t>
  </si>
  <si>
    <t>CINTA SEGURIDAD DE 75 MM X 100 MTS</t>
  </si>
  <si>
    <t>VIBROCOMPACTADOR TIPO DINAPAC CA 15</t>
  </si>
  <si>
    <t xml:space="preserve">TRANSPORTE MEZCLA DENSA </t>
  </si>
  <si>
    <t>TRANSPORTE MATERIAL</t>
  </si>
  <si>
    <t xml:space="preserve">TOPOGRAFO </t>
  </si>
  <si>
    <t>Actualizacion honorarios 2023</t>
  </si>
  <si>
    <t xml:space="preserve">TOPOGRAFO - Profesional Categoria 5 </t>
  </si>
  <si>
    <t xml:space="preserve">CADENERO 2 </t>
  </si>
  <si>
    <t xml:space="preserve">CADENERO 1 </t>
  </si>
  <si>
    <t>Equipo de topografía teodolito electrónico con abertura de anteojo de 42- 45 mm. aumento del anteojo: 30x.distancia mínima de enfoque: 1 - 1.5 m. precisión: 5´´</t>
  </si>
  <si>
    <t>PIE</t>
  </si>
  <si>
    <t>ABARCO</t>
  </si>
  <si>
    <t>CARRETO</t>
  </si>
  <si>
    <t>ROBLE</t>
  </si>
  <si>
    <t>CEDRO</t>
  </si>
  <si>
    <t>TOLUA</t>
  </si>
  <si>
    <t>ALGARROBILLO</t>
  </si>
  <si>
    <t>Cesar 2021</t>
  </si>
  <si>
    <t>TABLA ALGARROBILLO BURRA 25CMT X3MTR</t>
  </si>
  <si>
    <t>Cesar 2022</t>
  </si>
  <si>
    <t>TABLAS ALGARROBILLO 1" X 30 X 3MTS</t>
  </si>
  <si>
    <t>TABLA 2''X4"X3.00MT ALGARROBILLO</t>
  </si>
  <si>
    <t>TABLA CEDRO / TOLUA  1" X 30 CM X 3MTS</t>
  </si>
  <si>
    <t>Cesar 2023</t>
  </si>
  <si>
    <t>TABLA 1''X2"X3.00MT ALGARROBILLO</t>
  </si>
  <si>
    <t>ALGARROBILLO 2"X2"X3.00MT</t>
  </si>
  <si>
    <t>TABLA  ALGARROBILLO 1"  X 4" X 3 MTS</t>
  </si>
  <si>
    <t>ESTACA DE MADERA 2" X 2" X 1 MTRO</t>
  </si>
  <si>
    <t>VR. UNIT</t>
  </si>
  <si>
    <t>DESCRIPCION</t>
  </si>
  <si>
    <t>LISTADO DE MATERIALES-VALLEDUPAR</t>
  </si>
  <si>
    <t>Limpieza, lavado y adecuación superficial de escenario deportivo existente</t>
  </si>
  <si>
    <t>Resane y reparación puntual de fisuras, desprendimientos e imperfecciones en superficie de concreto</t>
  </si>
  <si>
    <t>Demarcación reglamentaria de superficie deportiva mediante aplicación de pintura de tráfico</t>
  </si>
  <si>
    <t>Suministro y aplicación de pintura acrílica especializada para superficies deportivas</t>
  </si>
  <si>
    <t>Mantenimiento correctivo y preventivo de estructuras metálicas de porterías deportivas</t>
  </si>
  <si>
    <t>Mantenimiento y adecuación de tableros y elementos de baloncesto existentes</t>
  </si>
  <si>
    <t>Suministro e instalación de luminaria LED tipo Roy Alpha Calima II de 250 W, incluye fotocelda, bombillo, accesorios eléctricos y puesta en funcionamiento</t>
  </si>
  <si>
    <t>Suministro e instalación de arco metálico reglamentario para fútbol sala, incluye anclajes y fijaciones</t>
  </si>
  <si>
    <t>Suministro e instalación de cerramiento en malla eslabonada galvanizada, incluye estructura de soporte y accesorios de fijación</t>
  </si>
  <si>
    <t>FECHA: DE 2.026</t>
  </si>
  <si>
    <t>PRESUPUESTO GENERAL</t>
  </si>
  <si>
    <t>INGETIQUES S.A.S.</t>
  </si>
  <si>
    <t xml:space="preserve">NIT 901875361 - 7 </t>
  </si>
  <si>
    <t>Mejoramiento y Adecuación De Escenarios Recreo Deportivos En El Municipio De Agustín Codazzi - Cesar</t>
  </si>
  <si>
    <t>SUBTOTAL COSTOS DIRECTO DEL PROYECTO</t>
  </si>
  <si>
    <t xml:space="preserve">TOTAL COSTO DEL PROYECTO </t>
  </si>
  <si>
    <t xml:space="preserve">ADMINISTRACIÓN </t>
  </si>
  <si>
    <t xml:space="preserve">IMPREVISTOS </t>
  </si>
  <si>
    <t xml:space="preserve">UTILIDAD </t>
  </si>
  <si>
    <t>Suministro e instalación de lampara Roy Alpha tipo calima ll 250 ws, incl. fotocelda y bombillo</t>
  </si>
  <si>
    <t xml:space="preserve">CANCHAS A MEJORAR </t>
  </si>
  <si>
    <t xml:space="preserve">SECRETARIA DE EDUCACION </t>
  </si>
  <si>
    <t>A.I.U.=</t>
  </si>
  <si>
    <t>TOTAL A.I.U</t>
  </si>
  <si>
    <t>U=</t>
  </si>
  <si>
    <t xml:space="preserve">UTILIDAD
</t>
  </si>
  <si>
    <t>I=</t>
  </si>
  <si>
    <t xml:space="preserve">IMPREVISTO
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</si>
  <si>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</si>
  <si>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>A=</t>
  </si>
  <si>
    <t>ADMINISTRACION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</si>
  <si>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</si>
  <si>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PORCENTAJE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</si>
  <si>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</si>
  <si>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VALOR TOTAL</t>
  </si>
  <si>
    <t>SUBTOTAL OBRAS (INCLUYE IVA)</t>
  </si>
  <si>
    <t xml:space="preserve">SUBTOTAL OBRAS </t>
  </si>
  <si>
    <t>Subtotal</t>
  </si>
  <si>
    <t>PARTICULAR</t>
  </si>
  <si>
    <t>GENERAL</t>
  </si>
  <si>
    <t xml:space="preserve">VALOR TOTAL                                </t>
  </si>
  <si>
    <t>VALOR UNITARIO</t>
  </si>
  <si>
    <t>UND.</t>
  </si>
  <si>
    <t xml:space="preserve">ESPECIFICACIONES </t>
  </si>
  <si>
    <t>ITEM DE PAGO</t>
  </si>
  <si>
    <t>Nº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</si>
  <si>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</si>
  <si>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</si>
  <si>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PRESUPUESTO OFICIAL</t>
  </si>
  <si>
    <t>FORMULARIO 1</t>
  </si>
  <si>
    <t>Versión: 1 del 21 de agosto de 2025</t>
  </si>
  <si>
    <t>Formulario 1 - Propuesta económica  - Documento tipo de selección abreviada de menor cuantía - versión 1</t>
  </si>
  <si>
    <t>subtotal</t>
  </si>
  <si>
    <t>CANCHA DE LLERASCA</t>
  </si>
  <si>
    <t>IMPREVISTO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</si>
</sst>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0.0"/>
    <numFmt numFmtId="166" formatCode="&quot;$&quot;#,##0"/>
    <numFmt numFmtId="167" formatCode="0.000"/>
    <numFmt numFmtId="168" formatCode="_ * #,##0_ ;_ * \-#,##0_ ;_ * &quot;-&quot;_ ;_ @_ "/>
    <numFmt numFmtId="169" formatCode="_ * #,##0.00_ ;_ * \-#,##0.00_ ;_ * &quot;-&quot;??_ ;_ @_ "/>
    <numFmt numFmtId="170" formatCode="#,##0.00_);\-#,##0.00"/>
    <numFmt numFmtId="171" formatCode="[$$-240A]\ #,##0.00"/>
    <numFmt numFmtId="172" formatCode="[$-240A]d&quot; de &quot;mmmm&quot; de &quot;yyyy;@"/>
    <numFmt numFmtId="173" formatCode="0.0000"/>
    <numFmt numFmtId="174" formatCode="_ * #,##0.000_ ;_ * \-#,##0.000_ ;_ * &quot;-&quot;??_ ;_ @_ "/>
    <numFmt numFmtId="175" formatCode="#,##0.0_);\-#,##0.0"/>
    <numFmt numFmtId="176" formatCode="###,##0.00\ "/>
    <numFmt numFmtId="177" formatCode="_ * #,##0_ ;_ * \-#,##0_ ;_ * &quot;-&quot;??_ ;_ @_ "/>
    <numFmt numFmtId="178" formatCode="_(* #,##0.00_);_(* \(#,##0.00\);_(* &quot;-&quot;??_);_(@_)"/>
    <numFmt numFmtId="179" formatCode="_ &quot;$&quot;\ * #,##0_ ;_ &quot;$&quot;\ * \-#,##0_ ;_ &quot;$&quot;\ * &quot;-&quot;_ ;_ @_ "/>
    <numFmt numFmtId="180" formatCode="_ &quot;$&quot;\ * #,##0.00_ ;_ &quot;$&quot;\ * \-#,##0.00_ ;_ &quot;$&quot;\ * &quot;-&quot;_ ;_ @_ "/>
    <numFmt numFmtId="181" formatCode="_(&quot;$&quot;\ * #,##0_);_(&quot;$&quot;\ * \(#,##0\);_(&quot;$&quot;\ * &quot;-&quot;_);_(@_)"/>
    <numFmt numFmtId="182" formatCode="_([$$-240A]\ * #,##0.00_);_([$$-240A]\ * \(#,##0.00\);_([$$-240A]\ * &quot;-&quot;??_);_(@_)"/>
    <numFmt numFmtId="183" formatCode="0#.00\ \L\t"/>
    <numFmt numFmtId="184" formatCode="_-[$$-240A]\ * #,##0.00_ ;_-[$$-240A]\ * \-#,##0.00\ ;_-[$$-240A]\ * &quot;-&quot;??_ ;_-@_ "/>
    <numFmt numFmtId="185" formatCode="_ [$$-240A]\ * #,##0.00_ ;_ [$$-240A]\ * \-#,##0.00_ ;_ [$$-240A]\ * &quot;-&quot;??_ ;_ @_ "/>
    <numFmt numFmtId="186" formatCode="_([$$-240A]\ * #,##0_);_([$$-240A]\ * \(#,##0\);_([$$-240A]\ * &quot;-&quot;??_);_(@_)"/>
    <numFmt numFmtId="187" formatCode="_-* #,##0.00\ &quot;Pts&quot;_-;\-* #,##0.00\ &quot;Pts&quot;_-;_-* &quot;-&quot;??\ &quot;Pts&quot;_-;_-@_-"/>
    <numFmt numFmtId="188" formatCode="_-[$$-240A]* #,##0.00_-;\-[$$-240A]* #,##0.00_-;_-[$$-240A]* &quot;-&quot;??_-;_-@_-"/>
    <numFmt numFmtId="189" formatCode="&quot;$&quot;\ #,##0.00;[Red]&quot;$&quot;\ \-#,##0.00"/>
    <numFmt numFmtId="190" formatCode="&quot;$&quot;\ #,##0.00_);\(&quot;$&quot;\ #,##0.00\)"/>
  </numFmts>
  <fonts count="7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charset val="204"/>
    </font>
    <font>
      <sz val="12"/>
      <color rgb="FF000000"/>
      <name val="Aptos"/>
      <family val="2"/>
    </font>
    <font>
      <sz val="10"/>
      <color rgb="FF000000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theme="1"/>
      <name val="Aptos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MS Sans Serif"/>
    </font>
    <font>
      <sz val="10"/>
      <color indexed="8"/>
      <name val="Calibri"/>
      <family val="2"/>
      <scheme val="minor"/>
    </font>
    <font>
      <sz val="7.9"/>
      <color indexed="8"/>
      <name val="Arial"/>
      <family val="2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7.9"/>
      <color indexed="8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name val="Calibri"/>
      <family val="2"/>
      <scheme val="minor"/>
    </font>
    <font>
      <sz val="10"/>
      <color rgb="FF0070C0"/>
      <name val="MS Sans Serif"/>
      <family val="2"/>
    </font>
    <font>
      <sz val="10"/>
      <color rgb="FFFF0000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sz val="11"/>
      <name val="Arial"/>
      <family val="2"/>
    </font>
    <font>
      <sz val="10"/>
      <color rgb="FFFF0000"/>
      <name val="Arial"/>
      <family val="2"/>
    </font>
    <font>
      <sz val="12"/>
      <color rgb="FFFF0000"/>
      <name val="Calibri"/>
      <family val="2"/>
    </font>
    <font>
      <sz val="10"/>
      <name val="Arial Narrow"/>
      <family val="2"/>
    </font>
    <font>
      <sz val="14"/>
      <color indexed="8"/>
      <name val="Calibri"/>
      <family val="2"/>
      <scheme val="minor"/>
    </font>
    <font>
      <sz val="10"/>
      <name val="MS Sans Serif"/>
      <family val="2"/>
    </font>
    <font>
      <sz val="9.75"/>
      <color indexed="8"/>
      <name val="Calibri"/>
      <family val="2"/>
      <scheme val="minor"/>
    </font>
    <font>
      <sz val="9.75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0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0"/>
      <name val="Tahoma"/>
      <family val="2"/>
    </font>
    <font>
      <b/>
      <sz val="10"/>
      <name val="MS Sans Serif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8"/>
      <color theme="0"/>
      <name val="Arial"/>
      <family val="2"/>
    </font>
    <font>
      <b/>
      <sz val="11"/>
      <color theme="0"/>
      <name val="Arial"/>
      <family val="2"/>
    </font>
    <font>
      <b/>
      <sz val="18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b/>
      <sz val="14"/>
      <color theme="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6"/>
      <color theme="0"/>
      <name val="Arial"/>
      <family val="2"/>
    </font>
    <font>
      <b/>
      <sz val="16"/>
      <color theme="1"/>
      <name val="Calibri"/>
      <family val="2"/>
      <scheme val="minor"/>
    </font>
    <font>
      <sz val="11"/>
      <name val="Verdana"/>
      <family val="2"/>
    </font>
    <font>
      <sz val="10"/>
      <name val="Arial"/>
    </font>
    <font>
      <b/>
      <sz val="11"/>
      <name val="Verdana"/>
      <family val="2"/>
    </font>
    <font>
      <b/>
      <u/>
      <sz val="11"/>
      <name val="Verdana"/>
      <family val="2"/>
    </font>
    <font>
      <sz val="11"/>
      <color rgb="FF595959"/>
      <name val="Verdana"/>
      <family val="2"/>
    </font>
    <font>
      <b/>
      <sz val="11"/>
      <color rgb="FF595959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0" fontId="4" fillId="0" borderId="0"/>
    <xf numFmtId="44" fontId="6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6" fillId="0" borderId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169" fontId="37" fillId="0" borderId="0" applyFont="0" applyFill="0" applyBorder="0" applyAlignment="0" applyProtection="0"/>
    <xf numFmtId="0" fontId="37" fillId="0" borderId="0"/>
    <xf numFmtId="0" fontId="3" fillId="0" borderId="0"/>
    <xf numFmtId="0" fontId="67" fillId="0" borderId="0"/>
    <xf numFmtId="9" fontId="37" fillId="0" borderId="0" applyFont="0" applyFill="0" applyBorder="0" applyAlignment="0" applyProtection="0"/>
    <xf numFmtId="183" fontId="37" fillId="0" borderId="0" applyFont="0" applyFill="0" applyBorder="0" applyAlignment="0" applyProtection="0"/>
    <xf numFmtId="0" fontId="37" fillId="0" borderId="0"/>
    <xf numFmtId="187" fontId="37" fillId="0" borderId="0" applyFont="0" applyFill="0" applyBorder="0" applyAlignment="0" applyProtection="0"/>
    <xf numFmtId="0" fontId="37" fillId="0" borderId="0"/>
    <xf numFmtId="0" fontId="37" fillId="0" borderId="0"/>
    <xf numFmtId="179" fontId="37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37" fillId="0" borderId="0"/>
  </cellStyleXfs>
  <cellXfs count="59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 applyAlignment="1">
      <alignment horizontal="left" vertical="top"/>
    </xf>
    <xf numFmtId="0" fontId="9" fillId="0" borderId="1" xfId="1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44" fontId="4" fillId="0" borderId="0" xfId="1" applyNumberFormat="1" applyAlignment="1">
      <alignment horizontal="left" vertical="top"/>
    </xf>
    <xf numFmtId="9" fontId="4" fillId="0" borderId="0" xfId="1" applyNumberFormat="1" applyAlignment="1">
      <alignment horizontal="left" vertical="top"/>
    </xf>
    <xf numFmtId="0" fontId="8" fillId="0" borderId="29" xfId="1" applyFont="1" applyBorder="1" applyAlignment="1">
      <alignment horizontal="justify" wrapText="1"/>
    </xf>
    <xf numFmtId="0" fontId="9" fillId="0" borderId="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justify" wrapText="1"/>
    </xf>
    <xf numFmtId="0" fontId="12" fillId="0" borderId="29" xfId="3" applyFont="1" applyBorder="1" applyAlignment="1">
      <alignment horizontal="center" vertical="center" wrapText="1"/>
    </xf>
    <xf numFmtId="44" fontId="11" fillId="7" borderId="10" xfId="2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top"/>
    </xf>
    <xf numFmtId="165" fontId="8" fillId="2" borderId="7" xfId="3" applyNumberFormat="1" applyFont="1" applyFill="1" applyBorder="1" applyAlignment="1">
      <alignment horizontal="center" wrapText="1"/>
    </xf>
    <xf numFmtId="44" fontId="8" fillId="2" borderId="9" xfId="4" applyFont="1" applyFill="1" applyBorder="1" applyAlignment="1">
      <alignment horizontal="center" wrapText="1"/>
    </xf>
    <xf numFmtId="0" fontId="7" fillId="2" borderId="10" xfId="3" applyFont="1" applyFill="1" applyBorder="1" applyAlignment="1">
      <alignment horizontal="center" vertical="center" wrapText="1"/>
    </xf>
    <xf numFmtId="1" fontId="8" fillId="0" borderId="1" xfId="3" applyNumberFormat="1" applyFont="1" applyBorder="1" applyAlignment="1">
      <alignment horizontal="center" vertical="center" wrapText="1"/>
    </xf>
    <xf numFmtId="44" fontId="8" fillId="0" borderId="1" xfId="4" applyFont="1" applyBorder="1" applyAlignment="1">
      <alignment horizontal="center" vertical="center" wrapText="1"/>
    </xf>
    <xf numFmtId="9" fontId="8" fillId="0" borderId="1" xfId="6" applyNumberFormat="1" applyFont="1" applyBorder="1" applyAlignment="1">
      <alignment horizontal="center" vertical="center" wrapText="1"/>
    </xf>
    <xf numFmtId="44" fontId="8" fillId="0" borderId="20" xfId="4" applyFont="1" applyBorder="1" applyAlignment="1">
      <alignment horizontal="center" vertical="center" wrapText="1"/>
    </xf>
    <xf numFmtId="44" fontId="8" fillId="3" borderId="24" xfId="4" applyFont="1" applyFill="1" applyBorder="1" applyAlignment="1">
      <alignment horizontal="center" wrapText="1"/>
    </xf>
    <xf numFmtId="44" fontId="8" fillId="0" borderId="1" xfId="2" applyFont="1" applyBorder="1" applyAlignment="1">
      <alignment horizontal="center" vertical="center" wrapText="1"/>
    </xf>
    <xf numFmtId="2" fontId="8" fillId="0" borderId="1" xfId="6" applyNumberFormat="1" applyFont="1" applyBorder="1" applyAlignment="1">
      <alignment horizontal="center" vertical="center" wrapText="1"/>
    </xf>
    <xf numFmtId="0" fontId="8" fillId="0" borderId="1" xfId="6" applyNumberFormat="1" applyFont="1" applyBorder="1" applyAlignment="1">
      <alignment horizontal="center" vertical="center" wrapText="1"/>
    </xf>
    <xf numFmtId="166" fontId="8" fillId="0" borderId="1" xfId="1" applyNumberFormat="1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 wrapText="1"/>
    </xf>
    <xf numFmtId="2" fontId="8" fillId="0" borderId="1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167" fontId="8" fillId="0" borderId="1" xfId="3" applyNumberFormat="1" applyFont="1" applyBorder="1" applyAlignment="1">
      <alignment horizontal="center" vertical="center" wrapText="1"/>
    </xf>
    <xf numFmtId="44" fontId="8" fillId="0" borderId="1" xfId="3" applyNumberFormat="1" applyFont="1" applyBorder="1" applyAlignment="1">
      <alignment horizontal="center" vertical="center" wrapText="1"/>
    </xf>
    <xf numFmtId="44" fontId="7" fillId="4" borderId="10" xfId="4" applyFont="1" applyFill="1" applyBorder="1" applyAlignment="1">
      <alignment horizontal="center" wrapText="1"/>
    </xf>
    <xf numFmtId="166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165" fontId="12" fillId="5" borderId="7" xfId="3" applyNumberFormat="1" applyFont="1" applyFill="1" applyBorder="1" applyAlignment="1">
      <alignment horizontal="center" wrapText="1"/>
    </xf>
    <xf numFmtId="44" fontId="12" fillId="5" borderId="9" xfId="2" applyFont="1" applyFill="1" applyBorder="1" applyAlignment="1">
      <alignment horizontal="center" wrapText="1"/>
    </xf>
    <xf numFmtId="0" fontId="11" fillId="5" borderId="10" xfId="3" applyFont="1" applyFill="1" applyBorder="1" applyAlignment="1">
      <alignment horizontal="center" vertical="center" wrapText="1"/>
    </xf>
    <xf numFmtId="1" fontId="12" fillId="0" borderId="1" xfId="3" applyNumberFormat="1" applyFont="1" applyBorder="1" applyAlignment="1">
      <alignment horizontal="center" vertical="center" wrapText="1"/>
    </xf>
    <xf numFmtId="44" fontId="12" fillId="0" borderId="1" xfId="2" applyFont="1" applyFill="1" applyBorder="1" applyAlignment="1">
      <alignment horizontal="center" vertical="center" wrapText="1"/>
    </xf>
    <xf numFmtId="0" fontId="12" fillId="0" borderId="1" xfId="6" applyNumberFormat="1" applyFont="1" applyFill="1" applyBorder="1" applyAlignment="1">
      <alignment horizontal="center" vertical="center" wrapText="1"/>
    </xf>
    <xf numFmtId="44" fontId="12" fillId="0" borderId="20" xfId="2" applyFont="1" applyFill="1" applyBorder="1" applyAlignment="1">
      <alignment horizontal="center" vertical="center" wrapText="1"/>
    </xf>
    <xf numFmtId="9" fontId="12" fillId="0" borderId="1" xfId="5" applyFont="1" applyFill="1" applyBorder="1" applyAlignment="1">
      <alignment horizontal="center" vertical="center" wrapText="1"/>
    </xf>
    <xf numFmtId="44" fontId="12" fillId="6" borderId="24" xfId="2" applyFont="1" applyFill="1" applyBorder="1" applyAlignment="1">
      <alignment horizontal="center" wrapText="1"/>
    </xf>
    <xf numFmtId="166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12" fillId="0" borderId="29" xfId="0" applyFont="1" applyBorder="1" applyAlignment="1">
      <alignment horizontal="left" wrapText="1"/>
    </xf>
    <xf numFmtId="2" fontId="12" fillId="0" borderId="1" xfId="3" applyNumberFormat="1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  <xf numFmtId="167" fontId="12" fillId="0" borderId="1" xfId="3" applyNumberFormat="1" applyFont="1" applyBorder="1" applyAlignment="1">
      <alignment horizontal="center" vertical="center" wrapText="1"/>
    </xf>
    <xf numFmtId="9" fontId="12" fillId="0" borderId="1" xfId="3" applyNumberFormat="1" applyFont="1" applyBorder="1" applyAlignment="1">
      <alignment horizontal="center" vertical="center" wrapText="1"/>
    </xf>
    <xf numFmtId="44" fontId="11" fillId="7" borderId="10" xfId="2" applyFont="1" applyFill="1" applyBorder="1" applyAlignment="1">
      <alignment horizontal="center" wrapText="1"/>
    </xf>
    <xf numFmtId="166" fontId="12" fillId="0" borderId="30" xfId="0" applyNumberFormat="1" applyFont="1" applyBorder="1" applyAlignment="1">
      <alignment horizontal="center" vertical="center" wrapText="1"/>
    </xf>
    <xf numFmtId="2" fontId="12" fillId="0" borderId="31" xfId="0" applyNumberFormat="1" applyFont="1" applyBorder="1" applyAlignment="1">
      <alignment horizontal="center" vertical="center" wrapText="1"/>
    </xf>
    <xf numFmtId="0" fontId="17" fillId="0" borderId="0" xfId="7" applyFont="1"/>
    <xf numFmtId="169" fontId="17" fillId="0" borderId="0" xfId="9" applyFont="1"/>
    <xf numFmtId="0" fontId="19" fillId="0" borderId="0" xfId="7" applyFont="1" applyAlignment="1">
      <alignment horizontal="left" vertical="top" wrapText="1"/>
    </xf>
    <xf numFmtId="0" fontId="21" fillId="0" borderId="0" xfId="7" applyFont="1" applyAlignment="1">
      <alignment horizontal="left" vertical="center"/>
    </xf>
    <xf numFmtId="169" fontId="17" fillId="0" borderId="0" xfId="7" applyNumberFormat="1" applyFont="1"/>
    <xf numFmtId="0" fontId="22" fillId="0" borderId="0" xfId="7" applyFont="1" applyAlignment="1">
      <alignment horizontal="left" vertical="top" wrapText="1"/>
    </xf>
    <xf numFmtId="0" fontId="20" fillId="0" borderId="0" xfId="7" applyFont="1" applyAlignment="1">
      <alignment horizontal="left" vertical="center"/>
    </xf>
    <xf numFmtId="0" fontId="23" fillId="0" borderId="0" xfId="7" applyFont="1" applyAlignment="1">
      <alignment horizontal="left" vertical="top" wrapText="1"/>
    </xf>
    <xf numFmtId="0" fontId="20" fillId="0" borderId="0" xfId="7" applyFont="1"/>
    <xf numFmtId="0" fontId="24" fillId="0" borderId="0" xfId="7" applyFont="1"/>
    <xf numFmtId="0" fontId="23" fillId="10" borderId="0" xfId="7" applyFont="1" applyFill="1" applyAlignment="1">
      <alignment horizontal="center" vertical="top" wrapText="1"/>
    </xf>
    <xf numFmtId="171" fontId="17" fillId="0" borderId="0" xfId="7" applyNumberFormat="1" applyFont="1"/>
    <xf numFmtId="172" fontId="17" fillId="0" borderId="0" xfId="7" applyNumberFormat="1" applyFont="1"/>
    <xf numFmtId="169" fontId="28" fillId="0" borderId="0" xfId="9" applyFont="1"/>
    <xf numFmtId="0" fontId="29" fillId="0" borderId="0" xfId="7" applyFont="1"/>
    <xf numFmtId="0" fontId="29" fillId="0" borderId="0" xfId="7" applyFont="1" applyAlignment="1">
      <alignment horizontal="left" vertical="top" wrapText="1"/>
    </xf>
    <xf numFmtId="169" fontId="30" fillId="0" borderId="0" xfId="9" applyFont="1" applyAlignment="1">
      <alignment horizontal="left" vertical="top" wrapText="1"/>
    </xf>
    <xf numFmtId="0" fontId="19" fillId="0" borderId="0" xfId="7" applyFont="1" applyAlignment="1">
      <alignment horizontal="left" vertical="center" wrapText="1"/>
    </xf>
    <xf numFmtId="0" fontId="31" fillId="0" borderId="0" xfId="7" applyFont="1" applyAlignment="1">
      <alignment horizontal="left" vertical="top" wrapText="1"/>
    </xf>
    <xf numFmtId="173" fontId="17" fillId="0" borderId="0" xfId="7" applyNumberFormat="1" applyFont="1"/>
    <xf numFmtId="0" fontId="33" fillId="0" borderId="0" xfId="7" applyFont="1"/>
    <xf numFmtId="0" fontId="33" fillId="0" borderId="0" xfId="7" applyFont="1" applyAlignment="1">
      <alignment horizontal="left" vertical="top" wrapText="1"/>
    </xf>
    <xf numFmtId="169" fontId="34" fillId="0" borderId="0" xfId="9" applyFont="1" applyAlignment="1">
      <alignment horizontal="right" vertical="center"/>
    </xf>
    <xf numFmtId="0" fontId="19" fillId="0" borderId="0" xfId="7" applyFont="1" applyAlignment="1">
      <alignment horizontal="left" vertical="center"/>
    </xf>
    <xf numFmtId="1" fontId="24" fillId="0" borderId="0" xfId="7" applyNumberFormat="1" applyFont="1" applyAlignment="1">
      <alignment horizontal="right"/>
    </xf>
    <xf numFmtId="174" fontId="35" fillId="0" borderId="0" xfId="9" applyNumberFormat="1" applyFont="1" applyFill="1"/>
    <xf numFmtId="169" fontId="24" fillId="0" borderId="0" xfId="9" applyFont="1"/>
    <xf numFmtId="169" fontId="32" fillId="0" borderId="0" xfId="9" applyFont="1" applyAlignment="1">
      <alignment horizontal="right" vertical="center"/>
    </xf>
    <xf numFmtId="14" fontId="17" fillId="0" borderId="0" xfId="7" applyNumberFormat="1" applyFont="1" applyAlignment="1">
      <alignment horizontal="center"/>
    </xf>
    <xf numFmtId="169" fontId="36" fillId="0" borderId="0" xfId="9" applyFont="1"/>
    <xf numFmtId="172" fontId="36" fillId="0" borderId="0" xfId="9" applyNumberFormat="1" applyFont="1"/>
    <xf numFmtId="172" fontId="20" fillId="0" borderId="0" xfId="7" applyNumberFormat="1" applyFont="1"/>
    <xf numFmtId="0" fontId="19" fillId="0" borderId="0" xfId="7" applyFont="1" applyAlignment="1">
      <alignment horizontal="left" vertical="top"/>
    </xf>
    <xf numFmtId="1" fontId="24" fillId="0" borderId="0" xfId="7" applyNumberFormat="1" applyFont="1" applyAlignment="1">
      <alignment horizontal="left"/>
    </xf>
    <xf numFmtId="0" fontId="22" fillId="0" borderId="0" xfId="7" quotePrefix="1" applyFont="1" applyAlignment="1">
      <alignment horizontal="left" vertical="top" wrapText="1"/>
    </xf>
    <xf numFmtId="169" fontId="13" fillId="0" borderId="0" xfId="9" applyFont="1" applyAlignment="1">
      <alignment horizontal="right" vertical="center"/>
    </xf>
    <xf numFmtId="172" fontId="36" fillId="0" borderId="0" xfId="7" applyNumberFormat="1" applyFont="1"/>
    <xf numFmtId="169" fontId="20" fillId="0" borderId="0" xfId="9" applyFont="1"/>
    <xf numFmtId="0" fontId="37" fillId="0" borderId="0" xfId="7" applyFont="1"/>
    <xf numFmtId="0" fontId="19" fillId="0" borderId="0" xfId="7" applyFont="1"/>
    <xf numFmtId="171" fontId="36" fillId="0" borderId="0" xfId="7" applyNumberFormat="1" applyFont="1"/>
    <xf numFmtId="0" fontId="36" fillId="0" borderId="0" xfId="7" applyFont="1"/>
    <xf numFmtId="14" fontId="36" fillId="0" borderId="0" xfId="7" applyNumberFormat="1" applyFont="1" applyAlignment="1">
      <alignment horizontal="center"/>
    </xf>
    <xf numFmtId="169" fontId="38" fillId="0" borderId="0" xfId="9" applyFont="1" applyAlignment="1">
      <alignment horizontal="left" vertical="top" wrapText="1"/>
    </xf>
    <xf numFmtId="1" fontId="36" fillId="0" borderId="0" xfId="7" applyNumberFormat="1" applyFont="1" applyAlignment="1">
      <alignment horizontal="left"/>
    </xf>
    <xf numFmtId="172" fontId="24" fillId="0" borderId="0" xfId="9" applyNumberFormat="1" applyFont="1"/>
    <xf numFmtId="172" fontId="20" fillId="0" borderId="0" xfId="9" applyNumberFormat="1" applyFont="1" applyAlignment="1">
      <alignment horizontal="right"/>
    </xf>
    <xf numFmtId="0" fontId="34" fillId="0" borderId="0" xfId="7" applyFont="1" applyAlignment="1">
      <alignment horizontal="left" vertical="center"/>
    </xf>
    <xf numFmtId="0" fontId="37" fillId="0" borderId="0" xfId="7" applyFont="1" applyAlignment="1">
      <alignment horizontal="left" vertical="top" wrapText="1"/>
    </xf>
    <xf numFmtId="0" fontId="40" fillId="0" borderId="0" xfId="7" applyFont="1"/>
    <xf numFmtId="0" fontId="41" fillId="0" borderId="0" xfId="7" applyFont="1" applyAlignment="1">
      <alignment horizontal="left" vertical="top" wrapText="1"/>
    </xf>
    <xf numFmtId="2" fontId="37" fillId="0" borderId="0" xfId="7" applyNumberFormat="1" applyFont="1" applyAlignment="1">
      <alignment horizontal="left" vertical="top" wrapText="1"/>
    </xf>
    <xf numFmtId="170" fontId="19" fillId="0" borderId="0" xfId="7" applyNumberFormat="1" applyFont="1" applyAlignment="1">
      <alignment horizontal="right" vertical="center"/>
    </xf>
    <xf numFmtId="169" fontId="43" fillId="0" borderId="0" xfId="9" applyFont="1"/>
    <xf numFmtId="175" fontId="31" fillId="0" borderId="0" xfId="7" applyNumberFormat="1" applyFont="1" applyAlignment="1">
      <alignment horizontal="right" vertical="center"/>
    </xf>
    <xf numFmtId="169" fontId="23" fillId="0" borderId="0" xfId="9" applyFont="1" applyAlignment="1">
      <alignment horizontal="left" vertical="top" wrapText="1"/>
    </xf>
    <xf numFmtId="38" fontId="16" fillId="0" borderId="0" xfId="7" applyNumberFormat="1"/>
    <xf numFmtId="0" fontId="44" fillId="0" borderId="0" xfId="7" applyFont="1"/>
    <xf numFmtId="0" fontId="22" fillId="0" borderId="0" xfId="7" applyFont="1" applyAlignment="1">
      <alignment vertical="top" wrapText="1"/>
    </xf>
    <xf numFmtId="0" fontId="31" fillId="0" borderId="0" xfId="7" applyFont="1" applyAlignment="1">
      <alignment horizontal="left" vertical="center"/>
    </xf>
    <xf numFmtId="176" fontId="17" fillId="0" borderId="0" xfId="7" applyNumberFormat="1" applyFont="1" applyAlignment="1">
      <alignment horizontal="right"/>
    </xf>
    <xf numFmtId="171" fontId="45" fillId="0" borderId="0" xfId="7" applyNumberFormat="1" applyFont="1" applyAlignment="1">
      <alignment horizontal="right"/>
    </xf>
    <xf numFmtId="171" fontId="17" fillId="0" borderId="0" xfId="7" applyNumberFormat="1" applyFont="1" applyAlignment="1">
      <alignment horizontal="right"/>
    </xf>
    <xf numFmtId="171" fontId="45" fillId="11" borderId="0" xfId="7" applyNumberFormat="1" applyFont="1" applyFill="1" applyAlignment="1">
      <alignment horizontal="right"/>
    </xf>
    <xf numFmtId="0" fontId="45" fillId="11" borderId="0" xfId="7" applyFont="1" applyFill="1" applyAlignment="1">
      <alignment horizontal="left"/>
    </xf>
    <xf numFmtId="172" fontId="46" fillId="0" borderId="0" xfId="7" applyNumberFormat="1" applyFont="1" applyAlignment="1">
      <alignment horizontal="left"/>
    </xf>
    <xf numFmtId="169" fontId="34" fillId="0" borderId="0" xfId="9" applyFont="1"/>
    <xf numFmtId="170" fontId="34" fillId="0" borderId="0" xfId="7" applyNumberFormat="1" applyFont="1" applyAlignment="1">
      <alignment horizontal="right" vertical="center"/>
    </xf>
    <xf numFmtId="3" fontId="37" fillId="0" borderId="0" xfId="7" applyNumberFormat="1" applyFont="1"/>
    <xf numFmtId="171" fontId="21" fillId="0" borderId="0" xfId="9" applyNumberFormat="1" applyFont="1" applyAlignment="1">
      <alignment horizontal="right" vertical="center"/>
    </xf>
    <xf numFmtId="170" fontId="17" fillId="0" borderId="0" xfId="7" applyNumberFormat="1" applyFont="1"/>
    <xf numFmtId="0" fontId="17" fillId="0" borderId="0" xfId="7" applyFont="1" applyAlignment="1">
      <alignment horizontal="left" vertical="top" wrapText="1"/>
    </xf>
    <xf numFmtId="1" fontId="36" fillId="0" borderId="0" xfId="7" applyNumberFormat="1" applyFont="1"/>
    <xf numFmtId="177" fontId="24" fillId="0" borderId="0" xfId="9" applyNumberFormat="1" applyFont="1"/>
    <xf numFmtId="0" fontId="22" fillId="0" borderId="0" xfId="7" applyFont="1"/>
    <xf numFmtId="170" fontId="29" fillId="0" borderId="0" xfId="7" applyNumberFormat="1" applyFont="1" applyAlignment="1">
      <alignment horizontal="right" vertical="center"/>
    </xf>
    <xf numFmtId="169" fontId="29" fillId="0" borderId="0" xfId="9" applyFont="1" applyAlignment="1">
      <alignment horizontal="right" vertical="center"/>
    </xf>
    <xf numFmtId="1" fontId="24" fillId="0" borderId="0" xfId="7" applyNumberFormat="1" applyFont="1"/>
    <xf numFmtId="171" fontId="24" fillId="0" borderId="0" xfId="7" applyNumberFormat="1" applyFont="1"/>
    <xf numFmtId="172" fontId="24" fillId="0" borderId="0" xfId="7" applyNumberFormat="1" applyFont="1"/>
    <xf numFmtId="0" fontId="33" fillId="0" borderId="0" xfId="7" applyFont="1" applyAlignment="1">
      <alignment horizontal="left" vertical="center"/>
    </xf>
    <xf numFmtId="169" fontId="47" fillId="0" borderId="0" xfId="9" applyFont="1" applyAlignment="1">
      <alignment horizontal="left" vertical="top" wrapText="1"/>
    </xf>
    <xf numFmtId="172" fontId="24" fillId="0" borderId="0" xfId="7" applyNumberFormat="1" applyFont="1" applyAlignment="1">
      <alignment wrapText="1"/>
    </xf>
    <xf numFmtId="2" fontId="36" fillId="0" borderId="0" xfId="7" applyNumberFormat="1" applyFont="1"/>
    <xf numFmtId="43" fontId="17" fillId="0" borderId="0" xfId="7" applyNumberFormat="1" applyFont="1"/>
    <xf numFmtId="178" fontId="17" fillId="0" borderId="0" xfId="7" applyNumberFormat="1" applyFont="1"/>
    <xf numFmtId="1" fontId="24" fillId="0" borderId="0" xfId="7" applyNumberFormat="1" applyFont="1" applyAlignment="1">
      <alignment wrapText="1"/>
    </xf>
    <xf numFmtId="177" fontId="36" fillId="0" borderId="0" xfId="9" applyNumberFormat="1" applyFont="1"/>
    <xf numFmtId="177" fontId="20" fillId="0" borderId="0" xfId="9" applyNumberFormat="1" applyFont="1"/>
    <xf numFmtId="49" fontId="48" fillId="0" borderId="0" xfId="7" applyNumberFormat="1" applyFont="1"/>
    <xf numFmtId="164" fontId="24" fillId="0" borderId="0" xfId="7" applyNumberFormat="1" applyFont="1"/>
    <xf numFmtId="171" fontId="17" fillId="0" borderId="0" xfId="7" applyNumberFormat="1" applyFont="1" applyAlignment="1">
      <alignment horizontal="center"/>
    </xf>
    <xf numFmtId="0" fontId="17" fillId="0" borderId="0" xfId="7" applyFont="1" applyAlignment="1">
      <alignment horizontal="center"/>
    </xf>
    <xf numFmtId="169" fontId="20" fillId="0" borderId="0" xfId="9" applyFont="1" applyAlignment="1">
      <alignment wrapText="1"/>
    </xf>
    <xf numFmtId="4" fontId="17" fillId="0" borderId="0" xfId="7" applyNumberFormat="1" applyFont="1"/>
    <xf numFmtId="177" fontId="35" fillId="0" borderId="0" xfId="9" applyNumberFormat="1" applyFont="1"/>
    <xf numFmtId="169" fontId="49" fillId="0" borderId="0" xfId="9" applyFont="1" applyAlignment="1">
      <alignment horizontal="left" vertical="top" wrapText="1"/>
    </xf>
    <xf numFmtId="2" fontId="34" fillId="0" borderId="0" xfId="9" applyNumberFormat="1" applyFont="1" applyAlignment="1">
      <alignment horizontal="right" vertical="center"/>
    </xf>
    <xf numFmtId="0" fontId="29" fillId="0" borderId="0" xfId="7" applyFont="1" applyAlignment="1">
      <alignment horizontal="left" vertical="center"/>
    </xf>
    <xf numFmtId="169" fontId="31" fillId="0" borderId="0" xfId="9" applyFont="1" applyAlignment="1">
      <alignment horizontal="left" vertical="top" wrapText="1"/>
    </xf>
    <xf numFmtId="0" fontId="19" fillId="12" borderId="0" xfId="7" applyFont="1" applyFill="1" applyAlignment="1">
      <alignment horizontal="left" vertical="top" wrapText="1"/>
    </xf>
    <xf numFmtId="170" fontId="29" fillId="0" borderId="0" xfId="7" applyNumberFormat="1" applyFont="1" applyAlignment="1">
      <alignment horizontal="center" vertical="center"/>
    </xf>
    <xf numFmtId="0" fontId="50" fillId="0" borderId="0" xfId="7" applyFont="1"/>
    <xf numFmtId="169" fontId="24" fillId="0" borderId="0" xfId="9" applyFont="1" applyAlignment="1">
      <alignment horizontal="right"/>
    </xf>
    <xf numFmtId="177" fontId="24" fillId="12" borderId="0" xfId="9" applyNumberFormat="1" applyFont="1" applyFill="1"/>
    <xf numFmtId="169" fontId="24" fillId="0" borderId="0" xfId="9" applyFont="1" applyAlignment="1">
      <alignment horizontal="left"/>
    </xf>
    <xf numFmtId="16" fontId="17" fillId="0" borderId="0" xfId="7" applyNumberFormat="1" applyFont="1"/>
    <xf numFmtId="172" fontId="20" fillId="0" borderId="0" xfId="7" applyNumberFormat="1" applyFont="1" applyAlignment="1">
      <alignment horizontal="center"/>
    </xf>
    <xf numFmtId="180" fontId="17" fillId="0" borderId="0" xfId="11" applyNumberFormat="1" applyFont="1"/>
    <xf numFmtId="170" fontId="31" fillId="0" borderId="0" xfId="7" applyNumberFormat="1" applyFont="1" applyAlignment="1">
      <alignment horizontal="right" vertical="center"/>
    </xf>
    <xf numFmtId="170" fontId="19" fillId="0" borderId="0" xfId="7" applyNumberFormat="1" applyFont="1" applyAlignment="1">
      <alignment horizontal="right" vertical="center" wrapText="1"/>
    </xf>
    <xf numFmtId="0" fontId="35" fillId="0" borderId="0" xfId="7" applyFont="1"/>
    <xf numFmtId="181" fontId="37" fillId="0" borderId="0" xfId="7" applyNumberFormat="1" applyFont="1"/>
    <xf numFmtId="0" fontId="51" fillId="0" borderId="0" xfId="7" applyFont="1"/>
    <xf numFmtId="0" fontId="20" fillId="0" borderId="0" xfId="7" applyFont="1" applyAlignment="1">
      <alignment horizontal="left" vertical="center" wrapText="1"/>
    </xf>
    <xf numFmtId="169" fontId="36" fillId="0" borderId="0" xfId="9" applyFont="1" applyAlignment="1">
      <alignment horizontal="left" vertical="top" wrapText="1"/>
    </xf>
    <xf numFmtId="177" fontId="24" fillId="0" borderId="0" xfId="9" applyNumberFormat="1" applyFont="1" applyAlignment="1">
      <alignment horizontal="left" vertical="top" wrapText="1"/>
    </xf>
    <xf numFmtId="1" fontId="24" fillId="0" borderId="0" xfId="9" applyNumberFormat="1" applyFont="1" applyAlignment="1">
      <alignment horizontal="left" wrapText="1"/>
    </xf>
    <xf numFmtId="1" fontId="24" fillId="0" borderId="0" xfId="9" applyNumberFormat="1" applyFont="1" applyAlignment="1">
      <alignment horizontal="left"/>
    </xf>
    <xf numFmtId="169" fontId="36" fillId="0" borderId="0" xfId="9" applyFont="1" applyFill="1"/>
    <xf numFmtId="1" fontId="24" fillId="0" borderId="0" xfId="9" applyNumberFormat="1" applyFont="1" applyFill="1" applyAlignment="1">
      <alignment horizontal="left"/>
    </xf>
    <xf numFmtId="169" fontId="30" fillId="0" borderId="0" xfId="9" applyFont="1" applyFill="1" applyAlignment="1">
      <alignment horizontal="left" vertical="top" wrapText="1"/>
    </xf>
    <xf numFmtId="182" fontId="24" fillId="0" borderId="0" xfId="9" applyNumberFormat="1" applyFont="1"/>
    <xf numFmtId="0" fontId="30" fillId="8" borderId="1" xfId="7" applyFont="1" applyFill="1" applyBorder="1"/>
    <xf numFmtId="0" fontId="30" fillId="8" borderId="1" xfId="7" applyFont="1" applyFill="1" applyBorder="1" applyAlignment="1">
      <alignment horizontal="left" vertical="top" wrapText="1"/>
    </xf>
    <xf numFmtId="169" fontId="30" fillId="8" borderId="1" xfId="9" applyFont="1" applyFill="1" applyBorder="1" applyAlignment="1">
      <alignment horizontal="left" vertical="top" wrapText="1"/>
    </xf>
    <xf numFmtId="44" fontId="5" fillId="0" borderId="0" xfId="2" applyFont="1" applyFill="1" applyBorder="1" applyAlignment="1">
      <alignment horizontal="center" vertical="center"/>
    </xf>
    <xf numFmtId="44" fontId="5" fillId="0" borderId="0" xfId="2" applyFont="1" applyFill="1" applyBorder="1" applyAlignment="1">
      <alignment horizontal="left" vertical="top"/>
    </xf>
    <xf numFmtId="44" fontId="5" fillId="0" borderId="0" xfId="2" applyFont="1" applyFill="1" applyBorder="1" applyAlignment="1">
      <alignment horizontal="left" vertical="center"/>
    </xf>
    <xf numFmtId="44" fontId="34" fillId="0" borderId="0" xfId="9" applyNumberFormat="1" applyFont="1" applyFill="1" applyAlignment="1">
      <alignment horizontal="right" vertical="center"/>
    </xf>
    <xf numFmtId="44" fontId="34" fillId="0" borderId="0" xfId="9" applyNumberFormat="1" applyFont="1" applyAlignment="1">
      <alignment horizontal="right" vertical="center"/>
    </xf>
    <xf numFmtId="44" fontId="25" fillId="0" borderId="0" xfId="9" applyNumberFormat="1" applyFont="1" applyAlignment="1">
      <alignment horizontal="right" vertical="center"/>
    </xf>
    <xf numFmtId="44" fontId="20" fillId="0" borderId="0" xfId="9" applyNumberFormat="1" applyFont="1"/>
    <xf numFmtId="44" fontId="34" fillId="0" borderId="0" xfId="9" applyNumberFormat="1" applyFont="1"/>
    <xf numFmtId="44" fontId="34" fillId="0" borderId="0" xfId="7" applyNumberFormat="1" applyFont="1" applyAlignment="1">
      <alignment horizontal="right" vertical="center"/>
    </xf>
    <xf numFmtId="44" fontId="39" fillId="0" borderId="0" xfId="9" applyNumberFormat="1" applyFont="1"/>
    <xf numFmtId="44" fontId="25" fillId="8" borderId="1" xfId="9" applyNumberFormat="1" applyFont="1" applyFill="1" applyBorder="1"/>
    <xf numFmtId="44" fontId="34" fillId="12" borderId="0" xfId="9" applyNumberFormat="1" applyFont="1" applyFill="1" applyAlignment="1">
      <alignment horizontal="right" vertical="center"/>
    </xf>
    <xf numFmtId="44" fontId="20" fillId="0" borderId="0" xfId="7" applyNumberFormat="1" applyFont="1" applyAlignment="1">
      <alignment horizontal="right" vertical="center"/>
    </xf>
    <xf numFmtId="44" fontId="20" fillId="0" borderId="0" xfId="7" applyNumberFormat="1" applyFont="1"/>
    <xf numFmtId="44" fontId="34" fillId="0" borderId="0" xfId="10" applyNumberFormat="1" applyFont="1" applyAlignment="1">
      <alignment horizontal="right" vertical="center"/>
    </xf>
    <xf numFmtId="44" fontId="37" fillId="0" borderId="0" xfId="9" applyNumberFormat="1" applyFont="1" applyAlignment="1">
      <alignment horizontal="right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center"/>
    </xf>
    <xf numFmtId="0" fontId="5" fillId="0" borderId="0" xfId="1" applyFont="1"/>
    <xf numFmtId="0" fontId="0" fillId="0" borderId="0" xfId="0" applyAlignment="1">
      <alignment horizontal="center"/>
    </xf>
    <xf numFmtId="0" fontId="55" fillId="0" borderId="29" xfId="0" applyFont="1" applyBorder="1" applyAlignment="1">
      <alignment horizontal="center" vertical="center" wrapText="1"/>
    </xf>
    <xf numFmtId="0" fontId="55" fillId="0" borderId="1" xfId="0" applyFont="1" applyBorder="1" applyAlignment="1">
      <alignment vertical="center" wrapText="1"/>
    </xf>
    <xf numFmtId="0" fontId="55" fillId="0" borderId="1" xfId="0" applyFont="1" applyBorder="1" applyAlignment="1">
      <alignment horizontal="center" vertical="center" wrapText="1"/>
    </xf>
    <xf numFmtId="44" fontId="55" fillId="0" borderId="1" xfId="0" applyNumberFormat="1" applyFont="1" applyBorder="1" applyAlignment="1">
      <alignment vertical="center" wrapText="1"/>
    </xf>
    <xf numFmtId="44" fontId="55" fillId="0" borderId="20" xfId="0" applyNumberFormat="1" applyFont="1" applyBorder="1" applyAlignment="1">
      <alignment vertical="center" wrapText="1"/>
    </xf>
    <xf numFmtId="0" fontId="55" fillId="0" borderId="43" xfId="0" applyFont="1" applyBorder="1" applyAlignment="1">
      <alignment horizontal="center" vertical="center" wrapText="1"/>
    </xf>
    <xf numFmtId="0" fontId="55" fillId="0" borderId="44" xfId="0" applyFont="1" applyBorder="1" applyAlignment="1">
      <alignment vertical="center" wrapText="1"/>
    </xf>
    <xf numFmtId="0" fontId="55" fillId="0" borderId="44" xfId="0" applyFont="1" applyBorder="1" applyAlignment="1">
      <alignment horizontal="center" vertical="center" wrapText="1"/>
    </xf>
    <xf numFmtId="44" fontId="55" fillId="0" borderId="44" xfId="0" applyNumberFormat="1" applyFont="1" applyBorder="1" applyAlignment="1">
      <alignment vertical="center" wrapText="1"/>
    </xf>
    <xf numFmtId="44" fontId="55" fillId="0" borderId="24" xfId="0" applyNumberFormat="1" applyFont="1" applyBorder="1" applyAlignment="1">
      <alignment vertical="center" wrapText="1"/>
    </xf>
    <xf numFmtId="0" fontId="63" fillId="13" borderId="10" xfId="0" applyFont="1" applyFill="1" applyBorder="1" applyAlignment="1">
      <alignment horizontal="center" vertical="center"/>
    </xf>
    <xf numFmtId="0" fontId="52" fillId="13" borderId="10" xfId="0" applyFont="1" applyFill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5" fillId="13" borderId="10" xfId="0" applyFont="1" applyFill="1" applyBorder="1" applyAlignment="1">
      <alignment horizontal="center" vertical="center"/>
    </xf>
    <xf numFmtId="0" fontId="55" fillId="0" borderId="25" xfId="0" applyFont="1" applyBorder="1" applyAlignment="1">
      <alignment horizontal="center" vertical="center" wrapText="1"/>
    </xf>
    <xf numFmtId="9" fontId="39" fillId="9" borderId="10" xfId="0" applyNumberFormat="1" applyFont="1" applyFill="1" applyBorder="1" applyAlignment="1">
      <alignment vertical="center" wrapText="1"/>
    </xf>
    <xf numFmtId="9" fontId="39" fillId="0" borderId="10" xfId="0" applyNumberFormat="1" applyFont="1" applyBorder="1" applyAlignment="1">
      <alignment vertical="center" wrapText="1"/>
    </xf>
    <xf numFmtId="0" fontId="55" fillId="0" borderId="41" xfId="0" applyFont="1" applyBorder="1"/>
    <xf numFmtId="0" fontId="55" fillId="0" borderId="0" xfId="0" applyFont="1" applyAlignment="1">
      <alignment wrapText="1"/>
    </xf>
    <xf numFmtId="44" fontId="61" fillId="14" borderId="37" xfId="0" applyNumberFormat="1" applyFont="1" applyFill="1" applyBorder="1" applyAlignment="1">
      <alignment vertical="center" wrapText="1"/>
    </xf>
    <xf numFmtId="44" fontId="55" fillId="15" borderId="10" xfId="0" applyNumberFormat="1" applyFont="1" applyFill="1" applyBorder="1" applyAlignment="1">
      <alignment vertical="center" wrapText="1"/>
    </xf>
    <xf numFmtId="44" fontId="61" fillId="14" borderId="40" xfId="0" applyNumberFormat="1" applyFont="1" applyFill="1" applyBorder="1" applyAlignment="1">
      <alignment vertical="center" wrapText="1"/>
    </xf>
    <xf numFmtId="0" fontId="55" fillId="0" borderId="28" xfId="0" applyFont="1" applyBorder="1" applyAlignment="1">
      <alignment vertical="center" wrapText="1"/>
    </xf>
    <xf numFmtId="0" fontId="55" fillId="0" borderId="28" xfId="0" applyFont="1" applyBorder="1" applyAlignment="1">
      <alignment horizontal="center" vertical="center" wrapText="1"/>
    </xf>
    <xf numFmtId="44" fontId="55" fillId="0" borderId="28" xfId="0" applyNumberFormat="1" applyFont="1" applyBorder="1" applyAlignment="1">
      <alignment vertical="center" wrapText="1"/>
    </xf>
    <xf numFmtId="44" fontId="55" fillId="0" borderId="18" xfId="0" applyNumberFormat="1" applyFont="1" applyBorder="1" applyAlignment="1">
      <alignment vertical="center" wrapText="1"/>
    </xf>
    <xf numFmtId="0" fontId="54" fillId="0" borderId="10" xfId="0" applyFont="1" applyBorder="1" applyAlignment="1">
      <alignment horizontal="center" vertical="center" wrapText="1"/>
    </xf>
    <xf numFmtId="164" fontId="54" fillId="0" borderId="10" xfId="0" applyNumberFormat="1" applyFont="1" applyBorder="1" applyAlignment="1">
      <alignment horizontal="center" vertical="center" wrapText="1"/>
    </xf>
    <xf numFmtId="0" fontId="52" fillId="13" borderId="8" xfId="0" applyFont="1" applyFill="1" applyBorder="1" applyAlignment="1">
      <alignment horizontal="center"/>
    </xf>
    <xf numFmtId="0" fontId="66" fillId="0" borderId="0" xfId="13" applyFont="1"/>
    <xf numFmtId="0" fontId="66" fillId="0" borderId="0" xfId="13" applyFont="1" applyAlignment="1">
      <alignment horizontal="center"/>
    </xf>
    <xf numFmtId="0" fontId="66" fillId="0" borderId="46" xfId="13" applyFont="1" applyBorder="1"/>
    <xf numFmtId="0" fontId="66" fillId="0" borderId="47" xfId="13" applyFont="1" applyBorder="1"/>
    <xf numFmtId="177" fontId="66" fillId="0" borderId="47" xfId="14" applyNumberFormat="1" applyFont="1" applyBorder="1"/>
    <xf numFmtId="0" fontId="66" fillId="0" borderId="47" xfId="13" applyFont="1" applyBorder="1" applyAlignment="1">
      <alignment horizontal="center"/>
    </xf>
    <xf numFmtId="0" fontId="66" fillId="0" borderId="48" xfId="15" applyFont="1" applyBorder="1"/>
    <xf numFmtId="0" fontId="66" fillId="0" borderId="49" xfId="13" applyFont="1" applyBorder="1"/>
    <xf numFmtId="0" fontId="66" fillId="0" borderId="52" xfId="13" applyFont="1" applyBorder="1"/>
    <xf numFmtId="9" fontId="66" fillId="16" borderId="20" xfId="18" applyFont="1" applyFill="1" applyBorder="1" applyAlignment="1">
      <alignment horizontal="center" vertical="center"/>
    </xf>
    <xf numFmtId="184" fontId="68" fillId="12" borderId="1" xfId="19" applyNumberFormat="1" applyFont="1" applyFill="1" applyBorder="1" applyAlignment="1">
      <alignment horizontal="center" vertical="center"/>
    </xf>
    <xf numFmtId="0" fontId="66" fillId="0" borderId="0" xfId="15" applyFont="1"/>
    <xf numFmtId="0" fontId="66" fillId="0" borderId="49" xfId="15" applyFont="1" applyBorder="1"/>
    <xf numFmtId="0" fontId="66" fillId="0" borderId="52" xfId="15" applyFont="1" applyBorder="1"/>
    <xf numFmtId="185" fontId="66" fillId="0" borderId="49" xfId="15" applyNumberFormat="1" applyFont="1" applyBorder="1"/>
    <xf numFmtId="184" fontId="68" fillId="12" borderId="18" xfId="19" applyNumberFormat="1" applyFont="1" applyFill="1" applyBorder="1" applyAlignment="1">
      <alignment horizontal="center" vertical="center"/>
    </xf>
    <xf numFmtId="186" fontId="66" fillId="0" borderId="49" xfId="15" applyNumberFormat="1" applyFont="1" applyBorder="1"/>
    <xf numFmtId="0" fontId="68" fillId="0" borderId="55" xfId="20" applyFont="1" applyBorder="1" applyAlignment="1">
      <alignment vertical="center"/>
    </xf>
    <xf numFmtId="39" fontId="68" fillId="0" borderId="0" xfId="21" applyNumberFormat="1" applyFont="1" applyBorder="1" applyAlignment="1">
      <alignment vertical="center"/>
    </xf>
    <xf numFmtId="182" fontId="66" fillId="0" borderId="0" xfId="21" applyNumberFormat="1" applyFont="1" applyBorder="1"/>
    <xf numFmtId="2" fontId="66" fillId="0" borderId="0" xfId="15" applyNumberFormat="1" applyFont="1"/>
    <xf numFmtId="0" fontId="66" fillId="0" borderId="0" xfId="15" applyFont="1" applyAlignment="1">
      <alignment horizontal="center"/>
    </xf>
    <xf numFmtId="188" fontId="68" fillId="17" borderId="9" xfId="20" applyNumberFormat="1" applyFont="1" applyFill="1" applyBorder="1" applyAlignment="1">
      <alignment vertical="center"/>
    </xf>
    <xf numFmtId="182" fontId="68" fillId="0" borderId="22" xfId="21" applyNumberFormat="1" applyFont="1" applyBorder="1" applyAlignment="1">
      <alignment vertical="center"/>
    </xf>
    <xf numFmtId="9" fontId="66" fillId="0" borderId="22" xfId="21" applyNumberFormat="1" applyFont="1" applyBorder="1" applyAlignment="1">
      <alignment horizontal="center" vertical="center"/>
    </xf>
    <xf numFmtId="0" fontId="66" fillId="0" borderId="0" xfId="15" applyFont="1" applyAlignment="1">
      <alignment horizontal="center" vertical="center" wrapText="1"/>
    </xf>
    <xf numFmtId="0" fontId="66" fillId="0" borderId="0" xfId="22" applyFont="1" applyAlignment="1">
      <alignment horizontal="center" vertical="center"/>
    </xf>
    <xf numFmtId="184" fontId="68" fillId="0" borderId="0" xfId="23" applyNumberFormat="1" applyFont="1" applyAlignment="1">
      <alignment vertical="center"/>
    </xf>
    <xf numFmtId="49" fontId="68" fillId="0" borderId="0" xfId="23" applyNumberFormat="1" applyFont="1" applyAlignment="1">
      <alignment horizontal="right" vertical="center"/>
    </xf>
    <xf numFmtId="164" fontId="68" fillId="0" borderId="58" xfId="24" applyNumberFormat="1" applyFont="1" applyBorder="1" applyAlignment="1">
      <alignment horizontal="right" vertical="center"/>
    </xf>
    <xf numFmtId="190" fontId="66" fillId="0" borderId="51" xfId="25" applyNumberFormat="1" applyFont="1" applyBorder="1" applyAlignment="1">
      <alignment horizontal="right" vertical="center" wrapText="1"/>
    </xf>
    <xf numFmtId="4" fontId="66" fillId="0" borderId="1" xfId="24" applyNumberFormat="1" applyFont="1" applyBorder="1" applyAlignment="1">
      <alignment vertical="center" wrapText="1"/>
    </xf>
    <xf numFmtId="0" fontId="66" fillId="0" borderId="39" xfId="20" applyFont="1" applyBorder="1" applyAlignment="1">
      <alignment horizontal="center" vertical="center"/>
    </xf>
    <xf numFmtId="0" fontId="66" fillId="0" borderId="39" xfId="20" applyFont="1" applyBorder="1" applyAlignment="1">
      <alignment horizontal="left" vertical="center" wrapText="1"/>
    </xf>
    <xf numFmtId="2" fontId="66" fillId="0" borderId="39" xfId="20" applyNumberFormat="1" applyFont="1" applyBorder="1" applyAlignment="1">
      <alignment horizontal="center" vertical="center"/>
    </xf>
    <xf numFmtId="0" fontId="66" fillId="0" borderId="38" xfId="20" applyFont="1" applyBorder="1" applyAlignment="1">
      <alignment horizontal="left" vertical="center"/>
    </xf>
    <xf numFmtId="190" fontId="66" fillId="0" borderId="20" xfId="25" applyNumberFormat="1" applyFont="1" applyBorder="1" applyAlignment="1">
      <alignment horizontal="right" vertical="center" wrapText="1"/>
    </xf>
    <xf numFmtId="190" fontId="66" fillId="0" borderId="1" xfId="25" applyNumberFormat="1" applyFont="1" applyBorder="1" applyAlignment="1">
      <alignment horizontal="right" vertical="center" wrapText="1"/>
    </xf>
    <xf numFmtId="0" fontId="66" fillId="0" borderId="1" xfId="20" applyFont="1" applyBorder="1" applyAlignment="1">
      <alignment horizontal="center" vertical="center"/>
    </xf>
    <xf numFmtId="0" fontId="66" fillId="0" borderId="1" xfId="20" applyFont="1" applyBorder="1" applyAlignment="1">
      <alignment horizontal="left" vertical="center" wrapText="1"/>
    </xf>
    <xf numFmtId="0" fontId="66" fillId="0" borderId="25" xfId="20" applyFont="1" applyBorder="1" applyAlignment="1">
      <alignment horizontal="center" vertical="center"/>
    </xf>
    <xf numFmtId="0" fontId="68" fillId="17" borderId="7" xfId="20" applyFont="1" applyFill="1" applyBorder="1" applyAlignment="1">
      <alignment vertical="center"/>
    </xf>
    <xf numFmtId="0" fontId="66" fillId="0" borderId="39" xfId="20" applyFont="1" applyBorder="1" applyAlignment="1">
      <alignment horizontal="left" vertical="center"/>
    </xf>
    <xf numFmtId="164" fontId="68" fillId="0" borderId="14" xfId="24" applyNumberFormat="1" applyFont="1" applyBorder="1" applyAlignment="1">
      <alignment horizontal="right" vertical="center"/>
    </xf>
    <xf numFmtId="190" fontId="66" fillId="0" borderId="12" xfId="25" applyNumberFormat="1" applyFont="1" applyBorder="1" applyAlignment="1">
      <alignment horizontal="right" vertical="center" wrapText="1"/>
    </xf>
    <xf numFmtId="0" fontId="66" fillId="0" borderId="0" xfId="20" applyFont="1" applyAlignment="1">
      <alignment horizontal="center" vertical="center"/>
    </xf>
    <xf numFmtId="0" fontId="66" fillId="0" borderId="1" xfId="22" applyFont="1" applyBorder="1" applyAlignment="1">
      <alignment horizontal="center" vertical="center"/>
    </xf>
    <xf numFmtId="0" fontId="66" fillId="0" borderId="1" xfId="26" applyFont="1" applyBorder="1" applyAlignment="1">
      <alignment horizontal="center" vertical="center"/>
    </xf>
    <xf numFmtId="0" fontId="66" fillId="0" borderId="39" xfId="13" applyFont="1" applyBorder="1"/>
    <xf numFmtId="0" fontId="66" fillId="0" borderId="39" xfId="13" applyFont="1" applyBorder="1" applyAlignment="1">
      <alignment horizontal="center"/>
    </xf>
    <xf numFmtId="0" fontId="66" fillId="0" borderId="39" xfId="22" applyFont="1" applyBorder="1" applyAlignment="1">
      <alignment horizontal="center" vertical="center"/>
    </xf>
    <xf numFmtId="0" fontId="66" fillId="0" borderId="39" xfId="22" applyFont="1" applyBorder="1" applyAlignment="1">
      <alignment horizontal="left" vertical="center" wrapText="1"/>
    </xf>
    <xf numFmtId="190" fontId="66" fillId="0" borderId="18" xfId="25" applyNumberFormat="1" applyFont="1" applyBorder="1" applyAlignment="1">
      <alignment horizontal="right" vertical="center" wrapText="1"/>
    </xf>
    <xf numFmtId="0" fontId="66" fillId="0" borderId="1" xfId="22" applyFont="1" applyBorder="1" applyAlignment="1">
      <alignment horizontal="left" vertical="center" wrapText="1"/>
    </xf>
    <xf numFmtId="0" fontId="68" fillId="0" borderId="50" xfId="22" applyFont="1" applyBorder="1" applyAlignment="1">
      <alignment horizontal="center" vertical="center" wrapText="1"/>
    </xf>
    <xf numFmtId="0" fontId="66" fillId="0" borderId="61" xfId="13" applyFont="1" applyBorder="1"/>
    <xf numFmtId="0" fontId="66" fillId="9" borderId="0" xfId="13" applyFont="1" applyFill="1"/>
    <xf numFmtId="0" fontId="66" fillId="9" borderId="49" xfId="13" applyFont="1" applyFill="1" applyBorder="1"/>
    <xf numFmtId="0" fontId="66" fillId="9" borderId="61" xfId="13" applyFont="1" applyFill="1" applyBorder="1"/>
    <xf numFmtId="0" fontId="70" fillId="0" borderId="0" xfId="17" applyFont="1" applyAlignment="1">
      <alignment horizontal="left"/>
    </xf>
    <xf numFmtId="0" fontId="71" fillId="0" borderId="0" xfId="17" applyFont="1" applyAlignment="1">
      <alignment horizontal="left"/>
    </xf>
    <xf numFmtId="4" fontId="66" fillId="0" borderId="1" xfId="24" applyNumberFormat="1" applyFont="1" applyBorder="1" applyAlignment="1">
      <alignment horizontal="center" vertical="center" wrapText="1"/>
    </xf>
    <xf numFmtId="0" fontId="68" fillId="17" borderId="8" xfId="20" applyFont="1" applyFill="1" applyBorder="1" applyAlignment="1">
      <alignment horizontal="center" vertical="center"/>
    </xf>
    <xf numFmtId="0" fontId="66" fillId="0" borderId="59" xfId="20" applyFont="1" applyBorder="1" applyAlignment="1">
      <alignment horizontal="center" vertical="center"/>
    </xf>
    <xf numFmtId="0" fontId="68" fillId="17" borderId="32" xfId="20" applyFont="1" applyFill="1" applyBorder="1" applyAlignment="1">
      <alignment vertical="center"/>
    </xf>
    <xf numFmtId="4" fontId="66" fillId="0" borderId="28" xfId="24" applyNumberFormat="1" applyFont="1" applyBorder="1" applyAlignment="1">
      <alignment vertical="center" wrapText="1"/>
    </xf>
    <xf numFmtId="44" fontId="66" fillId="0" borderId="1" xfId="25" applyNumberFormat="1" applyFont="1" applyBorder="1" applyAlignment="1">
      <alignment horizontal="right" vertical="center" wrapText="1"/>
    </xf>
    <xf numFmtId="0" fontId="68" fillId="17" borderId="32" xfId="20" applyFont="1" applyFill="1" applyBorder="1" applyAlignment="1">
      <alignment horizontal="center" vertical="center"/>
    </xf>
    <xf numFmtId="0" fontId="66" fillId="0" borderId="2" xfId="22" applyFont="1" applyBorder="1" applyAlignment="1">
      <alignment horizontal="center" vertical="center"/>
    </xf>
    <xf numFmtId="0" fontId="66" fillId="0" borderId="3" xfId="22" applyFont="1" applyBorder="1" applyAlignment="1">
      <alignment horizontal="center" vertical="center"/>
    </xf>
    <xf numFmtId="0" fontId="68" fillId="0" borderId="44" xfId="22" applyFont="1" applyBorder="1" applyAlignment="1">
      <alignment horizontal="center" vertical="center" wrapText="1"/>
    </xf>
    <xf numFmtId="0" fontId="66" fillId="0" borderId="1" xfId="13" applyFont="1" applyBorder="1"/>
    <xf numFmtId="0" fontId="68" fillId="17" borderId="1" xfId="20" applyFont="1" applyFill="1" applyBorder="1" applyAlignment="1">
      <alignment vertical="center"/>
    </xf>
    <xf numFmtId="0" fontId="66" fillId="17" borderId="1" xfId="13" applyFont="1" applyFill="1" applyBorder="1"/>
    <xf numFmtId="0" fontId="66" fillId="0" borderId="44" xfId="20" applyFont="1" applyBorder="1" applyAlignment="1">
      <alignment horizontal="center" vertical="center"/>
    </xf>
    <xf numFmtId="0" fontId="66" fillId="0" borderId="28" xfId="20" applyFont="1" applyBorder="1" applyAlignment="1">
      <alignment horizontal="center" vertical="center"/>
    </xf>
    <xf numFmtId="0" fontId="66" fillId="0" borderId="28" xfId="22" applyFont="1" applyBorder="1" applyAlignment="1">
      <alignment horizontal="center" vertical="center"/>
    </xf>
    <xf numFmtId="0" fontId="66" fillId="0" borderId="28" xfId="20" applyFont="1" applyBorder="1" applyAlignment="1">
      <alignment horizontal="left" vertical="center" wrapText="1"/>
    </xf>
    <xf numFmtId="190" fontId="66" fillId="0" borderId="28" xfId="25" applyNumberFormat="1" applyFont="1" applyBorder="1" applyAlignment="1">
      <alignment horizontal="right" vertical="center" wrapText="1"/>
    </xf>
    <xf numFmtId="0" fontId="66" fillId="17" borderId="7" xfId="26" applyFont="1" applyFill="1" applyBorder="1" applyAlignment="1">
      <alignment horizontal="center" vertical="center"/>
    </xf>
    <xf numFmtId="0" fontId="68" fillId="17" borderId="8" xfId="26" applyFont="1" applyFill="1" applyBorder="1" applyAlignment="1">
      <alignment horizontal="center" vertical="center"/>
    </xf>
    <xf numFmtId="0" fontId="66" fillId="0" borderId="77" xfId="20" applyFont="1" applyBorder="1" applyAlignment="1">
      <alignment horizontal="center" vertical="center"/>
    </xf>
    <xf numFmtId="0" fontId="66" fillId="0" borderId="77" xfId="22" applyFont="1" applyBorder="1" applyAlignment="1">
      <alignment horizontal="center" vertical="center"/>
    </xf>
    <xf numFmtId="0" fontId="66" fillId="17" borderId="7" xfId="20" applyFont="1" applyFill="1" applyBorder="1" applyAlignment="1">
      <alignment horizontal="center" vertical="center"/>
    </xf>
    <xf numFmtId="0" fontId="66" fillId="17" borderId="7" xfId="22" applyFont="1" applyFill="1" applyBorder="1" applyAlignment="1">
      <alignment horizontal="center" vertical="center"/>
    </xf>
    <xf numFmtId="0" fontId="66" fillId="0" borderId="28" xfId="20" applyFont="1" applyBorder="1" applyAlignment="1">
      <alignment horizontal="center"/>
    </xf>
    <xf numFmtId="4" fontId="66" fillId="0" borderId="28" xfId="24" applyNumberFormat="1" applyFont="1" applyBorder="1" applyAlignment="1">
      <alignment horizontal="center" wrapText="1"/>
    </xf>
    <xf numFmtId="44" fontId="66" fillId="0" borderId="28" xfId="25" applyNumberFormat="1" applyFont="1" applyBorder="1" applyAlignment="1">
      <alignment horizontal="right" vertical="center" wrapText="1"/>
    </xf>
    <xf numFmtId="44" fontId="66" fillId="0" borderId="18" xfId="25" applyNumberFormat="1" applyFont="1" applyBorder="1" applyAlignment="1">
      <alignment horizontal="right" vertical="center" wrapText="1"/>
    </xf>
    <xf numFmtId="44" fontId="52" fillId="0" borderId="41" xfId="0" applyNumberFormat="1" applyFont="1" applyBorder="1" applyAlignment="1">
      <alignment vertical="center" wrapText="1"/>
    </xf>
    <xf numFmtId="44" fontId="52" fillId="0" borderId="44" xfId="0" applyNumberFormat="1" applyFont="1" applyBorder="1" applyAlignment="1">
      <alignment vertical="center" wrapText="1"/>
    </xf>
    <xf numFmtId="4" fontId="66" fillId="0" borderId="44" xfId="24" applyNumberFormat="1" applyFont="1" applyBorder="1" applyAlignment="1">
      <alignment vertical="center" wrapText="1"/>
    </xf>
    <xf numFmtId="190" fontId="66" fillId="0" borderId="44" xfId="25" applyNumberFormat="1" applyFont="1" applyBorder="1" applyAlignment="1">
      <alignment horizontal="right" vertical="center" wrapText="1"/>
    </xf>
    <xf numFmtId="190" fontId="68" fillId="0" borderId="24" xfId="25" applyNumberFormat="1" applyFont="1" applyBorder="1" applyAlignment="1">
      <alignment horizontal="right" vertical="center" wrapText="1"/>
    </xf>
    <xf numFmtId="190" fontId="68" fillId="0" borderId="44" xfId="25" applyNumberFormat="1" applyFont="1" applyBorder="1" applyAlignment="1">
      <alignment horizontal="right" vertical="center" wrapText="1"/>
    </xf>
    <xf numFmtId="0" fontId="66" fillId="17" borderId="7" xfId="20" applyFont="1" applyFill="1" applyBorder="1" applyAlignment="1">
      <alignment vertical="center"/>
    </xf>
    <xf numFmtId="0" fontId="66" fillId="0" borderId="1" xfId="15" applyFont="1" applyBorder="1" applyAlignment="1">
      <alignment vertical="center"/>
    </xf>
    <xf numFmtId="0" fontId="66" fillId="0" borderId="28" xfId="15" applyFont="1" applyBorder="1" applyAlignment="1">
      <alignment vertical="center"/>
    </xf>
    <xf numFmtId="0" fontId="66" fillId="0" borderId="25" xfId="15" applyFont="1" applyBorder="1" applyAlignment="1">
      <alignment vertical="center"/>
    </xf>
    <xf numFmtId="0" fontId="66" fillId="0" borderId="29" xfId="15" applyFont="1" applyBorder="1" applyAlignment="1">
      <alignment vertical="center"/>
    </xf>
    <xf numFmtId="0" fontId="66" fillId="0" borderId="76" xfId="15" applyFont="1" applyBorder="1" applyAlignment="1">
      <alignment vertical="center"/>
    </xf>
    <xf numFmtId="0" fontId="66" fillId="0" borderId="43" xfId="15" applyFont="1" applyBorder="1" applyAlignment="1">
      <alignment vertical="center"/>
    </xf>
    <xf numFmtId="0" fontId="68" fillId="0" borderId="10" xfId="15" applyFont="1" applyBorder="1" applyAlignment="1">
      <alignment horizontal="left" vertical="center"/>
    </xf>
    <xf numFmtId="182" fontId="68" fillId="0" borderId="80" xfId="21" applyNumberFormat="1" applyFont="1" applyBorder="1" applyAlignment="1">
      <alignment vertical="center"/>
    </xf>
    <xf numFmtId="44" fontId="68" fillId="0" borderId="81" xfId="12" applyNumberFormat="1" applyFont="1" applyBorder="1" applyAlignment="1">
      <alignment vertical="center"/>
    </xf>
    <xf numFmtId="188" fontId="68" fillId="17" borderId="10" xfId="20" applyNumberFormat="1" applyFont="1" applyFill="1" applyBorder="1" applyAlignment="1">
      <alignment vertical="center"/>
    </xf>
    <xf numFmtId="0" fontId="68" fillId="0" borderId="8" xfId="15" applyFont="1" applyBorder="1" applyAlignment="1">
      <alignment horizontal="center" vertical="center"/>
    </xf>
    <xf numFmtId="0" fontId="68" fillId="0" borderId="7" xfId="15" applyFont="1" applyBorder="1" applyAlignment="1">
      <alignment horizontal="center" vertical="center"/>
    </xf>
    <xf numFmtId="0" fontId="68" fillId="0" borderId="9" xfId="15" applyFont="1" applyBorder="1" applyAlignment="1">
      <alignment horizontal="center" vertical="center"/>
    </xf>
    <xf numFmtId="9" fontId="66" fillId="0" borderId="28" xfId="15" applyNumberFormat="1" applyFont="1" applyBorder="1" applyAlignment="1">
      <alignment horizontal="center" vertical="center"/>
    </xf>
    <xf numFmtId="0" fontId="66" fillId="0" borderId="18" xfId="15" applyFont="1" applyBorder="1" applyAlignment="1">
      <alignment horizontal="center" vertical="center"/>
    </xf>
    <xf numFmtId="9" fontId="66" fillId="0" borderId="1" xfId="15" applyNumberFormat="1" applyFont="1" applyBorder="1" applyAlignment="1">
      <alignment horizontal="center" vertical="center"/>
    </xf>
    <xf numFmtId="0" fontId="66" fillId="0" borderId="20" xfId="15" applyFont="1" applyBorder="1" applyAlignment="1">
      <alignment horizontal="center" vertical="center"/>
    </xf>
    <xf numFmtId="0" fontId="66" fillId="0" borderId="79" xfId="20" applyFont="1" applyBorder="1" applyAlignment="1">
      <alignment horizontal="left" vertical="center"/>
    </xf>
    <xf numFmtId="0" fontId="66" fillId="0" borderId="30" xfId="20" applyFont="1" applyBorder="1" applyAlignment="1">
      <alignment horizontal="left" vertical="center"/>
    </xf>
    <xf numFmtId="0" fontId="66" fillId="0" borderId="31" xfId="20" applyFont="1" applyBorder="1" applyAlignment="1">
      <alignment horizontal="left" vertical="center"/>
    </xf>
    <xf numFmtId="0" fontId="68" fillId="17" borderId="7" xfId="20" applyFont="1" applyFill="1" applyBorder="1" applyAlignment="1">
      <alignment horizontal="center" vertical="center"/>
    </xf>
    <xf numFmtId="0" fontId="68" fillId="17" borderId="9" xfId="20" applyFont="1" applyFill="1" applyBorder="1" applyAlignment="1">
      <alignment horizontal="center" vertical="center"/>
    </xf>
    <xf numFmtId="0" fontId="66" fillId="0" borderId="45" xfId="20" applyFont="1" applyBorder="1" applyAlignment="1">
      <alignment horizontal="left" vertical="center"/>
    </xf>
    <xf numFmtId="0" fontId="66" fillId="0" borderId="21" xfId="20" applyFont="1" applyBorder="1" applyAlignment="1">
      <alignment horizontal="left" vertical="center"/>
    </xf>
    <xf numFmtId="0" fontId="66" fillId="0" borderId="22" xfId="20" applyFont="1" applyBorder="1" applyAlignment="1">
      <alignment horizontal="left" vertical="center"/>
    </xf>
    <xf numFmtId="0" fontId="68" fillId="17" borderId="7" xfId="20" applyFont="1" applyFill="1" applyBorder="1" applyAlignment="1">
      <alignment horizontal="center" vertical="center" wrapText="1"/>
    </xf>
    <xf numFmtId="0" fontId="68" fillId="17" borderId="9" xfId="20" applyFont="1" applyFill="1" applyBorder="1" applyAlignment="1">
      <alignment horizontal="center" vertical="center" wrapText="1"/>
    </xf>
    <xf numFmtId="0" fontId="66" fillId="0" borderId="69" xfId="13" applyFont="1" applyBorder="1" applyAlignment="1">
      <alignment horizontal="center"/>
    </xf>
    <xf numFmtId="0" fontId="66" fillId="0" borderId="68" xfId="13" applyFont="1" applyBorder="1" applyAlignment="1">
      <alignment horizontal="center"/>
    </xf>
    <xf numFmtId="0" fontId="66" fillId="0" borderId="67" xfId="13" applyFont="1" applyBorder="1" applyAlignment="1">
      <alignment horizontal="center"/>
    </xf>
    <xf numFmtId="0" fontId="68" fillId="17" borderId="54" xfId="20" applyFont="1" applyFill="1" applyBorder="1" applyAlignment="1">
      <alignment horizontal="center" vertical="center"/>
    </xf>
    <xf numFmtId="0" fontId="68" fillId="17" borderId="53" xfId="20" applyFont="1" applyFill="1" applyBorder="1" applyAlignment="1">
      <alignment horizontal="center" vertical="center"/>
    </xf>
    <xf numFmtId="0" fontId="68" fillId="17" borderId="7" xfId="26" applyFont="1" applyFill="1" applyBorder="1" applyAlignment="1">
      <alignment horizontal="center" vertical="center" wrapText="1"/>
    </xf>
    <xf numFmtId="0" fontId="68" fillId="17" borderId="9" xfId="26" applyFont="1" applyFill="1" applyBorder="1" applyAlignment="1">
      <alignment horizontal="center" vertical="center" wrapText="1"/>
    </xf>
    <xf numFmtId="0" fontId="66" fillId="0" borderId="23" xfId="20" applyFont="1" applyBorder="1" applyAlignment="1">
      <alignment horizontal="left" vertical="center"/>
    </xf>
    <xf numFmtId="0" fontId="66" fillId="16" borderId="45" xfId="13" applyFont="1" applyFill="1" applyBorder="1" applyAlignment="1">
      <alignment horizontal="left" wrapText="1"/>
    </xf>
    <xf numFmtId="0" fontId="66" fillId="16" borderId="30" xfId="13" applyFont="1" applyFill="1" applyBorder="1" applyAlignment="1">
      <alignment horizontal="left" wrapText="1"/>
    </xf>
    <xf numFmtId="0" fontId="66" fillId="16" borderId="42" xfId="13" applyFont="1" applyFill="1" applyBorder="1" applyAlignment="1">
      <alignment horizontal="left" wrapText="1"/>
    </xf>
    <xf numFmtId="0" fontId="66" fillId="16" borderId="15" xfId="13" applyFont="1" applyFill="1" applyBorder="1" applyAlignment="1">
      <alignment horizontal="left" wrapText="1"/>
    </xf>
    <xf numFmtId="0" fontId="66" fillId="16" borderId="63" xfId="13" applyFont="1" applyFill="1" applyBorder="1" applyAlignment="1">
      <alignment horizontal="left" wrapText="1"/>
    </xf>
    <xf numFmtId="0" fontId="66" fillId="16" borderId="62" xfId="13" applyFont="1" applyFill="1" applyBorder="1" applyAlignment="1">
      <alignment horizontal="left" wrapText="1"/>
    </xf>
    <xf numFmtId="0" fontId="66" fillId="0" borderId="15" xfId="16" applyFont="1" applyBorder="1" applyAlignment="1">
      <alignment horizontal="center"/>
    </xf>
    <xf numFmtId="0" fontId="66" fillId="0" borderId="63" xfId="16" applyFont="1" applyBorder="1" applyAlignment="1">
      <alignment horizontal="center"/>
    </xf>
    <xf numFmtId="0" fontId="66" fillId="0" borderId="62" xfId="16" applyFont="1" applyBorder="1" applyAlignment="1">
      <alignment horizontal="center"/>
    </xf>
    <xf numFmtId="0" fontId="68" fillId="0" borderId="66" xfId="16" applyFont="1" applyBorder="1" applyAlignment="1">
      <alignment horizontal="center"/>
    </xf>
    <xf numFmtId="0" fontId="68" fillId="0" borderId="65" xfId="16" applyFont="1" applyBorder="1" applyAlignment="1">
      <alignment horizontal="center"/>
    </xf>
    <xf numFmtId="0" fontId="68" fillId="0" borderId="64" xfId="16" applyFont="1" applyBorder="1" applyAlignment="1">
      <alignment horizontal="center"/>
    </xf>
    <xf numFmtId="0" fontId="71" fillId="0" borderId="0" xfId="17" applyFont="1" applyAlignment="1">
      <alignment horizontal="left"/>
    </xf>
    <xf numFmtId="0" fontId="66" fillId="12" borderId="19" xfId="13" applyFont="1" applyFill="1" applyBorder="1" applyAlignment="1">
      <alignment horizontal="center" wrapText="1"/>
    </xf>
    <xf numFmtId="0" fontId="66" fillId="12" borderId="56" xfId="13" applyFont="1" applyFill="1" applyBorder="1" applyAlignment="1">
      <alignment horizontal="center" wrapText="1"/>
    </xf>
    <xf numFmtId="0" fontId="66" fillId="12" borderId="60" xfId="13" applyFont="1" applyFill="1" applyBorder="1" applyAlignment="1">
      <alignment horizontal="center" wrapText="1"/>
    </xf>
    <xf numFmtId="0" fontId="68" fillId="17" borderId="21" xfId="20" applyFont="1" applyFill="1" applyBorder="1" applyAlignment="1">
      <alignment horizontal="left" vertical="center"/>
    </xf>
    <xf numFmtId="0" fontId="68" fillId="17" borderId="22" xfId="20" applyFont="1" applyFill="1" applyBorder="1" applyAlignment="1">
      <alignment horizontal="left" vertical="center"/>
    </xf>
    <xf numFmtId="0" fontId="68" fillId="17" borderId="76" xfId="20" applyFont="1" applyFill="1" applyBorder="1" applyAlignment="1">
      <alignment horizontal="left" vertical="center"/>
    </xf>
    <xf numFmtId="0" fontId="68" fillId="9" borderId="73" xfId="20" applyFont="1" applyFill="1" applyBorder="1" applyAlignment="1">
      <alignment horizontal="center" vertical="center" wrapText="1"/>
    </xf>
    <xf numFmtId="0" fontId="68" fillId="9" borderId="74" xfId="20" applyFont="1" applyFill="1" applyBorder="1" applyAlignment="1">
      <alignment horizontal="center" vertical="center" wrapText="1"/>
    </xf>
    <xf numFmtId="0" fontId="68" fillId="9" borderId="71" xfId="20" applyFont="1" applyFill="1" applyBorder="1" applyAlignment="1">
      <alignment horizontal="center" vertical="center" wrapText="1"/>
    </xf>
    <xf numFmtId="0" fontId="68" fillId="9" borderId="77" xfId="20" applyFont="1" applyFill="1" applyBorder="1" applyAlignment="1">
      <alignment horizontal="center" vertical="center" wrapText="1"/>
    </xf>
    <xf numFmtId="0" fontId="68" fillId="0" borderId="75" xfId="22" applyFont="1" applyBorder="1" applyAlignment="1">
      <alignment horizontal="center" vertical="center" wrapText="1"/>
    </xf>
    <xf numFmtId="0" fontId="68" fillId="0" borderId="53" xfId="22" applyFont="1" applyBorder="1" applyAlignment="1">
      <alignment horizontal="center" vertical="center" wrapText="1"/>
    </xf>
    <xf numFmtId="0" fontId="68" fillId="9" borderId="72" xfId="20" applyFont="1" applyFill="1" applyBorder="1" applyAlignment="1">
      <alignment horizontal="center" vertical="center" wrapText="1"/>
    </xf>
    <xf numFmtId="4" fontId="68" fillId="9" borderId="71" xfId="20" applyNumberFormat="1" applyFont="1" applyFill="1" applyBorder="1" applyAlignment="1">
      <alignment horizontal="center" vertical="center" wrapText="1"/>
    </xf>
    <xf numFmtId="4" fontId="68" fillId="9" borderId="72" xfId="20" applyNumberFormat="1" applyFont="1" applyFill="1" applyBorder="1" applyAlignment="1">
      <alignment horizontal="center" vertical="center" wrapText="1"/>
    </xf>
    <xf numFmtId="4" fontId="68" fillId="9" borderId="70" xfId="20" applyNumberFormat="1" applyFont="1" applyFill="1" applyBorder="1" applyAlignment="1">
      <alignment horizontal="center" vertical="center" wrapText="1"/>
    </xf>
    <xf numFmtId="4" fontId="68" fillId="9" borderId="58" xfId="20" applyNumberFormat="1" applyFont="1" applyFill="1" applyBorder="1" applyAlignment="1">
      <alignment horizontal="center" vertical="center" wrapText="1"/>
    </xf>
    <xf numFmtId="0" fontId="68" fillId="17" borderId="8" xfId="20" applyFont="1" applyFill="1" applyBorder="1" applyAlignment="1">
      <alignment horizontal="right" vertical="center"/>
    </xf>
    <xf numFmtId="0" fontId="68" fillId="17" borderId="7" xfId="20" applyFont="1" applyFill="1" applyBorder="1" applyAlignment="1">
      <alignment horizontal="right" vertical="center"/>
    </xf>
    <xf numFmtId="0" fontId="68" fillId="17" borderId="57" xfId="20" applyFont="1" applyFill="1" applyBorder="1" applyAlignment="1">
      <alignment horizontal="right" vertical="center"/>
    </xf>
    <xf numFmtId="0" fontId="66" fillId="0" borderId="54" xfId="20" applyFont="1" applyBorder="1" applyAlignment="1">
      <alignment horizontal="center" vertical="center"/>
    </xf>
    <xf numFmtId="0" fontId="66" fillId="0" borderId="53" xfId="20" applyFont="1" applyBorder="1" applyAlignment="1">
      <alignment horizontal="center" vertical="center"/>
    </xf>
    <xf numFmtId="0" fontId="66" fillId="12" borderId="29" xfId="16" applyFont="1" applyFill="1" applyBorder="1" applyAlignment="1">
      <alignment vertical="center" wrapText="1"/>
    </xf>
    <xf numFmtId="0" fontId="66" fillId="12" borderId="1" xfId="16" applyFont="1" applyFill="1" applyBorder="1" applyAlignment="1">
      <alignment vertical="center" wrapText="1"/>
    </xf>
    <xf numFmtId="3" fontId="68" fillId="12" borderId="2" xfId="16" applyNumberFormat="1" applyFont="1" applyFill="1" applyBorder="1" applyAlignment="1">
      <alignment horizontal="center" vertical="center" wrapText="1"/>
    </xf>
    <xf numFmtId="3" fontId="68" fillId="12" borderId="56" xfId="16" applyNumberFormat="1" applyFont="1" applyFill="1" applyBorder="1" applyAlignment="1">
      <alignment horizontal="center" vertical="center" wrapText="1"/>
    </xf>
    <xf numFmtId="3" fontId="68" fillId="12" borderId="3" xfId="16" applyNumberFormat="1" applyFont="1" applyFill="1" applyBorder="1" applyAlignment="1">
      <alignment horizontal="center" vertical="center" wrapText="1"/>
    </xf>
    <xf numFmtId="3" fontId="68" fillId="12" borderId="1" xfId="16" applyNumberFormat="1" applyFont="1" applyFill="1" applyBorder="1" applyAlignment="1">
      <alignment horizontal="center" vertical="center"/>
    </xf>
    <xf numFmtId="0" fontId="68" fillId="12" borderId="1" xfId="16" applyFont="1" applyFill="1" applyBorder="1" applyAlignment="1">
      <alignment horizontal="center" vertical="center" wrapText="1"/>
    </xf>
    <xf numFmtId="0" fontId="68" fillId="12" borderId="1" xfId="16" applyFont="1" applyFill="1" applyBorder="1" applyAlignment="1">
      <alignment horizontal="center" vertical="center"/>
    </xf>
    <xf numFmtId="0" fontId="66" fillId="0" borderId="45" xfId="17" applyFont="1" applyBorder="1" applyAlignment="1">
      <alignment horizontal="center" vertical="center" wrapText="1"/>
    </xf>
    <xf numFmtId="0" fontId="66" fillId="0" borderId="30" xfId="17" applyFont="1" applyBorder="1" applyAlignment="1">
      <alignment horizontal="center" vertical="center" wrapText="1"/>
    </xf>
    <xf numFmtId="0" fontId="66" fillId="0" borderId="31" xfId="17" applyFont="1" applyBorder="1" applyAlignment="1">
      <alignment horizontal="center" vertical="center" wrapText="1"/>
    </xf>
    <xf numFmtId="0" fontId="66" fillId="0" borderId="11" xfId="17" applyFont="1" applyBorder="1" applyAlignment="1">
      <alignment horizontal="center" vertical="center" wrapText="1"/>
    </xf>
    <xf numFmtId="0" fontId="66" fillId="0" borderId="0" xfId="17" applyFont="1" applyAlignment="1">
      <alignment horizontal="center" vertical="center" wrapText="1"/>
    </xf>
    <xf numFmtId="0" fontId="66" fillId="0" borderId="12" xfId="17" applyFont="1" applyBorder="1" applyAlignment="1">
      <alignment horizontal="center" vertical="center" wrapText="1"/>
    </xf>
    <xf numFmtId="0" fontId="66" fillId="0" borderId="38" xfId="17" applyFont="1" applyBorder="1" applyAlignment="1">
      <alignment horizontal="center" vertical="center" wrapText="1"/>
    </xf>
    <xf numFmtId="0" fontId="66" fillId="0" borderId="39" xfId="17" applyFont="1" applyBorder="1" applyAlignment="1">
      <alignment horizontal="center" vertical="center" wrapText="1"/>
    </xf>
    <xf numFmtId="0" fontId="66" fillId="0" borderId="51" xfId="17" applyFont="1" applyBorder="1" applyAlignment="1">
      <alignment horizontal="center" vertical="center" wrapText="1"/>
    </xf>
    <xf numFmtId="3" fontId="68" fillId="12" borderId="1" xfId="16" applyNumberFormat="1" applyFont="1" applyFill="1" applyBorder="1" applyAlignment="1">
      <alignment horizontal="center" vertical="center" wrapText="1"/>
    </xf>
    <xf numFmtId="0" fontId="66" fillId="9" borderId="78" xfId="16" applyFont="1" applyFill="1" applyBorder="1" applyAlignment="1">
      <alignment horizontal="center" vertical="center" wrapText="1"/>
    </xf>
    <xf numFmtId="0" fontId="66" fillId="9" borderId="22" xfId="16" applyFont="1" applyFill="1" applyBorder="1" applyAlignment="1">
      <alignment horizontal="center" vertical="center" wrapText="1"/>
    </xf>
    <xf numFmtId="0" fontId="66" fillId="9" borderId="76" xfId="16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4" fillId="14" borderId="36" xfId="0" applyFont="1" applyFill="1" applyBorder="1" applyAlignment="1">
      <alignment horizontal="center" vertical="center" wrapText="1"/>
    </xf>
    <xf numFmtId="0" fontId="64" fillId="14" borderId="32" xfId="0" applyFont="1" applyFill="1" applyBorder="1" applyAlignment="1">
      <alignment horizontal="center" vertical="center" wrapText="1"/>
    </xf>
    <xf numFmtId="0" fontId="64" fillId="14" borderId="37" xfId="0" applyFont="1" applyFill="1" applyBorder="1" applyAlignment="1">
      <alignment horizontal="center" vertical="center" wrapText="1"/>
    </xf>
    <xf numFmtId="0" fontId="64" fillId="14" borderId="11" xfId="0" applyFont="1" applyFill="1" applyBorder="1" applyAlignment="1">
      <alignment horizontal="center" vertical="center" wrapText="1"/>
    </xf>
    <xf numFmtId="0" fontId="64" fillId="14" borderId="0" xfId="0" applyFont="1" applyFill="1" applyAlignment="1">
      <alignment horizontal="center" vertical="center" wrapText="1"/>
    </xf>
    <xf numFmtId="0" fontId="64" fillId="14" borderId="41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59" fillId="9" borderId="36" xfId="0" applyFont="1" applyFill="1" applyBorder="1" applyAlignment="1">
      <alignment horizontal="center" vertical="center" wrapText="1"/>
    </xf>
    <xf numFmtId="0" fontId="59" fillId="9" borderId="32" xfId="0" applyFont="1" applyFill="1" applyBorder="1" applyAlignment="1">
      <alignment horizontal="center" vertical="center" wrapText="1"/>
    </xf>
    <xf numFmtId="0" fontId="59" fillId="9" borderId="37" xfId="0" applyFont="1" applyFill="1" applyBorder="1" applyAlignment="1">
      <alignment horizontal="center" vertical="center" wrapText="1"/>
    </xf>
    <xf numFmtId="0" fontId="60" fillId="0" borderId="38" xfId="0" applyFont="1" applyBorder="1" applyAlignment="1">
      <alignment horizontal="center" vertical="center"/>
    </xf>
    <xf numFmtId="0" fontId="60" fillId="0" borderId="39" xfId="0" applyFont="1" applyBorder="1" applyAlignment="1">
      <alignment horizontal="center" vertical="center"/>
    </xf>
    <xf numFmtId="0" fontId="60" fillId="0" borderId="40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2" fillId="0" borderId="10" xfId="0" applyFont="1" applyBorder="1" applyAlignment="1">
      <alignment vertical="center"/>
    </xf>
    <xf numFmtId="0" fontId="52" fillId="13" borderId="10" xfId="0" applyFont="1" applyFill="1" applyBorder="1" applyAlignment="1">
      <alignment vertical="center"/>
    </xf>
    <xf numFmtId="0" fontId="1" fillId="14" borderId="8" xfId="0" applyFont="1" applyFill="1" applyBorder="1" applyAlignment="1">
      <alignment horizontal="center" vertical="center"/>
    </xf>
    <xf numFmtId="0" fontId="1" fillId="14" borderId="7" xfId="0" applyFont="1" applyFill="1" applyBorder="1" applyAlignment="1">
      <alignment horizontal="center" vertical="center"/>
    </xf>
    <xf numFmtId="0" fontId="1" fillId="14" borderId="9" xfId="0" applyFont="1" applyFill="1" applyBorder="1" applyAlignment="1">
      <alignment horizontal="center" vertical="center"/>
    </xf>
    <xf numFmtId="0" fontId="62" fillId="13" borderId="7" xfId="0" applyFont="1" applyFill="1" applyBorder="1" applyAlignment="1">
      <alignment horizontal="center" vertical="center"/>
    </xf>
    <xf numFmtId="0" fontId="62" fillId="13" borderId="9" xfId="0" applyFont="1" applyFill="1" applyBorder="1" applyAlignment="1">
      <alignment horizontal="center" vertical="center"/>
    </xf>
    <xf numFmtId="0" fontId="62" fillId="13" borderId="8" xfId="0" applyFont="1" applyFill="1" applyBorder="1" applyAlignment="1">
      <alignment horizontal="center" vertical="center"/>
    </xf>
    <xf numFmtId="44" fontId="52" fillId="0" borderId="8" xfId="0" applyNumberFormat="1" applyFont="1" applyBorder="1"/>
    <xf numFmtId="44" fontId="52" fillId="0" borderId="9" xfId="0" applyNumberFormat="1" applyFont="1" applyBorder="1"/>
    <xf numFmtId="44" fontId="52" fillId="13" borderId="8" xfId="0" applyNumberFormat="1" applyFont="1" applyFill="1" applyBorder="1"/>
    <xf numFmtId="44" fontId="52" fillId="13" borderId="9" xfId="0" applyNumberFormat="1" applyFont="1" applyFill="1" applyBorder="1"/>
    <xf numFmtId="0" fontId="0" fillId="0" borderId="0" xfId="0"/>
    <xf numFmtId="164" fontId="61" fillId="14" borderId="8" xfId="0" applyNumberFormat="1" applyFont="1" applyFill="1" applyBorder="1" applyAlignment="1">
      <alignment horizontal="center" vertical="center" wrapText="1"/>
    </xf>
    <xf numFmtId="164" fontId="61" fillId="14" borderId="7" xfId="0" applyNumberFormat="1" applyFont="1" applyFill="1" applyBorder="1" applyAlignment="1">
      <alignment horizontal="center" vertical="center" wrapText="1"/>
    </xf>
    <xf numFmtId="164" fontId="61" fillId="14" borderId="9" xfId="0" applyNumberFormat="1" applyFont="1" applyFill="1" applyBorder="1" applyAlignment="1">
      <alignment horizontal="center" vertical="center" wrapText="1"/>
    </xf>
    <xf numFmtId="44" fontId="61" fillId="14" borderId="8" xfId="0" applyNumberFormat="1" applyFont="1" applyFill="1" applyBorder="1" applyAlignment="1">
      <alignment vertical="center" wrapText="1"/>
    </xf>
    <xf numFmtId="44" fontId="61" fillId="14" borderId="9" xfId="0" applyNumberFormat="1" applyFont="1" applyFill="1" applyBorder="1" applyAlignment="1">
      <alignment vertical="center" wrapText="1"/>
    </xf>
    <xf numFmtId="0" fontId="0" fillId="14" borderId="8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55" fillId="15" borderId="33" xfId="0" applyFont="1" applyFill="1" applyBorder="1" applyAlignment="1">
      <alignment horizontal="center"/>
    </xf>
    <xf numFmtId="0" fontId="55" fillId="15" borderId="34" xfId="0" applyFont="1" applyFill="1" applyBorder="1" applyAlignment="1">
      <alignment horizontal="center"/>
    </xf>
    <xf numFmtId="0" fontId="55" fillId="15" borderId="35" xfId="0" applyFont="1" applyFill="1" applyBorder="1" applyAlignment="1">
      <alignment horizontal="center"/>
    </xf>
    <xf numFmtId="164" fontId="63" fillId="9" borderId="8" xfId="0" applyNumberFormat="1" applyFont="1" applyFill="1" applyBorder="1" applyAlignment="1">
      <alignment horizontal="center" vertical="center" wrapText="1"/>
    </xf>
    <xf numFmtId="164" fontId="63" fillId="9" borderId="7" xfId="0" applyNumberFormat="1" applyFont="1" applyFill="1" applyBorder="1" applyAlignment="1">
      <alignment horizontal="center" vertical="center" wrapText="1"/>
    </xf>
    <xf numFmtId="164" fontId="63" fillId="0" borderId="8" xfId="0" applyNumberFormat="1" applyFont="1" applyBorder="1" applyAlignment="1">
      <alignment horizontal="center" vertical="center" wrapText="1"/>
    </xf>
    <xf numFmtId="164" fontId="63" fillId="0" borderId="7" xfId="0" applyNumberFormat="1" applyFont="1" applyBorder="1" applyAlignment="1">
      <alignment horizontal="center" vertical="center" wrapText="1"/>
    </xf>
    <xf numFmtId="44" fontId="55" fillId="15" borderId="8" xfId="0" applyNumberFormat="1" applyFont="1" applyFill="1" applyBorder="1" applyAlignment="1">
      <alignment vertical="center" wrapText="1"/>
    </xf>
    <xf numFmtId="44" fontId="55" fillId="15" borderId="9" xfId="0" applyNumberFormat="1" applyFont="1" applyFill="1" applyBorder="1" applyAlignment="1">
      <alignment vertical="center" wrapText="1"/>
    </xf>
    <xf numFmtId="164" fontId="58" fillId="14" borderId="8" xfId="0" applyNumberFormat="1" applyFont="1" applyFill="1" applyBorder="1" applyAlignment="1">
      <alignment horizontal="right"/>
    </xf>
    <xf numFmtId="164" fontId="58" fillId="14" borderId="7" xfId="0" applyNumberFormat="1" applyFont="1" applyFill="1" applyBorder="1" applyAlignment="1">
      <alignment horizontal="right"/>
    </xf>
    <xf numFmtId="164" fontId="58" fillId="14" borderId="9" xfId="0" applyNumberFormat="1" applyFont="1" applyFill="1" applyBorder="1" applyAlignment="1">
      <alignment horizontal="right"/>
    </xf>
    <xf numFmtId="0" fontId="53" fillId="13" borderId="8" xfId="0" applyFont="1" applyFill="1" applyBorder="1" applyAlignment="1">
      <alignment horizontal="center" vertical="center" wrapText="1"/>
    </xf>
    <xf numFmtId="0" fontId="53" fillId="13" borderId="7" xfId="0" applyFont="1" applyFill="1" applyBorder="1" applyAlignment="1">
      <alignment horizontal="center" vertical="center" wrapText="1"/>
    </xf>
    <xf numFmtId="0" fontId="53" fillId="13" borderId="9" xfId="0" applyFont="1" applyFill="1" applyBorder="1" applyAlignment="1">
      <alignment horizontal="center" vertical="center" wrapText="1"/>
    </xf>
    <xf numFmtId="164" fontId="58" fillId="14" borderId="38" xfId="0" applyNumberFormat="1" applyFont="1" applyFill="1" applyBorder="1" applyAlignment="1">
      <alignment horizontal="right"/>
    </xf>
    <xf numFmtId="0" fontId="58" fillId="14" borderId="39" xfId="0" applyFont="1" applyFill="1" applyBorder="1" applyAlignment="1">
      <alignment horizontal="right"/>
    </xf>
    <xf numFmtId="0" fontId="58" fillId="14" borderId="9" xfId="0" applyFont="1" applyFill="1" applyBorder="1" applyAlignment="1">
      <alignment horizontal="right"/>
    </xf>
    <xf numFmtId="0" fontId="53" fillId="13" borderId="32" xfId="0" applyFont="1" applyFill="1" applyBorder="1" applyAlignment="1">
      <alignment horizontal="center" vertical="center" wrapText="1"/>
    </xf>
    <xf numFmtId="0" fontId="53" fillId="13" borderId="37" xfId="0" applyFont="1" applyFill="1" applyBorder="1" applyAlignment="1">
      <alignment horizontal="center" vertical="center" wrapText="1"/>
    </xf>
    <xf numFmtId="0" fontId="58" fillId="14" borderId="7" xfId="0" applyFont="1" applyFill="1" applyBorder="1" applyAlignment="1">
      <alignment horizontal="right"/>
    </xf>
    <xf numFmtId="0" fontId="55" fillId="0" borderId="33" xfId="0" applyFont="1" applyBorder="1" applyAlignment="1">
      <alignment horizontal="center"/>
    </xf>
    <xf numFmtId="0" fontId="55" fillId="0" borderId="34" xfId="0" applyFont="1" applyBorder="1" applyAlignment="1">
      <alignment horizontal="center"/>
    </xf>
    <xf numFmtId="0" fontId="55" fillId="0" borderId="35" xfId="0" applyFont="1" applyBorder="1" applyAlignment="1">
      <alignment horizontal="center"/>
    </xf>
    <xf numFmtId="0" fontId="65" fillId="0" borderId="36" xfId="0" applyFont="1" applyBorder="1" applyAlignment="1">
      <alignment horizontal="center" vertical="center"/>
    </xf>
    <xf numFmtId="0" fontId="65" fillId="0" borderId="37" xfId="0" applyFont="1" applyBorder="1" applyAlignment="1">
      <alignment horizontal="center" vertical="center"/>
    </xf>
    <xf numFmtId="0" fontId="65" fillId="0" borderId="11" xfId="0" applyFont="1" applyBorder="1" applyAlignment="1">
      <alignment horizontal="center" vertical="center"/>
    </xf>
    <xf numFmtId="0" fontId="65" fillId="0" borderId="41" xfId="0" applyFont="1" applyBorder="1" applyAlignment="1">
      <alignment horizontal="center" vertical="center"/>
    </xf>
    <xf numFmtId="0" fontId="53" fillId="13" borderId="45" xfId="0" applyFont="1" applyFill="1" applyBorder="1" applyAlignment="1">
      <alignment horizontal="center" vertical="center" wrapText="1"/>
    </xf>
    <xf numFmtId="0" fontId="53" fillId="13" borderId="30" xfId="0" applyFont="1" applyFill="1" applyBorder="1" applyAlignment="1">
      <alignment horizontal="center" vertical="center" wrapText="1"/>
    </xf>
    <xf numFmtId="0" fontId="53" fillId="13" borderId="42" xfId="0" applyFont="1" applyFill="1" applyBorder="1" applyAlignment="1">
      <alignment horizontal="center" vertical="center" wrapText="1"/>
    </xf>
    <xf numFmtId="0" fontId="57" fillId="14" borderId="36" xfId="0" applyFont="1" applyFill="1" applyBorder="1" applyAlignment="1">
      <alignment horizontal="center" vertical="center" wrapText="1"/>
    </xf>
    <xf numFmtId="0" fontId="57" fillId="14" borderId="32" xfId="0" applyFont="1" applyFill="1" applyBorder="1" applyAlignment="1">
      <alignment horizontal="center" vertical="center" wrapText="1"/>
    </xf>
    <xf numFmtId="0" fontId="57" fillId="14" borderId="37" xfId="0" applyFont="1" applyFill="1" applyBorder="1" applyAlignment="1">
      <alignment horizontal="center" vertical="center" wrapText="1"/>
    </xf>
    <xf numFmtId="0" fontId="57" fillId="14" borderId="11" xfId="0" applyFont="1" applyFill="1" applyBorder="1" applyAlignment="1">
      <alignment horizontal="center" vertical="center" wrapText="1"/>
    </xf>
    <xf numFmtId="0" fontId="57" fillId="14" borderId="0" xfId="0" applyFont="1" applyFill="1" applyAlignment="1">
      <alignment horizontal="center" vertical="center" wrapText="1"/>
    </xf>
    <xf numFmtId="0" fontId="57" fillId="14" borderId="41" xfId="0" applyFont="1" applyFill="1" applyBorder="1" applyAlignment="1">
      <alignment horizontal="center" vertical="center" wrapText="1"/>
    </xf>
    <xf numFmtId="0" fontId="55" fillId="0" borderId="36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5" fillId="0" borderId="38" xfId="0" applyFont="1" applyBorder="1" applyAlignment="1">
      <alignment horizontal="center" vertical="center" wrapText="1"/>
    </xf>
    <xf numFmtId="0" fontId="55" fillId="0" borderId="37" xfId="0" applyFont="1" applyBorder="1" applyAlignment="1">
      <alignment horizontal="center"/>
    </xf>
    <xf numFmtId="0" fontId="55" fillId="0" borderId="41" xfId="0" applyFont="1" applyBorder="1" applyAlignment="1">
      <alignment horizontal="center"/>
    </xf>
    <xf numFmtId="0" fontId="55" fillId="0" borderId="40" xfId="0" applyFont="1" applyBorder="1" applyAlignment="1">
      <alignment horizontal="center"/>
    </xf>
    <xf numFmtId="0" fontId="56" fillId="0" borderId="7" xfId="0" applyFont="1" applyBorder="1" applyAlignment="1">
      <alignment horizontal="center" vertical="center" wrapText="1"/>
    </xf>
    <xf numFmtId="0" fontId="52" fillId="14" borderId="8" xfId="0" applyFont="1" applyFill="1" applyBorder="1" applyAlignment="1">
      <alignment horizontal="center" vertical="center" wrapText="1"/>
    </xf>
    <xf numFmtId="0" fontId="52" fillId="14" borderId="7" xfId="0" applyFont="1" applyFill="1" applyBorder="1" applyAlignment="1">
      <alignment horizontal="center" vertical="center" wrapText="1"/>
    </xf>
    <xf numFmtId="0" fontId="52" fillId="14" borderId="9" xfId="0" applyFont="1" applyFill="1" applyBorder="1" applyAlignment="1">
      <alignment horizontal="center" vertical="center" wrapText="1"/>
    </xf>
    <xf numFmtId="166" fontId="12" fillId="0" borderId="19" xfId="3" applyNumberFormat="1" applyFont="1" applyBorder="1" applyAlignment="1">
      <alignment horizontal="justify" vertical="center" wrapText="1"/>
    </xf>
    <xf numFmtId="166" fontId="12" fillId="0" borderId="3" xfId="3" applyNumberFormat="1" applyFont="1" applyBorder="1" applyAlignment="1">
      <alignment horizontal="justify" vertical="center" wrapText="1"/>
    </xf>
    <xf numFmtId="166" fontId="12" fillId="0" borderId="19" xfId="3" applyNumberFormat="1" applyFont="1" applyBorder="1" applyAlignment="1">
      <alignment horizontal="left" vertical="center" wrapText="1"/>
    </xf>
    <xf numFmtId="166" fontId="12" fillId="0" borderId="3" xfId="3" applyNumberFormat="1" applyFont="1" applyBorder="1" applyAlignment="1">
      <alignment horizontal="left" vertical="center" wrapText="1"/>
    </xf>
    <xf numFmtId="0" fontId="11" fillId="5" borderId="8" xfId="3" applyFont="1" applyFill="1" applyBorder="1" applyAlignment="1">
      <alignment horizontal="left" wrapText="1"/>
    </xf>
    <xf numFmtId="0" fontId="11" fillId="5" borderId="7" xfId="3" applyFont="1" applyFill="1" applyBorder="1" applyAlignment="1">
      <alignment horizontal="left" wrapText="1"/>
    </xf>
    <xf numFmtId="0" fontId="11" fillId="5" borderId="9" xfId="3" applyFont="1" applyFill="1" applyBorder="1" applyAlignment="1">
      <alignment horizontal="left" wrapText="1"/>
    </xf>
    <xf numFmtId="0" fontId="11" fillId="0" borderId="11" xfId="3" applyFont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 wrapText="1"/>
    </xf>
    <xf numFmtId="0" fontId="11" fillId="0" borderId="15" xfId="3" applyFont="1" applyBorder="1" applyAlignment="1">
      <alignment horizontal="center" vertical="center" wrapText="1"/>
    </xf>
    <xf numFmtId="0" fontId="11" fillId="0" borderId="16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wrapText="1"/>
    </xf>
    <xf numFmtId="0" fontId="11" fillId="0" borderId="17" xfId="3" applyFont="1" applyBorder="1" applyAlignment="1">
      <alignment horizontal="center" vertical="center" wrapText="1"/>
    </xf>
    <xf numFmtId="44" fontId="11" fillId="0" borderId="14" xfId="2" applyFont="1" applyFill="1" applyBorder="1" applyAlignment="1">
      <alignment horizontal="center" vertical="center" wrapText="1"/>
    </xf>
    <xf numFmtId="44" fontId="11" fillId="0" borderId="18" xfId="2" applyFont="1" applyFill="1" applyBorder="1" applyAlignment="1">
      <alignment horizontal="center" vertical="center" wrapText="1"/>
    </xf>
    <xf numFmtId="0" fontId="11" fillId="5" borderId="10" xfId="3" applyFont="1" applyFill="1" applyBorder="1" applyAlignment="1">
      <alignment horizontal="left" wrapText="1"/>
    </xf>
    <xf numFmtId="0" fontId="11" fillId="6" borderId="21" xfId="3" applyFont="1" applyFill="1" applyBorder="1" applyAlignment="1">
      <alignment horizontal="right" wrapText="1"/>
    </xf>
    <xf numFmtId="0" fontId="11" fillId="6" borderId="22" xfId="3" applyFont="1" applyFill="1" applyBorder="1" applyAlignment="1">
      <alignment horizontal="right" wrapText="1"/>
    </xf>
    <xf numFmtId="0" fontId="11" fillId="6" borderId="23" xfId="3" applyFont="1" applyFill="1" applyBorder="1" applyAlignment="1">
      <alignment horizontal="right" wrapText="1"/>
    </xf>
    <xf numFmtId="0" fontId="11" fillId="5" borderId="8" xfId="3" applyFont="1" applyFill="1" applyBorder="1" applyAlignment="1">
      <alignment horizontal="center" wrapText="1"/>
    </xf>
    <xf numFmtId="0" fontId="11" fillId="5" borderId="7" xfId="3" applyFont="1" applyFill="1" applyBorder="1" applyAlignment="1">
      <alignment horizontal="center" wrapText="1"/>
    </xf>
    <xf numFmtId="0" fontId="11" fillId="5" borderId="9" xfId="3" applyFont="1" applyFill="1" applyBorder="1" applyAlignment="1">
      <alignment horizontal="center" wrapText="1"/>
    </xf>
    <xf numFmtId="0" fontId="11" fillId="5" borderId="8" xfId="3" applyFont="1" applyFill="1" applyBorder="1" applyAlignment="1">
      <alignment horizontal="center" vertical="center" wrapText="1"/>
    </xf>
    <xf numFmtId="0" fontId="11" fillId="5" borderId="7" xfId="3" applyFont="1" applyFill="1" applyBorder="1" applyAlignment="1">
      <alignment horizontal="center" vertical="center" wrapText="1"/>
    </xf>
    <xf numFmtId="0" fontId="11" fillId="5" borderId="9" xfId="3" applyFont="1" applyFill="1" applyBorder="1" applyAlignment="1">
      <alignment horizontal="center" vertical="center" wrapText="1"/>
    </xf>
    <xf numFmtId="166" fontId="12" fillId="0" borderId="2" xfId="0" applyNumberFormat="1" applyFont="1" applyBorder="1" applyAlignment="1">
      <alignment horizontal="center" vertical="center" wrapText="1"/>
    </xf>
    <xf numFmtId="166" fontId="12" fillId="0" borderId="3" xfId="0" applyNumberFormat="1" applyFont="1" applyBorder="1" applyAlignment="1">
      <alignment horizontal="center" vertical="center" wrapText="1"/>
    </xf>
    <xf numFmtId="0" fontId="11" fillId="0" borderId="25" xfId="3" applyFont="1" applyBorder="1" applyAlignment="1">
      <alignment horizontal="center" vertical="center" wrapText="1"/>
    </xf>
    <xf numFmtId="0" fontId="11" fillId="0" borderId="29" xfId="3" applyFont="1" applyBorder="1" applyAlignment="1">
      <alignment horizontal="center" vertical="center" wrapText="1"/>
    </xf>
    <xf numFmtId="0" fontId="11" fillId="0" borderId="28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11" fillId="0" borderId="26" xfId="3" applyFont="1" applyBorder="1" applyAlignment="1">
      <alignment horizontal="center" vertical="center" wrapText="1"/>
    </xf>
    <xf numFmtId="0" fontId="11" fillId="0" borderId="27" xfId="3" applyFont="1" applyBorder="1" applyAlignment="1">
      <alignment horizontal="center" vertical="center" wrapText="1"/>
    </xf>
    <xf numFmtId="44" fontId="11" fillId="0" borderId="20" xfId="2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2" fillId="5" borderId="10" xfId="3" applyFont="1" applyFill="1" applyBorder="1" applyAlignment="1">
      <alignment horizontal="justify" vertical="center" wrapText="1"/>
    </xf>
    <xf numFmtId="0" fontId="11" fillId="5" borderId="4" xfId="3" applyFont="1" applyFill="1" applyBorder="1" applyAlignment="1">
      <alignment horizontal="center" wrapText="1"/>
    </xf>
    <xf numFmtId="0" fontId="11" fillId="5" borderId="5" xfId="3" applyFont="1" applyFill="1" applyBorder="1" applyAlignment="1">
      <alignment horizontal="center" wrapText="1"/>
    </xf>
    <xf numFmtId="0" fontId="11" fillId="5" borderId="6" xfId="3" applyFont="1" applyFill="1" applyBorder="1" applyAlignment="1">
      <alignment horizontal="center" wrapText="1"/>
    </xf>
    <xf numFmtId="0" fontId="7" fillId="0" borderId="26" xfId="3" applyFont="1" applyBorder="1" applyAlignment="1">
      <alignment horizontal="center" vertical="center" wrapText="1"/>
    </xf>
    <xf numFmtId="0" fontId="7" fillId="0" borderId="27" xfId="3" applyFont="1" applyBorder="1" applyAlignment="1">
      <alignment horizontal="center" vertical="center" wrapText="1"/>
    </xf>
    <xf numFmtId="0" fontId="7" fillId="0" borderId="17" xfId="3" applyFont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wrapText="1"/>
    </xf>
    <xf numFmtId="0" fontId="7" fillId="0" borderId="28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44" fontId="7" fillId="0" borderId="18" xfId="4" applyFont="1" applyBorder="1" applyAlignment="1">
      <alignment horizontal="center" vertical="center" wrapText="1"/>
    </xf>
    <xf numFmtId="44" fontId="7" fillId="0" borderId="20" xfId="4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 wrapText="1"/>
    </xf>
    <xf numFmtId="166" fontId="8" fillId="0" borderId="3" xfId="0" applyNumberFormat="1" applyFont="1" applyBorder="1" applyAlignment="1">
      <alignment horizontal="center" vertical="center" wrapText="1"/>
    </xf>
    <xf numFmtId="0" fontId="7" fillId="3" borderId="21" xfId="3" applyFont="1" applyFill="1" applyBorder="1" applyAlignment="1">
      <alignment horizontal="right" wrapText="1"/>
    </xf>
    <xf numFmtId="0" fontId="7" fillId="3" borderId="22" xfId="3" applyFont="1" applyFill="1" applyBorder="1" applyAlignment="1">
      <alignment horizontal="right" wrapText="1"/>
    </xf>
    <xf numFmtId="0" fontId="7" fillId="3" borderId="23" xfId="3" applyFont="1" applyFill="1" applyBorder="1" applyAlignment="1">
      <alignment horizontal="right" wrapText="1"/>
    </xf>
    <xf numFmtId="0" fontId="7" fillId="0" borderId="25" xfId="3" applyFont="1" applyBorder="1" applyAlignment="1">
      <alignment horizontal="center" vertical="center" wrapText="1"/>
    </xf>
    <xf numFmtId="0" fontId="7" fillId="0" borderId="29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44" fontId="7" fillId="0" borderId="14" xfId="4" applyFont="1" applyBorder="1" applyAlignment="1">
      <alignment horizontal="center" vertical="center" wrapText="1"/>
    </xf>
    <xf numFmtId="0" fontId="7" fillId="2" borderId="8" xfId="3" applyFont="1" applyFill="1" applyBorder="1" applyAlignment="1">
      <alignment horizontal="left" wrapText="1"/>
    </xf>
    <xf numFmtId="0" fontId="7" fillId="2" borderId="7" xfId="3" applyFont="1" applyFill="1" applyBorder="1" applyAlignment="1">
      <alignment horizontal="left" wrapText="1"/>
    </xf>
    <xf numFmtId="0" fontId="7" fillId="2" borderId="9" xfId="3" applyFont="1" applyFill="1" applyBorder="1" applyAlignment="1">
      <alignment horizontal="left" wrapText="1"/>
    </xf>
    <xf numFmtId="0" fontId="7" fillId="2" borderId="8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9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justify" vertical="center" wrapText="1"/>
    </xf>
    <xf numFmtId="0" fontId="7" fillId="2" borderId="10" xfId="3" applyFont="1" applyFill="1" applyBorder="1" applyAlignment="1">
      <alignment horizontal="left" wrapText="1"/>
    </xf>
    <xf numFmtId="0" fontId="7" fillId="0" borderId="11" xfId="3" applyFont="1" applyBorder="1" applyAlignment="1">
      <alignment horizontal="center" vertical="center" wrapText="1"/>
    </xf>
    <xf numFmtId="0" fontId="7" fillId="0" borderId="12" xfId="3" applyFont="1" applyBorder="1" applyAlignment="1">
      <alignment horizontal="center" vertical="center" wrapText="1"/>
    </xf>
    <xf numFmtId="0" fontId="7" fillId="0" borderId="15" xfId="3" applyFont="1" applyBorder="1" applyAlignment="1">
      <alignment horizontal="center" vertical="center" wrapText="1"/>
    </xf>
    <xf numFmtId="166" fontId="8" fillId="0" borderId="19" xfId="3" applyNumberFormat="1" applyFont="1" applyBorder="1" applyAlignment="1">
      <alignment horizontal="justify" vertical="center" wrapText="1"/>
    </xf>
    <xf numFmtId="166" fontId="8" fillId="0" borderId="3" xfId="3" applyNumberFormat="1" applyFont="1" applyBorder="1" applyAlignment="1">
      <alignment horizontal="justify" vertical="center" wrapText="1"/>
    </xf>
    <xf numFmtId="0" fontId="7" fillId="2" borderId="8" xfId="3" applyFont="1" applyFill="1" applyBorder="1" applyAlignment="1">
      <alignment horizontal="center" wrapText="1"/>
    </xf>
    <xf numFmtId="0" fontId="7" fillId="2" borderId="7" xfId="3" applyFont="1" applyFill="1" applyBorder="1" applyAlignment="1">
      <alignment horizontal="center" wrapText="1"/>
    </xf>
    <xf numFmtId="0" fontId="7" fillId="2" borderId="9" xfId="3" applyFont="1" applyFill="1" applyBorder="1" applyAlignment="1">
      <alignment horizontal="center" wrapText="1"/>
    </xf>
    <xf numFmtId="0" fontId="7" fillId="2" borderId="4" xfId="3" applyFont="1" applyFill="1" applyBorder="1" applyAlignment="1">
      <alignment horizontal="center" wrapText="1"/>
    </xf>
    <xf numFmtId="0" fontId="7" fillId="2" borderId="5" xfId="3" applyFont="1" applyFill="1" applyBorder="1" applyAlignment="1">
      <alignment horizontal="center" wrapText="1"/>
    </xf>
    <xf numFmtId="0" fontId="7" fillId="2" borderId="6" xfId="3" applyFont="1" applyFill="1" applyBorder="1" applyAlignment="1">
      <alignment horizontal="center" wrapText="1"/>
    </xf>
    <xf numFmtId="0" fontId="9" fillId="0" borderId="19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left" vertical="center" wrapText="1"/>
    </xf>
    <xf numFmtId="166" fontId="8" fillId="0" borderId="2" xfId="1" applyNumberFormat="1" applyFont="1" applyBorder="1" applyAlignment="1">
      <alignment horizontal="center" vertical="center" wrapText="1"/>
    </xf>
    <xf numFmtId="166" fontId="8" fillId="0" borderId="3" xfId="1" applyNumberFormat="1" applyFont="1" applyBorder="1" applyAlignment="1">
      <alignment horizontal="center" vertical="center" wrapText="1"/>
    </xf>
    <xf numFmtId="0" fontId="11" fillId="5" borderId="8" xfId="3" applyFont="1" applyFill="1" applyBorder="1" applyAlignment="1">
      <alignment horizontal="center"/>
    </xf>
    <xf numFmtId="0" fontId="11" fillId="5" borderId="7" xfId="3" applyFont="1" applyFill="1" applyBorder="1" applyAlignment="1">
      <alignment horizontal="center"/>
    </xf>
    <xf numFmtId="0" fontId="11" fillId="5" borderId="9" xfId="3" applyFont="1" applyFill="1" applyBorder="1" applyAlignment="1">
      <alignment horizontal="center"/>
    </xf>
    <xf numFmtId="0" fontId="11" fillId="5" borderId="8" xfId="3" applyFont="1" applyFill="1" applyBorder="1" applyAlignment="1">
      <alignment horizontal="center" vertical="top" wrapText="1"/>
    </xf>
    <xf numFmtId="0" fontId="11" fillId="5" borderId="7" xfId="3" applyFont="1" applyFill="1" applyBorder="1" applyAlignment="1">
      <alignment horizontal="center" vertical="top" wrapText="1"/>
    </xf>
    <xf numFmtId="0" fontId="11" fillId="5" borderId="9" xfId="3" applyFont="1" applyFill="1" applyBorder="1" applyAlignment="1">
      <alignment horizontal="center" vertical="top" wrapText="1"/>
    </xf>
    <xf numFmtId="0" fontId="29" fillId="10" borderId="0" xfId="7" applyFont="1" applyFill="1" applyAlignment="1">
      <alignment horizontal="center"/>
    </xf>
    <xf numFmtId="0" fontId="27" fillId="10" borderId="0" xfId="7" applyFont="1" applyFill="1" applyAlignment="1">
      <alignment horizontal="center" vertical="top" wrapText="1"/>
    </xf>
    <xf numFmtId="0" fontId="26" fillId="10" borderId="0" xfId="7" applyFont="1" applyFill="1" applyAlignment="1">
      <alignment horizontal="center" vertical="top" wrapText="1"/>
    </xf>
    <xf numFmtId="0" fontId="23" fillId="10" borderId="0" xfId="7" applyFont="1" applyFill="1" applyAlignment="1">
      <alignment horizontal="center" vertical="top" wrapText="1"/>
    </xf>
  </cellXfs>
  <cellStyles count="27">
    <cellStyle name="Comma" xfId="14" xr:uid="{5CE95D15-3E31-4E95-812B-1069FF3673DC}"/>
    <cellStyle name="Millares [0] 2" xfId="8" xr:uid="{00000000-0005-0000-0000-000000000000}"/>
    <cellStyle name="Millares 2" xfId="6" xr:uid="{00000000-0005-0000-0000-000001000000}"/>
    <cellStyle name="Millares 2 2" xfId="24" xr:uid="{F0A68CE7-2F78-4D1B-8566-009496DC9A3A}"/>
    <cellStyle name="Millares 26" xfId="10" xr:uid="{00000000-0005-0000-0000-000002000000}"/>
    <cellStyle name="Millares 3" xfId="9" xr:uid="{00000000-0005-0000-0000-000003000000}"/>
    <cellStyle name="Millares_FORMULARIO 4 - M-OFERENTE PPTA ECONOMICA" xfId="19" xr:uid="{AD59B683-2D54-44D9-9B8A-809793D1B48F}"/>
    <cellStyle name="Moneda [0] 2" xfId="11" xr:uid="{00000000-0005-0000-0000-000004000000}"/>
    <cellStyle name="Moneda 2" xfId="2" xr:uid="{00000000-0005-0000-0000-000005000000}"/>
    <cellStyle name="Moneda 2 2" xfId="4" xr:uid="{00000000-0005-0000-0000-000006000000}"/>
    <cellStyle name="Moneda 2 2 2 2 2" xfId="21" xr:uid="{05287C10-DA66-4781-A0AD-2956FB732754}"/>
    <cellStyle name="Moneda 2 3" xfId="25" xr:uid="{48B054FA-DBFB-4E85-AE90-ACD8848F5531}"/>
    <cellStyle name="Normal" xfId="0" builtinId="0"/>
    <cellStyle name="Normal 10" xfId="3" xr:uid="{00000000-0005-0000-0000-000008000000}"/>
    <cellStyle name="Normal 2" xfId="1" xr:uid="{00000000-0005-0000-0000-000009000000}"/>
    <cellStyle name="Normal 2 10 2 2" xfId="26" xr:uid="{3F258BF5-1A07-437E-8E78-CFD177427753}"/>
    <cellStyle name="Normal 2 10 3" xfId="22" xr:uid="{42C92C96-77AD-4EBA-BFCE-14C348F70E07}"/>
    <cellStyle name="Normal 2 2" xfId="20" xr:uid="{6FF89BA2-0699-41DA-AAF9-9693D978D10F}"/>
    <cellStyle name="Normal 3" xfId="7" xr:uid="{00000000-0005-0000-0000-00000A000000}"/>
    <cellStyle name="Normal 3 11" xfId="16" xr:uid="{D3E1CFFE-65B7-4A8A-8D31-42F6D6C1F556}"/>
    <cellStyle name="Normal 3 2" xfId="13" xr:uid="{08AD9D2F-B210-4805-87C2-2B529D4A3424}"/>
    <cellStyle name="Normal 3 2 2" xfId="15" xr:uid="{757FC4B5-426F-41D5-9321-3E93C1C52FBA}"/>
    <cellStyle name="Normal 4" xfId="17" xr:uid="{551F3FAB-F006-4FA6-99B7-DEF64D30DD1D}"/>
    <cellStyle name="Normal_PTO OFICIAL PREPLIEGO (CORREGIDO) 2" xfId="23" xr:uid="{6B27D23C-1C87-41CB-A024-EF2D99108D89}"/>
    <cellStyle name="Percent" xfId="18" xr:uid="{67A5575F-50FB-4D03-AA59-3B2C7E62ABB3}"/>
    <cellStyle name="Porcentaje" xfId="12" builtinId="5"/>
    <cellStyle name="Porcentaje 2" xfId="5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6" Type="http://schemas.openxmlformats.org/officeDocument/2006/relationships/externalLink" Target="externalLinks/externalLink11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18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externalLink" Target="externalLinks/externalLink103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theme" Target="theme/theme1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styles" Target="styles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165100</xdr:colOff>
      <xdr:row>4</xdr:row>
      <xdr:rowOff>38100</xdr:rowOff>
    </xdr:from>
    <xdr:to>
      <xdr:col>3</xdr:col>
      <xdr:colOff>1625600</xdr:colOff>
      <xdr:row>7</xdr:row>
      <xdr:rowOff>71273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AE495AB-0283-49FB-BA0A-E893DF254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27300" y="825500"/>
          <a:ext cx="1460500" cy="113807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3</xdr:row>
      <xdr:rowOff>0</xdr:rowOff>
    </xdr:from>
    <xdr:to>
      <xdr:col>2</xdr:col>
      <xdr:colOff>1613933</xdr:colOff>
      <xdr:row>6</xdr:row>
      <xdr:rowOff>127000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5B0BA89-AC3C-445E-9AA0-3B94E1CF1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3400" y="546100"/>
          <a:ext cx="1385333" cy="1079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57150</xdr:colOff>
      <xdr:row>0</xdr:row>
      <xdr:rowOff>19050</xdr:rowOff>
    </xdr:from>
    <xdr:ext cx="1066800" cy="1257300"/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19050"/>
          <a:ext cx="1066800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171450</xdr:colOff>
      <xdr:row>873</xdr:row>
      <xdr:rowOff>180975</xdr:rowOff>
    </xdr:from>
    <xdr:ext cx="3552825" cy="504825"/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594" t="43089" r="28069" b="48785"/>
        <a:stretch>
          <a:fillRect/>
        </a:stretch>
      </xdr:blipFill>
      <xdr:spPr bwMode="auto">
        <a:xfrm>
          <a:off x="3981450" y="141522450"/>
          <a:ext cx="35528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UARIO/Downloads/PRESUPUESTO%20COLEGIOS%20%20FINAL.xlsx" TargetMode="External"/><Relationship Id="rId1" Type="http://schemas.openxmlformats.org/officeDocument/2006/relationships/externalLinkPath" Target="/Users/USUARIO/Downloads/PRESUPUESTO%20COLEGIOS%20%20FINAL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6%20EDWIN\ESCRITORIO\PROYECTOS\TERMINAL%20DE%20TRANSPORTE\PRESUPUESTO%20-%20TERM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INAL"/>
      <sheetName val="APU"/>
      <sheetName val="INSUMOS"/>
    </sheetNames>
    <sheetDataSet>
      <sheetData sheetId="0">
        <row r="130">
          <cell r="C130" t="str">
            <v>M2</v>
          </cell>
        </row>
      </sheetData>
      <sheetData sheetId="1"/>
      <sheetData sheetId="2">
        <row r="11">
          <cell r="B11" t="str">
            <v>CUADRILLA AA - ALBAÑILERIA</v>
          </cell>
          <cell r="C11" t="str">
            <v>HC</v>
          </cell>
          <cell r="D11">
            <v>40874</v>
          </cell>
        </row>
        <row r="12">
          <cell r="C12" t="str">
            <v>HC</v>
          </cell>
        </row>
        <row r="45">
          <cell r="C45" t="str">
            <v>MT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ronograma"/>
      <sheetName val="LISTADO DE UNITARIOS"/>
      <sheetName val="INSUMOS"/>
      <sheetName val="ANALISIS UNITARIOS "/>
      <sheetName val="BASICOS"/>
      <sheetName val="MO"/>
      <sheetName val="MORTEROS Y CONCRETOS"/>
    </sheetNames>
    <sheetDataSet>
      <sheetData sheetId="0"/>
      <sheetData sheetId="1"/>
      <sheetData sheetId="2"/>
      <sheetData sheetId="3"/>
      <sheetData sheetId="4">
        <row r="16">
          <cell r="B16">
            <v>1</v>
          </cell>
        </row>
        <row r="300">
          <cell r="G300">
            <v>19313</v>
          </cell>
        </row>
        <row r="1489">
          <cell r="C1489" t="str">
            <v>MANO DE OBRA AA</v>
          </cell>
        </row>
        <row r="1585">
          <cell r="C1585" t="str">
            <v>MANO DE OBRA DD</v>
          </cell>
        </row>
      </sheetData>
      <sheetData sheetId="5">
        <row r="64">
          <cell r="E64">
            <v>511454</v>
          </cell>
        </row>
        <row r="72">
          <cell r="E72">
            <v>485101</v>
          </cell>
        </row>
        <row r="80">
          <cell r="E80">
            <v>432578</v>
          </cell>
        </row>
        <row r="88">
          <cell r="E88">
            <v>612043</v>
          </cell>
        </row>
        <row r="98">
          <cell r="E98">
            <v>593108</v>
          </cell>
        </row>
        <row r="109">
          <cell r="E109">
            <v>522075</v>
          </cell>
        </row>
        <row r="120">
          <cell r="E120">
            <v>549097</v>
          </cell>
        </row>
        <row r="131">
          <cell r="E131">
            <v>548368</v>
          </cell>
        </row>
        <row r="144">
          <cell r="E144">
            <v>506609</v>
          </cell>
        </row>
        <row r="155">
          <cell r="E155">
            <v>478182</v>
          </cell>
        </row>
        <row r="166">
          <cell r="E166">
            <v>427783</v>
          </cell>
        </row>
        <row r="177">
          <cell r="E177">
            <v>392546</v>
          </cell>
        </row>
        <row r="189">
          <cell r="E189">
            <v>436646</v>
          </cell>
        </row>
      </sheetData>
      <sheetData sheetId="6">
        <row r="87">
          <cell r="D87">
            <v>40873.938412224408</v>
          </cell>
        </row>
        <row r="101">
          <cell r="D101">
            <v>44586.854563626672</v>
          </cell>
        </row>
        <row r="113">
          <cell r="D113">
            <v>47072.752246828</v>
          </cell>
        </row>
        <row r="125">
          <cell r="D125">
            <v>49048.726094669284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0BB35-05F5-4591-8551-70E106588304}">
  <dimension ref="B1:L116"/>
  <sheetViews>
    <sheetView showGridLines="0" tabSelected="1" view="pageBreakPreview" zoomScale="55" zoomScaleNormal="55" zoomScaleSheetLayoutView="55" zoomScalePageLayoutView="70" workbookViewId="0">
      <selection activeCell="P105" sqref="P105"/>
    </sheetView>
  </sheetViews>
  <sheetFormatPr baseColWidth="10" defaultColWidth="11.44140625" defaultRowHeight="13.8" x14ac:dyDescent="0.25"/>
  <cols>
    <col min="1" max="2" width="4.44140625" style="235" customWidth="1"/>
    <col min="3" max="3" width="14.6640625" style="235" customWidth="1"/>
    <col min="4" max="4" width="14.33203125" style="235" customWidth="1"/>
    <col min="5" max="5" width="16.109375" style="236" customWidth="1"/>
    <col min="6" max="6" width="17.5546875" style="235" customWidth="1"/>
    <col min="7" max="7" width="73.33203125" style="235" customWidth="1"/>
    <col min="8" max="8" width="8.6640625" style="235" customWidth="1"/>
    <col min="9" max="9" width="18.88671875" style="235" customWidth="1"/>
    <col min="10" max="10" width="23.88671875" style="235" customWidth="1"/>
    <col min="11" max="11" width="30" style="235" customWidth="1"/>
    <col min="12" max="13" width="4.44140625" style="235" customWidth="1"/>
    <col min="14" max="16384" width="11.44140625" style="235"/>
  </cols>
  <sheetData>
    <row r="1" spans="2:12" x14ac:dyDescent="0.25">
      <c r="B1" s="378" t="s">
        <v>1170</v>
      </c>
      <c r="C1" s="378"/>
      <c r="D1" s="378"/>
      <c r="E1" s="378"/>
      <c r="F1" s="378"/>
      <c r="G1" s="378"/>
    </row>
    <row r="2" spans="2:12" x14ac:dyDescent="0.25">
      <c r="B2" s="378" t="s">
        <v>1169</v>
      </c>
      <c r="C2" s="378"/>
      <c r="D2" s="378"/>
      <c r="E2" s="378"/>
    </row>
    <row r="3" spans="2:12" ht="14.4" thickBot="1" x14ac:dyDescent="0.3">
      <c r="B3" s="295"/>
      <c r="C3" s="294"/>
      <c r="D3" s="295"/>
      <c r="E3" s="294"/>
    </row>
    <row r="4" spans="2:12" ht="15" thickTop="1" thickBot="1" x14ac:dyDescent="0.3">
      <c r="B4" s="358"/>
      <c r="C4" s="359"/>
      <c r="D4" s="359"/>
      <c r="E4" s="359"/>
      <c r="F4" s="359"/>
      <c r="G4" s="359"/>
      <c r="H4" s="359"/>
      <c r="I4" s="359"/>
      <c r="J4" s="359"/>
      <c r="K4" s="359"/>
      <c r="L4" s="360"/>
    </row>
    <row r="5" spans="2:12" ht="31.5" customHeight="1" thickTop="1" x14ac:dyDescent="0.25">
      <c r="B5" s="243"/>
      <c r="C5" s="375" t="s">
        <v>1168</v>
      </c>
      <c r="D5" s="376"/>
      <c r="E5" s="376"/>
      <c r="F5" s="376"/>
      <c r="G5" s="376"/>
      <c r="H5" s="376"/>
      <c r="I5" s="376"/>
      <c r="J5" s="376"/>
      <c r="K5" s="377"/>
      <c r="L5" s="242"/>
    </row>
    <row r="6" spans="2:12" ht="14.4" customHeight="1" x14ac:dyDescent="0.25">
      <c r="B6" s="290"/>
      <c r="C6" s="372" t="s">
        <v>1167</v>
      </c>
      <c r="D6" s="373"/>
      <c r="E6" s="373"/>
      <c r="F6" s="373"/>
      <c r="G6" s="373"/>
      <c r="H6" s="373"/>
      <c r="I6" s="373"/>
      <c r="J6" s="373"/>
      <c r="K6" s="374"/>
      <c r="L6" s="242"/>
    </row>
    <row r="7" spans="2:12" s="291" customFormat="1" x14ac:dyDescent="0.25">
      <c r="B7" s="293"/>
      <c r="C7" s="366" t="s">
        <v>1166</v>
      </c>
      <c r="D7" s="367"/>
      <c r="E7" s="367"/>
      <c r="F7" s="367"/>
      <c r="G7" s="367"/>
      <c r="H7" s="367"/>
      <c r="I7" s="367"/>
      <c r="J7" s="367"/>
      <c r="K7" s="368"/>
      <c r="L7" s="292"/>
    </row>
    <row r="8" spans="2:12" ht="14.4" customHeight="1" x14ac:dyDescent="0.25">
      <c r="B8" s="290"/>
      <c r="C8" s="369"/>
      <c r="D8" s="370"/>
      <c r="E8" s="370"/>
      <c r="F8" s="370"/>
      <c r="G8" s="370"/>
      <c r="H8" s="370"/>
      <c r="I8" s="370"/>
      <c r="J8" s="370"/>
      <c r="K8" s="371"/>
      <c r="L8" s="242"/>
    </row>
    <row r="9" spans="2:12" ht="34.5" customHeight="1" x14ac:dyDescent="0.25">
      <c r="B9" s="290"/>
      <c r="C9" s="379" t="s">
        <v>1165</v>
      </c>
      <c r="D9" s="380"/>
      <c r="E9" s="380"/>
      <c r="F9" s="380"/>
      <c r="G9" s="380"/>
      <c r="H9" s="380"/>
      <c r="I9" s="380"/>
      <c r="J9" s="380"/>
      <c r="K9" s="381"/>
      <c r="L9" s="242"/>
    </row>
    <row r="10" spans="2:12" ht="30" customHeight="1" thickBot="1" x14ac:dyDescent="0.3">
      <c r="B10" s="243"/>
      <c r="C10" s="382"/>
      <c r="D10" s="383"/>
      <c r="E10" s="383"/>
      <c r="F10" s="383"/>
      <c r="G10" s="383"/>
      <c r="H10" s="383"/>
      <c r="I10" s="383"/>
      <c r="J10" s="383"/>
      <c r="K10" s="384"/>
      <c r="L10" s="242"/>
    </row>
    <row r="11" spans="2:12" ht="30" customHeight="1" x14ac:dyDescent="0.25">
      <c r="B11" s="243"/>
      <c r="C11" s="385" t="s">
        <v>1164</v>
      </c>
      <c r="D11" s="387" t="s">
        <v>1163</v>
      </c>
      <c r="E11" s="389" t="s">
        <v>1162</v>
      </c>
      <c r="F11" s="390"/>
      <c r="G11" s="385" t="s">
        <v>1117</v>
      </c>
      <c r="H11" s="387" t="s">
        <v>1161</v>
      </c>
      <c r="I11" s="387" t="s">
        <v>150</v>
      </c>
      <c r="J11" s="392" t="s">
        <v>1160</v>
      </c>
      <c r="K11" s="394" t="s">
        <v>1159</v>
      </c>
      <c r="L11" s="242"/>
    </row>
    <row r="12" spans="2:12" ht="30" customHeight="1" thickBot="1" x14ac:dyDescent="0.3">
      <c r="B12" s="243"/>
      <c r="C12" s="386"/>
      <c r="D12" s="388"/>
      <c r="E12" s="305" t="s">
        <v>1158</v>
      </c>
      <c r="F12" s="289" t="s">
        <v>1157</v>
      </c>
      <c r="G12" s="386"/>
      <c r="H12" s="391"/>
      <c r="I12" s="391"/>
      <c r="J12" s="393"/>
      <c r="K12" s="395"/>
      <c r="L12" s="242"/>
    </row>
    <row r="13" spans="2:12" ht="30" customHeight="1" x14ac:dyDescent="0.25">
      <c r="B13" s="243"/>
      <c r="C13" s="302">
        <v>1</v>
      </c>
      <c r="D13" s="308"/>
      <c r="E13" s="307"/>
      <c r="F13" s="299"/>
      <c r="G13" s="361" t="s">
        <v>0</v>
      </c>
      <c r="H13" s="361"/>
      <c r="I13" s="361"/>
      <c r="J13" s="361"/>
      <c r="K13" s="362"/>
      <c r="L13" s="242"/>
    </row>
    <row r="14" spans="2:12" ht="30" customHeight="1" x14ac:dyDescent="0.25">
      <c r="B14" s="243"/>
      <c r="C14" s="303" t="s">
        <v>7</v>
      </c>
      <c r="D14" s="306"/>
      <c r="E14" s="281"/>
      <c r="F14" s="304"/>
      <c r="G14" s="288" t="str">
        <f>PPT!D12</f>
        <v>Limpieza, lavado y adecuación superficial de escenario deportivo existente</v>
      </c>
      <c r="H14" s="281" t="str">
        <f>PPT!E12</f>
        <v>UND</v>
      </c>
      <c r="I14" s="296">
        <f>PPT!F12</f>
        <v>1</v>
      </c>
      <c r="J14" s="301">
        <f>PPT!G12</f>
        <v>500044</v>
      </c>
      <c r="K14" s="301">
        <f>PPT!H12</f>
        <v>500044</v>
      </c>
      <c r="L14" s="242"/>
    </row>
    <row r="15" spans="2:12" ht="30" customHeight="1" x14ac:dyDescent="0.25">
      <c r="B15" s="243"/>
      <c r="C15" s="303" t="s">
        <v>8</v>
      </c>
      <c r="D15" s="306"/>
      <c r="E15" s="281"/>
      <c r="F15" s="304"/>
      <c r="G15" s="288" t="str">
        <f>PPT!D13</f>
        <v>Resane y reparación puntual de fisuras, desprendimientos e imperfecciones en superficie de concreto</v>
      </c>
      <c r="H15" s="281" t="str">
        <f>PPT!E13</f>
        <v>GLB</v>
      </c>
      <c r="I15" s="296">
        <f>PPT!F13</f>
        <v>1</v>
      </c>
      <c r="J15" s="301">
        <f>PPT!G13</f>
        <v>435595</v>
      </c>
      <c r="K15" s="301">
        <f>PPT!H13</f>
        <v>435595</v>
      </c>
      <c r="L15" s="242"/>
    </row>
    <row r="16" spans="2:12" ht="30" customHeight="1" x14ac:dyDescent="0.25">
      <c r="B16" s="243"/>
      <c r="C16" s="303" t="s">
        <v>9</v>
      </c>
      <c r="D16" s="306"/>
      <c r="E16" s="281"/>
      <c r="F16" s="304"/>
      <c r="G16" s="288" t="str">
        <f>PPT!D14</f>
        <v>Demarcación reglamentaria de superficie deportiva mediante aplicación de pintura de tráfico</v>
      </c>
      <c r="H16" s="281" t="str">
        <f>PPT!E14</f>
        <v>ML</v>
      </c>
      <c r="I16" s="296">
        <f>PPT!F14</f>
        <v>250</v>
      </c>
      <c r="J16" s="301">
        <f>PPT!G14</f>
        <v>6119</v>
      </c>
      <c r="K16" s="301">
        <f>PPT!H14</f>
        <v>1529750</v>
      </c>
      <c r="L16" s="242"/>
    </row>
    <row r="17" spans="2:12" ht="30" customHeight="1" x14ac:dyDescent="0.25">
      <c r="B17" s="243"/>
      <c r="C17" s="303" t="s">
        <v>10</v>
      </c>
      <c r="D17" s="306"/>
      <c r="E17" s="281"/>
      <c r="F17" s="304"/>
      <c r="G17" s="288" t="str">
        <f>PPT!D15</f>
        <v>Suministro y aplicación de pintura acrílica especializada para superficies deportivas</v>
      </c>
      <c r="H17" s="281" t="str">
        <f>PPT!E15</f>
        <v>M2</v>
      </c>
      <c r="I17" s="296">
        <f>PPT!F15</f>
        <v>360</v>
      </c>
      <c r="J17" s="301">
        <f>PPT!G15</f>
        <v>23678</v>
      </c>
      <c r="K17" s="301">
        <f>PPT!H15</f>
        <v>8524080</v>
      </c>
      <c r="L17" s="242"/>
    </row>
    <row r="18" spans="2:12" ht="30" customHeight="1" x14ac:dyDescent="0.25">
      <c r="B18" s="243"/>
      <c r="C18" s="303" t="s">
        <v>11</v>
      </c>
      <c r="D18" s="306"/>
      <c r="E18" s="281"/>
      <c r="F18" s="304"/>
      <c r="G18" s="288" t="str">
        <f>PPT!D16</f>
        <v>Mantenimiento correctivo y preventivo de estructuras metálicas de porterías deportivas</v>
      </c>
      <c r="H18" s="281" t="str">
        <f>PPT!E16</f>
        <v>UND</v>
      </c>
      <c r="I18" s="296">
        <f>PPT!F16</f>
        <v>2</v>
      </c>
      <c r="J18" s="301">
        <f>PPT!G16</f>
        <v>125482</v>
      </c>
      <c r="K18" s="301">
        <f>PPT!H16</f>
        <v>250964</v>
      </c>
      <c r="L18" s="242"/>
    </row>
    <row r="19" spans="2:12" ht="30" customHeight="1" x14ac:dyDescent="0.25">
      <c r="B19" s="243"/>
      <c r="C19" s="303" t="s">
        <v>12</v>
      </c>
      <c r="D19" s="306"/>
      <c r="E19" s="281"/>
      <c r="F19" s="304"/>
      <c r="G19" s="288" t="str">
        <f>PPT!D17</f>
        <v>Mantenimiento y adecuación de tableros y elementos de baloncesto existentes</v>
      </c>
      <c r="H19" s="281" t="str">
        <f>PPT!E17</f>
        <v>UND</v>
      </c>
      <c r="I19" s="296">
        <f>PPT!F17</f>
        <v>2</v>
      </c>
      <c r="J19" s="301">
        <f>PPT!G17</f>
        <v>295321</v>
      </c>
      <c r="K19" s="301">
        <f>PPT!H17</f>
        <v>590642</v>
      </c>
      <c r="L19" s="242"/>
    </row>
    <row r="20" spans="2:12" ht="30" customHeight="1" x14ac:dyDescent="0.25">
      <c r="B20" s="243"/>
      <c r="C20" s="303" t="s">
        <v>13</v>
      </c>
      <c r="D20" s="306"/>
      <c r="E20" s="281"/>
      <c r="F20" s="304"/>
      <c r="G20" s="288" t="str">
        <f>PPT!D18</f>
        <v>Suministro e instalación de luminaria LED tipo Roy Alpha Calima II de 250 W, incluye fotocelda, bombillo, accesorios eléctricos y puesta en funcionamiento</v>
      </c>
      <c r="H20" s="281" t="str">
        <f>PPT!E18</f>
        <v>UND</v>
      </c>
      <c r="I20" s="296">
        <f>PPT!F18</f>
        <v>1</v>
      </c>
      <c r="J20" s="301">
        <f>PPT!G18</f>
        <v>524157</v>
      </c>
      <c r="K20" s="301">
        <f>PPT!H18</f>
        <v>524157</v>
      </c>
      <c r="L20" s="242"/>
    </row>
    <row r="21" spans="2:12" ht="30" customHeight="1" thickBot="1" x14ac:dyDescent="0.3">
      <c r="B21" s="243"/>
      <c r="C21" s="270" t="s">
        <v>1156</v>
      </c>
      <c r="D21" s="285"/>
      <c r="E21" s="285"/>
      <c r="F21" s="285"/>
      <c r="G21" s="286"/>
      <c r="H21" s="285"/>
      <c r="I21" s="300"/>
      <c r="J21" s="265"/>
      <c r="K21" s="264">
        <f>SUM(K14:K20)</f>
        <v>12355232</v>
      </c>
      <c r="L21" s="242"/>
    </row>
    <row r="22" spans="2:12" ht="30" customHeight="1" thickBot="1" x14ac:dyDescent="0.3">
      <c r="B22" s="243"/>
      <c r="C22" s="297">
        <v>2</v>
      </c>
      <c r="D22" s="276"/>
      <c r="E22" s="276"/>
      <c r="F22" s="276"/>
      <c r="G22" s="351" t="s">
        <v>15</v>
      </c>
      <c r="H22" s="351"/>
      <c r="I22" s="351"/>
      <c r="J22" s="351"/>
      <c r="K22" s="352"/>
      <c r="L22" s="242"/>
    </row>
    <row r="23" spans="2:12" ht="30" customHeight="1" x14ac:dyDescent="0.25">
      <c r="B23" s="243"/>
      <c r="C23" s="275" t="s">
        <v>16</v>
      </c>
      <c r="D23" s="281"/>
      <c r="E23" s="281"/>
      <c r="F23" s="281"/>
      <c r="G23" s="207" t="s">
        <v>1119</v>
      </c>
      <c r="H23" s="208" t="s">
        <v>3</v>
      </c>
      <c r="I23" s="208">
        <v>1</v>
      </c>
      <c r="J23" s="209">
        <f>PPT!G21</f>
        <v>500044</v>
      </c>
      <c r="K23" s="210">
        <f>PPT!H21</f>
        <v>500044</v>
      </c>
      <c r="L23" s="242"/>
    </row>
    <row r="24" spans="2:12" ht="30" customHeight="1" x14ac:dyDescent="0.25">
      <c r="B24" s="243"/>
      <c r="C24" s="275" t="s">
        <v>17</v>
      </c>
      <c r="D24" s="281"/>
      <c r="E24" s="281"/>
      <c r="F24" s="281"/>
      <c r="G24" s="207" t="s">
        <v>1120</v>
      </c>
      <c r="H24" s="208" t="s">
        <v>82</v>
      </c>
      <c r="I24" s="208">
        <v>1</v>
      </c>
      <c r="J24" s="209">
        <f>PPT!G22</f>
        <v>435595</v>
      </c>
      <c r="K24" s="210">
        <f>PPT!H22</f>
        <v>435595</v>
      </c>
      <c r="L24" s="242"/>
    </row>
    <row r="25" spans="2:12" ht="30" customHeight="1" x14ac:dyDescent="0.25">
      <c r="B25" s="243"/>
      <c r="C25" s="275" t="s">
        <v>18</v>
      </c>
      <c r="D25" s="282"/>
      <c r="E25" s="282"/>
      <c r="F25" s="282"/>
      <c r="G25" s="207" t="s">
        <v>1121</v>
      </c>
      <c r="H25" s="208" t="s">
        <v>72</v>
      </c>
      <c r="I25" s="208">
        <v>250</v>
      </c>
      <c r="J25" s="209">
        <f>PPT!G23</f>
        <v>6119</v>
      </c>
      <c r="K25" s="210">
        <f>PPT!H23</f>
        <v>1529750</v>
      </c>
      <c r="L25" s="242"/>
    </row>
    <row r="26" spans="2:12" ht="30" customHeight="1" x14ac:dyDescent="0.25">
      <c r="B26" s="243"/>
      <c r="C26" s="275" t="s">
        <v>19</v>
      </c>
      <c r="D26" s="282"/>
      <c r="E26" s="282"/>
      <c r="F26" s="282"/>
      <c r="G26" s="207" t="s">
        <v>1122</v>
      </c>
      <c r="H26" s="208" t="s">
        <v>129</v>
      </c>
      <c r="I26" s="208">
        <v>360</v>
      </c>
      <c r="J26" s="209">
        <f>PPT!G24</f>
        <v>23678</v>
      </c>
      <c r="K26" s="210">
        <f>PPT!H24</f>
        <v>8524080</v>
      </c>
      <c r="L26" s="242"/>
    </row>
    <row r="27" spans="2:12" ht="30" customHeight="1" x14ac:dyDescent="0.25">
      <c r="B27" s="243"/>
      <c r="C27" s="275" t="s">
        <v>20</v>
      </c>
      <c r="D27" s="282"/>
      <c r="E27" s="282"/>
      <c r="F27" s="282"/>
      <c r="G27" s="207" t="s">
        <v>1124</v>
      </c>
      <c r="H27" s="208" t="s">
        <v>3</v>
      </c>
      <c r="I27" s="208">
        <v>2</v>
      </c>
      <c r="J27" s="209">
        <f>PPT!G25</f>
        <v>295321</v>
      </c>
      <c r="K27" s="210">
        <f>PPT!H25</f>
        <v>590642</v>
      </c>
      <c r="L27" s="242"/>
    </row>
    <row r="28" spans="2:12" ht="30" customHeight="1" x14ac:dyDescent="0.25">
      <c r="B28" s="243"/>
      <c r="C28" s="275" t="s">
        <v>21</v>
      </c>
      <c r="D28" s="282"/>
      <c r="E28" s="282"/>
      <c r="F28" s="282"/>
      <c r="G28" s="207" t="s">
        <v>1138</v>
      </c>
      <c r="H28" s="208" t="s">
        <v>3</v>
      </c>
      <c r="I28" s="208">
        <v>1</v>
      </c>
      <c r="J28" s="209">
        <f>PPT!G26</f>
        <v>524157</v>
      </c>
      <c r="K28" s="210">
        <f>PPT!H26</f>
        <v>524157</v>
      </c>
      <c r="L28" s="242"/>
    </row>
    <row r="29" spans="2:12" ht="30" customHeight="1" thickBot="1" x14ac:dyDescent="0.3">
      <c r="B29" s="243"/>
      <c r="C29" s="270" t="s">
        <v>1156</v>
      </c>
      <c r="D29" s="283"/>
      <c r="E29" s="284"/>
      <c r="F29" s="283"/>
      <c r="G29" s="283"/>
      <c r="H29" s="283"/>
      <c r="I29" s="266"/>
      <c r="J29" s="283"/>
      <c r="K29" s="264">
        <f>SUM(K23:K28)</f>
        <v>12104268</v>
      </c>
      <c r="L29" s="242"/>
    </row>
    <row r="30" spans="2:12" ht="30" customHeight="1" thickBot="1" x14ac:dyDescent="0.3">
      <c r="B30" s="243"/>
      <c r="C30" s="297">
        <v>3</v>
      </c>
      <c r="D30" s="276"/>
      <c r="E30" s="276"/>
      <c r="F30" s="276"/>
      <c r="G30" s="351" t="s">
        <v>22</v>
      </c>
      <c r="H30" s="351"/>
      <c r="I30" s="351"/>
      <c r="J30" s="351"/>
      <c r="K30" s="352"/>
      <c r="L30" s="242"/>
    </row>
    <row r="31" spans="2:12" ht="30" customHeight="1" x14ac:dyDescent="0.25">
      <c r="B31" s="243"/>
      <c r="C31" s="275" t="s">
        <v>23</v>
      </c>
      <c r="D31" s="273"/>
      <c r="E31" s="273"/>
      <c r="F31" s="273"/>
      <c r="G31" s="207" t="s">
        <v>1119</v>
      </c>
      <c r="H31" s="208" t="s">
        <v>3</v>
      </c>
      <c r="I31" s="208">
        <v>1</v>
      </c>
      <c r="J31" s="209">
        <f>PPT!G29</f>
        <v>500044</v>
      </c>
      <c r="K31" s="210">
        <f>PPT!H29</f>
        <v>500044</v>
      </c>
      <c r="L31" s="242"/>
    </row>
    <row r="32" spans="2:12" ht="30" customHeight="1" x14ac:dyDescent="0.25">
      <c r="B32" s="243"/>
      <c r="C32" s="275" t="s">
        <v>24</v>
      </c>
      <c r="D32" s="281"/>
      <c r="E32" s="281"/>
      <c r="F32" s="281"/>
      <c r="G32" s="207" t="s">
        <v>1120</v>
      </c>
      <c r="H32" s="208" t="s">
        <v>82</v>
      </c>
      <c r="I32" s="208">
        <v>1</v>
      </c>
      <c r="J32" s="209">
        <f>PPT!G30</f>
        <v>435595</v>
      </c>
      <c r="K32" s="210">
        <f>PPT!H30</f>
        <v>435595</v>
      </c>
      <c r="L32" s="242"/>
    </row>
    <row r="33" spans="2:12" ht="30" customHeight="1" x14ac:dyDescent="0.25">
      <c r="B33" s="243"/>
      <c r="C33" s="275" t="s">
        <v>25</v>
      </c>
      <c r="D33" s="273"/>
      <c r="E33" s="273"/>
      <c r="F33" s="273"/>
      <c r="G33" s="207" t="s">
        <v>1121</v>
      </c>
      <c r="H33" s="208" t="s">
        <v>72</v>
      </c>
      <c r="I33" s="208">
        <v>250</v>
      </c>
      <c r="J33" s="209">
        <f>PPT!G31</f>
        <v>6119</v>
      </c>
      <c r="K33" s="210">
        <f>PPT!H31</f>
        <v>1529750</v>
      </c>
      <c r="L33" s="242"/>
    </row>
    <row r="34" spans="2:12" ht="30" customHeight="1" x14ac:dyDescent="0.25">
      <c r="B34" s="243"/>
      <c r="C34" s="275" t="s">
        <v>26</v>
      </c>
      <c r="D34" s="282"/>
      <c r="E34" s="282"/>
      <c r="F34" s="282"/>
      <c r="G34" s="207" t="s">
        <v>1122</v>
      </c>
      <c r="H34" s="208" t="s">
        <v>129</v>
      </c>
      <c r="I34" s="208">
        <v>360</v>
      </c>
      <c r="J34" s="209">
        <f>PPT!G32</f>
        <v>23678</v>
      </c>
      <c r="K34" s="210">
        <f>PPT!H32</f>
        <v>8524080</v>
      </c>
      <c r="L34" s="242"/>
    </row>
    <row r="35" spans="2:12" ht="30" customHeight="1" x14ac:dyDescent="0.25">
      <c r="B35" s="243"/>
      <c r="C35" s="298" t="s">
        <v>27</v>
      </c>
      <c r="D35" s="309"/>
      <c r="E35" s="309"/>
      <c r="F35" s="309"/>
      <c r="G35" s="212" t="s">
        <v>1123</v>
      </c>
      <c r="H35" s="213" t="s">
        <v>3</v>
      </c>
      <c r="I35" s="213">
        <v>2</v>
      </c>
      <c r="J35" s="214">
        <f>PPT!G33</f>
        <v>125482</v>
      </c>
      <c r="K35" s="210">
        <f>PPT!H33</f>
        <v>250964</v>
      </c>
      <c r="L35" s="242"/>
    </row>
    <row r="36" spans="2:12" ht="30" customHeight="1" thickBot="1" x14ac:dyDescent="0.3">
      <c r="B36" s="243"/>
      <c r="C36" s="354" t="s">
        <v>1156</v>
      </c>
      <c r="D36" s="355"/>
      <c r="E36" s="355"/>
      <c r="F36" s="355"/>
      <c r="G36" s="365"/>
      <c r="H36" s="213"/>
      <c r="I36" s="213"/>
      <c r="J36" s="214"/>
      <c r="K36" s="324">
        <f>SUM(K31:K35)</f>
        <v>11240433</v>
      </c>
      <c r="L36" s="242"/>
    </row>
    <row r="37" spans="2:12" ht="30" customHeight="1" thickBot="1" x14ac:dyDescent="0.3">
      <c r="B37" s="243"/>
      <c r="C37" s="315">
        <v>4</v>
      </c>
      <c r="D37" s="314"/>
      <c r="E37" s="314"/>
      <c r="F37" s="314"/>
      <c r="G37" s="363" t="s">
        <v>28</v>
      </c>
      <c r="H37" s="363"/>
      <c r="I37" s="363"/>
      <c r="J37" s="363"/>
      <c r="K37" s="364"/>
      <c r="L37" s="242"/>
    </row>
    <row r="38" spans="2:12" ht="30" customHeight="1" x14ac:dyDescent="0.25">
      <c r="B38" s="243"/>
      <c r="C38" s="275" t="s">
        <v>29</v>
      </c>
      <c r="D38" s="310"/>
      <c r="E38" s="311"/>
      <c r="F38" s="310"/>
      <c r="G38" s="228" t="s">
        <v>1119</v>
      </c>
      <c r="H38" s="229" t="s">
        <v>3</v>
      </c>
      <c r="I38" s="229">
        <v>1</v>
      </c>
      <c r="J38" s="230">
        <f>PPT!G36</f>
        <v>500044</v>
      </c>
      <c r="K38" s="230">
        <f>PPT!H36</f>
        <v>500044</v>
      </c>
      <c r="L38" s="242"/>
    </row>
    <row r="39" spans="2:12" ht="30" customHeight="1" x14ac:dyDescent="0.25">
      <c r="B39" s="243"/>
      <c r="C39" s="275" t="s">
        <v>30</v>
      </c>
      <c r="D39" s="310"/>
      <c r="E39" s="311"/>
      <c r="F39" s="310"/>
      <c r="G39" s="207" t="s">
        <v>1120</v>
      </c>
      <c r="H39" s="208" t="s">
        <v>82</v>
      </c>
      <c r="I39" s="208">
        <v>1</v>
      </c>
      <c r="J39" s="209">
        <f>PPT!G37</f>
        <v>435595</v>
      </c>
      <c r="K39" s="209">
        <f>PPT!H37</f>
        <v>435595</v>
      </c>
      <c r="L39" s="242"/>
    </row>
    <row r="40" spans="2:12" ht="30" customHeight="1" x14ac:dyDescent="0.25">
      <c r="B40" s="243"/>
      <c r="C40" s="298" t="s">
        <v>31</v>
      </c>
      <c r="D40" s="316"/>
      <c r="E40" s="317"/>
      <c r="F40" s="316"/>
      <c r="G40" s="212" t="s">
        <v>1138</v>
      </c>
      <c r="H40" s="213" t="s">
        <v>3</v>
      </c>
      <c r="I40" s="213">
        <v>1</v>
      </c>
      <c r="J40" s="214">
        <f>PPT!G38</f>
        <v>524157</v>
      </c>
      <c r="K40" s="209">
        <f>PPT!H38</f>
        <v>524157</v>
      </c>
      <c r="L40" s="242"/>
    </row>
    <row r="41" spans="2:12" ht="30" customHeight="1" thickBot="1" x14ac:dyDescent="0.3">
      <c r="B41" s="243"/>
      <c r="C41" s="353" t="s">
        <v>1171</v>
      </c>
      <c r="D41" s="349"/>
      <c r="E41" s="349"/>
      <c r="F41" s="349"/>
      <c r="G41" s="349"/>
      <c r="H41" s="213"/>
      <c r="I41" s="213"/>
      <c r="J41" s="214"/>
      <c r="K41" s="325">
        <f>SUM(K38:K40)</f>
        <v>1459796</v>
      </c>
      <c r="L41" s="242"/>
    </row>
    <row r="42" spans="2:12" ht="30" customHeight="1" thickBot="1" x14ac:dyDescent="0.3">
      <c r="B42" s="243"/>
      <c r="C42" s="297">
        <v>5</v>
      </c>
      <c r="D42" s="318"/>
      <c r="E42" s="319"/>
      <c r="F42" s="318"/>
      <c r="G42" s="356" t="s">
        <v>38</v>
      </c>
      <c r="H42" s="356"/>
      <c r="I42" s="356"/>
      <c r="J42" s="356"/>
      <c r="K42" s="357"/>
      <c r="L42" s="242"/>
    </row>
    <row r="43" spans="2:12" ht="30" customHeight="1" x14ac:dyDescent="0.25">
      <c r="B43" s="243"/>
      <c r="C43" s="275" t="s">
        <v>32</v>
      </c>
      <c r="D43" s="310"/>
      <c r="E43" s="311"/>
      <c r="F43" s="310"/>
      <c r="G43" s="312" t="str">
        <f>PPT!D41</f>
        <v>Limpieza, lavado y adecuación superficial de escenario deportivo existente</v>
      </c>
      <c r="H43" s="320" t="str">
        <f>PPT!E41</f>
        <v>UND</v>
      </c>
      <c r="I43" s="321">
        <f>PPT!F41</f>
        <v>1</v>
      </c>
      <c r="J43" s="322">
        <f>PPT!G41</f>
        <v>500044</v>
      </c>
      <c r="K43" s="323">
        <f>PPT!H41</f>
        <v>500044</v>
      </c>
      <c r="L43" s="242"/>
    </row>
    <row r="44" spans="2:12" ht="30" customHeight="1" x14ac:dyDescent="0.25">
      <c r="B44" s="243"/>
      <c r="C44" s="275" t="s">
        <v>33</v>
      </c>
      <c r="D44" s="310"/>
      <c r="E44" s="311"/>
      <c r="F44" s="310"/>
      <c r="G44" s="312" t="str">
        <f>PPT!D42</f>
        <v>Resane y reparación puntual de fisuras, desprendimientos e imperfecciones en superficie de concreto</v>
      </c>
      <c r="H44" s="320" t="str">
        <f>PPT!E42</f>
        <v>GLB</v>
      </c>
      <c r="I44" s="321">
        <f>PPT!F42</f>
        <v>1</v>
      </c>
      <c r="J44" s="322">
        <f>PPT!G42</f>
        <v>435595</v>
      </c>
      <c r="K44" s="323">
        <f>PPT!H42</f>
        <v>435595</v>
      </c>
      <c r="L44" s="242"/>
    </row>
    <row r="45" spans="2:12" ht="30" customHeight="1" x14ac:dyDescent="0.25">
      <c r="B45" s="243"/>
      <c r="C45" s="275" t="s">
        <v>34</v>
      </c>
      <c r="D45" s="310"/>
      <c r="E45" s="311"/>
      <c r="F45" s="310"/>
      <c r="G45" s="312" t="str">
        <f>PPT!D43</f>
        <v>Demarcación reglamentaria de superficie deportiva mediante aplicación de pintura de tráfico</v>
      </c>
      <c r="H45" s="320" t="str">
        <f>PPT!E43</f>
        <v>ML</v>
      </c>
      <c r="I45" s="321">
        <f>PPT!F43</f>
        <v>250</v>
      </c>
      <c r="J45" s="322">
        <f>PPT!G43</f>
        <v>6119</v>
      </c>
      <c r="K45" s="323">
        <f>PPT!H43</f>
        <v>1529750</v>
      </c>
      <c r="L45" s="242"/>
    </row>
    <row r="46" spans="2:12" ht="30" customHeight="1" x14ac:dyDescent="0.25">
      <c r="B46" s="243"/>
      <c r="C46" s="275" t="s">
        <v>35</v>
      </c>
      <c r="D46" s="310"/>
      <c r="E46" s="311"/>
      <c r="F46" s="310"/>
      <c r="G46" s="312" t="str">
        <f>PPT!D44</f>
        <v>Suministro y aplicación de pintura acrílica especializada para superficies deportivas</v>
      </c>
      <c r="H46" s="320" t="str">
        <f>PPT!E44</f>
        <v>M2</v>
      </c>
      <c r="I46" s="321">
        <f>PPT!F44</f>
        <v>360</v>
      </c>
      <c r="J46" s="322">
        <f>PPT!G44</f>
        <v>23678</v>
      </c>
      <c r="K46" s="323">
        <f>PPT!H44</f>
        <v>8524080</v>
      </c>
      <c r="L46" s="242"/>
    </row>
    <row r="47" spans="2:12" ht="30" customHeight="1" x14ac:dyDescent="0.25">
      <c r="B47" s="243"/>
      <c r="C47" s="275" t="s">
        <v>36</v>
      </c>
      <c r="D47" s="310"/>
      <c r="E47" s="311"/>
      <c r="F47" s="310"/>
      <c r="G47" s="312" t="str">
        <f>PPT!D45</f>
        <v>Suministro e instalación de arco metálico reglamentario para fútbol sala, incluye anclajes y fijaciones</v>
      </c>
      <c r="H47" s="320" t="str">
        <f>PPT!E45</f>
        <v>UND</v>
      </c>
      <c r="I47" s="321">
        <f>PPT!F45</f>
        <v>1</v>
      </c>
      <c r="J47" s="322">
        <f>PPT!G45</f>
        <v>2288482</v>
      </c>
      <c r="K47" s="323">
        <f>PPT!H45</f>
        <v>2288482</v>
      </c>
      <c r="L47" s="242"/>
    </row>
    <row r="48" spans="2:12" ht="30" customHeight="1" x14ac:dyDescent="0.25">
      <c r="B48" s="243"/>
      <c r="C48" s="275" t="s">
        <v>37</v>
      </c>
      <c r="D48" s="310"/>
      <c r="E48" s="311"/>
      <c r="F48" s="310"/>
      <c r="G48" s="312" t="str">
        <f>PPT!D46</f>
        <v>Mantenimiento correctivo y preventivo de estructuras metálicas de porterías deportivas</v>
      </c>
      <c r="H48" s="320" t="str">
        <f>PPT!E46</f>
        <v>UND</v>
      </c>
      <c r="I48" s="321">
        <f>PPT!F46</f>
        <v>2</v>
      </c>
      <c r="J48" s="322">
        <f>PPT!G46</f>
        <v>125482</v>
      </c>
      <c r="K48" s="323">
        <f>PPT!H46</f>
        <v>250964</v>
      </c>
      <c r="L48" s="242"/>
    </row>
    <row r="49" spans="2:12" ht="30" customHeight="1" thickBot="1" x14ac:dyDescent="0.3">
      <c r="B49" s="243"/>
      <c r="C49" s="354" t="s">
        <v>1156</v>
      </c>
      <c r="D49" s="355"/>
      <c r="E49" s="355"/>
      <c r="F49" s="355"/>
      <c r="G49" s="355"/>
      <c r="H49" s="280"/>
      <c r="I49" s="266"/>
      <c r="J49" s="279"/>
      <c r="K49" s="278">
        <f>SUM(K43:K48)</f>
        <v>13528915</v>
      </c>
      <c r="L49" s="242"/>
    </row>
    <row r="50" spans="2:12" ht="30" customHeight="1" thickBot="1" x14ac:dyDescent="0.3">
      <c r="B50" s="243"/>
      <c r="C50" s="297">
        <v>6</v>
      </c>
      <c r="D50" s="276"/>
      <c r="E50" s="276"/>
      <c r="F50" s="276"/>
      <c r="G50" s="351" t="s">
        <v>45</v>
      </c>
      <c r="H50" s="351"/>
      <c r="I50" s="351"/>
      <c r="J50" s="351"/>
      <c r="K50" s="352"/>
      <c r="L50" s="242"/>
    </row>
    <row r="51" spans="2:12" ht="30" customHeight="1" x14ac:dyDescent="0.25">
      <c r="B51" s="243"/>
      <c r="C51" s="275" t="s">
        <v>39</v>
      </c>
      <c r="D51" s="273"/>
      <c r="E51" s="273"/>
      <c r="F51" s="273"/>
      <c r="G51" s="274" t="str">
        <f>PPT!D49</f>
        <v>Limpieza, lavado y adecuación superficial de escenario deportivo existente</v>
      </c>
      <c r="H51" s="273" t="str">
        <f>PPT!E49</f>
        <v>UND</v>
      </c>
      <c r="I51" s="266">
        <f>PPT!F49</f>
        <v>1</v>
      </c>
      <c r="J51" s="272">
        <f>PPT!G49</f>
        <v>500044</v>
      </c>
      <c r="K51" s="271">
        <f>PPT!H49</f>
        <v>500044</v>
      </c>
      <c r="L51" s="242"/>
    </row>
    <row r="52" spans="2:12" ht="30" customHeight="1" x14ac:dyDescent="0.25">
      <c r="B52" s="243"/>
      <c r="C52" s="275" t="s">
        <v>40</v>
      </c>
      <c r="D52" s="273"/>
      <c r="E52" s="273"/>
      <c r="F52" s="273"/>
      <c r="G52" s="274" t="str">
        <f>PPT!D50</f>
        <v>Resane y reparación puntual de fisuras, desprendimientos e imperfecciones en superficie de concreto</v>
      </c>
      <c r="H52" s="273" t="str">
        <f>PPT!E50</f>
        <v>GLB</v>
      </c>
      <c r="I52" s="266">
        <f>PPT!F50</f>
        <v>1</v>
      </c>
      <c r="J52" s="272">
        <f>PPT!G50</f>
        <v>435595</v>
      </c>
      <c r="K52" s="271">
        <f>PPT!H50</f>
        <v>435595</v>
      </c>
      <c r="L52" s="242"/>
    </row>
    <row r="53" spans="2:12" ht="30" customHeight="1" x14ac:dyDescent="0.25">
      <c r="B53" s="243"/>
      <c r="C53" s="275" t="s">
        <v>41</v>
      </c>
      <c r="D53" s="273"/>
      <c r="E53" s="273"/>
      <c r="F53" s="273"/>
      <c r="G53" s="274" t="str">
        <f>PPT!D51</f>
        <v>Demarcación reglamentaria de superficie deportiva mediante aplicación de pintura de tráfico</v>
      </c>
      <c r="H53" s="273" t="str">
        <f>PPT!E51</f>
        <v>ML</v>
      </c>
      <c r="I53" s="266">
        <f>PPT!F51</f>
        <v>250</v>
      </c>
      <c r="J53" s="272">
        <f>PPT!G51</f>
        <v>6119</v>
      </c>
      <c r="K53" s="271">
        <f>PPT!H51</f>
        <v>1529750</v>
      </c>
      <c r="L53" s="242"/>
    </row>
    <row r="54" spans="2:12" ht="30" customHeight="1" x14ac:dyDescent="0.25">
      <c r="B54" s="243"/>
      <c r="C54" s="275" t="s">
        <v>42</v>
      </c>
      <c r="D54" s="273"/>
      <c r="E54" s="273"/>
      <c r="F54" s="273"/>
      <c r="G54" s="274" t="str">
        <f>PPT!D52</f>
        <v>Suministro y aplicación de pintura acrílica especializada para superficies deportivas</v>
      </c>
      <c r="H54" s="273" t="str">
        <f>PPT!E52</f>
        <v>M2</v>
      </c>
      <c r="I54" s="266">
        <f>PPT!F52</f>
        <v>360</v>
      </c>
      <c r="J54" s="272">
        <f>PPT!G52</f>
        <v>23678</v>
      </c>
      <c r="K54" s="271">
        <f>PPT!H52</f>
        <v>8524080</v>
      </c>
      <c r="L54" s="242"/>
    </row>
    <row r="55" spans="2:12" ht="30" customHeight="1" x14ac:dyDescent="0.25">
      <c r="B55" s="243"/>
      <c r="C55" s="275" t="s">
        <v>43</v>
      </c>
      <c r="D55" s="273"/>
      <c r="E55" s="273"/>
      <c r="F55" s="273"/>
      <c r="G55" s="274" t="str">
        <f>PPT!D53</f>
        <v>Suministro e instalación de lampara Roy Alpha tipo calima ll 250 ws, incl. fotocelda y bombillo</v>
      </c>
      <c r="H55" s="273" t="str">
        <f>PPT!E53</f>
        <v>UND</v>
      </c>
      <c r="I55" s="266">
        <f>PPT!F53</f>
        <v>1</v>
      </c>
      <c r="J55" s="272">
        <f>PPT!G53</f>
        <v>524157</v>
      </c>
      <c r="K55" s="271">
        <f>PPT!H53</f>
        <v>524157</v>
      </c>
      <c r="L55" s="242"/>
    </row>
    <row r="56" spans="2:12" ht="30" customHeight="1" x14ac:dyDescent="0.25">
      <c r="B56" s="243"/>
      <c r="C56" s="275" t="s">
        <v>44</v>
      </c>
      <c r="D56" s="273"/>
      <c r="E56" s="273"/>
      <c r="F56" s="273"/>
      <c r="G56" s="274" t="str">
        <f>PPT!D54</f>
        <v>Mantenimiento correctivo y preventivo de estructuras metálicas de porterías deportivas</v>
      </c>
      <c r="H56" s="273" t="str">
        <f>PPT!E54</f>
        <v>UND</v>
      </c>
      <c r="I56" s="266">
        <f>PPT!F54</f>
        <v>2</v>
      </c>
      <c r="J56" s="272">
        <f>PPT!G54</f>
        <v>125482</v>
      </c>
      <c r="K56" s="271">
        <f>PPT!H54</f>
        <v>250964</v>
      </c>
      <c r="L56" s="242"/>
    </row>
    <row r="57" spans="2:12" ht="30" customHeight="1" thickBot="1" x14ac:dyDescent="0.3">
      <c r="B57" s="243"/>
      <c r="C57" s="353" t="s">
        <v>1156</v>
      </c>
      <c r="D57" s="349"/>
      <c r="E57" s="349"/>
      <c r="F57" s="349"/>
      <c r="G57" s="350"/>
      <c r="H57" s="309"/>
      <c r="I57" s="326"/>
      <c r="J57" s="327"/>
      <c r="K57" s="328">
        <f>SUM(K51:K56)</f>
        <v>11764590</v>
      </c>
      <c r="L57" s="242"/>
    </row>
    <row r="58" spans="2:12" ht="30" customHeight="1" thickBot="1" x14ac:dyDescent="0.3">
      <c r="B58" s="243"/>
      <c r="C58" s="297">
        <v>7</v>
      </c>
      <c r="D58" s="318"/>
      <c r="E58" s="318"/>
      <c r="F58" s="318"/>
      <c r="G58" s="356" t="s">
        <v>52</v>
      </c>
      <c r="H58" s="356"/>
      <c r="I58" s="356"/>
      <c r="J58" s="356"/>
      <c r="K58" s="357"/>
      <c r="L58" s="242"/>
    </row>
    <row r="59" spans="2:12" ht="30" customHeight="1" x14ac:dyDescent="0.25">
      <c r="B59" s="243"/>
      <c r="C59" s="275" t="s">
        <v>46</v>
      </c>
      <c r="D59" s="310"/>
      <c r="E59" s="310"/>
      <c r="F59" s="310"/>
      <c r="G59" s="312" t="str">
        <f>PPT!D57</f>
        <v>Limpieza, lavado y adecuación superficial de escenario deportivo existente</v>
      </c>
      <c r="H59" s="310" t="str">
        <f>PPT!E57</f>
        <v>UND</v>
      </c>
      <c r="I59" s="300">
        <f>PPT!F57</f>
        <v>1</v>
      </c>
      <c r="J59" s="313">
        <f>PPT!G57</f>
        <v>500044</v>
      </c>
      <c r="K59" s="287">
        <f>PPT!H57</f>
        <v>500044</v>
      </c>
      <c r="L59" s="242"/>
    </row>
    <row r="60" spans="2:12" ht="30" customHeight="1" x14ac:dyDescent="0.25">
      <c r="B60" s="243"/>
      <c r="C60" s="275" t="s">
        <v>47</v>
      </c>
      <c r="D60" s="273"/>
      <c r="E60" s="273"/>
      <c r="F60" s="273"/>
      <c r="G60" s="274" t="str">
        <f>PPT!D58</f>
        <v>Resane y reparación puntual de fisuras, desprendimientos e imperfecciones en superficie de concreto</v>
      </c>
      <c r="H60" s="273" t="str">
        <f>PPT!E58</f>
        <v>GLB</v>
      </c>
      <c r="I60" s="266">
        <f>PPT!F58</f>
        <v>1</v>
      </c>
      <c r="J60" s="272">
        <f>PPT!G58</f>
        <v>435595</v>
      </c>
      <c r="K60" s="271">
        <f>PPT!H58</f>
        <v>435595</v>
      </c>
      <c r="L60" s="242"/>
    </row>
    <row r="61" spans="2:12" ht="30" customHeight="1" x14ac:dyDescent="0.25">
      <c r="B61" s="243"/>
      <c r="C61" s="275" t="s">
        <v>48</v>
      </c>
      <c r="D61" s="273"/>
      <c r="E61" s="273"/>
      <c r="F61" s="273"/>
      <c r="G61" s="274" t="str">
        <f>PPT!D59</f>
        <v>Demarcación reglamentaria de superficie deportiva mediante aplicación de pintura de tráfico</v>
      </c>
      <c r="H61" s="273" t="str">
        <f>PPT!E59</f>
        <v>ML</v>
      </c>
      <c r="I61" s="266">
        <f>PPT!F59</f>
        <v>250</v>
      </c>
      <c r="J61" s="272">
        <f>PPT!G59</f>
        <v>6119</v>
      </c>
      <c r="K61" s="271">
        <f>PPT!H59</f>
        <v>1529750</v>
      </c>
      <c r="L61" s="242"/>
    </row>
    <row r="62" spans="2:12" ht="30" customHeight="1" x14ac:dyDescent="0.25">
      <c r="B62" s="243"/>
      <c r="C62" s="275" t="s">
        <v>49</v>
      </c>
      <c r="D62" s="273"/>
      <c r="E62" s="273"/>
      <c r="F62" s="273"/>
      <c r="G62" s="274" t="str">
        <f>PPT!D60</f>
        <v>Suministro y aplicación de pintura acrílica especializada para superficies deportivas</v>
      </c>
      <c r="H62" s="273" t="str">
        <f>PPT!E60</f>
        <v>M2</v>
      </c>
      <c r="I62" s="266">
        <f>PPT!F60</f>
        <v>360</v>
      </c>
      <c r="J62" s="272">
        <f>PPT!G60</f>
        <v>23678</v>
      </c>
      <c r="K62" s="271">
        <f>PPT!H60</f>
        <v>8524080</v>
      </c>
      <c r="L62" s="242"/>
    </row>
    <row r="63" spans="2:12" ht="30" customHeight="1" x14ac:dyDescent="0.25">
      <c r="B63" s="243"/>
      <c r="C63" s="275" t="s">
        <v>50</v>
      </c>
      <c r="D63" s="273"/>
      <c r="E63" s="273"/>
      <c r="F63" s="273"/>
      <c r="G63" s="274" t="str">
        <f>PPT!D61</f>
        <v>Mantenimiento y adecuación de tableros y elementos de baloncesto existentes</v>
      </c>
      <c r="H63" s="273" t="str">
        <f>PPT!E61</f>
        <v>UND</v>
      </c>
      <c r="I63" s="266">
        <f>PPT!F61</f>
        <v>2</v>
      </c>
      <c r="J63" s="272">
        <f>PPT!G61</f>
        <v>295321</v>
      </c>
      <c r="K63" s="271">
        <f>PPT!H61</f>
        <v>590642</v>
      </c>
      <c r="L63" s="242"/>
    </row>
    <row r="64" spans="2:12" ht="30" customHeight="1" x14ac:dyDescent="0.25">
      <c r="B64" s="243"/>
      <c r="C64" s="275" t="s">
        <v>51</v>
      </c>
      <c r="D64" s="273"/>
      <c r="E64" s="273"/>
      <c r="F64" s="273"/>
      <c r="G64" s="274" t="str">
        <f>PPT!D62</f>
        <v>Mantenimiento correctivo y preventivo de estructuras metálicas de porterías deportivas</v>
      </c>
      <c r="H64" s="273" t="str">
        <f>PPT!E62</f>
        <v>UND</v>
      </c>
      <c r="I64" s="266">
        <f>PPT!F62</f>
        <v>2</v>
      </c>
      <c r="J64" s="272">
        <f>PPT!G62</f>
        <v>125482</v>
      </c>
      <c r="K64" s="271">
        <f>PPT!H62</f>
        <v>250964</v>
      </c>
      <c r="L64" s="242"/>
    </row>
    <row r="65" spans="2:12" ht="30" customHeight="1" thickBot="1" x14ac:dyDescent="0.3">
      <c r="B65" s="243"/>
      <c r="C65" s="353" t="s">
        <v>1171</v>
      </c>
      <c r="D65" s="349"/>
      <c r="E65" s="349"/>
      <c r="F65" s="349"/>
      <c r="G65" s="350"/>
      <c r="H65" s="309"/>
      <c r="I65" s="326"/>
      <c r="J65" s="327"/>
      <c r="K65" s="328">
        <f>SUM(K59:K64)</f>
        <v>11831075</v>
      </c>
      <c r="L65" s="242"/>
    </row>
    <row r="66" spans="2:12" ht="30" customHeight="1" thickBot="1" x14ac:dyDescent="0.3">
      <c r="B66" s="243"/>
      <c r="C66" s="297">
        <v>8</v>
      </c>
      <c r="D66" s="318"/>
      <c r="E66" s="318"/>
      <c r="F66" s="318"/>
      <c r="G66" s="356" t="s">
        <v>74</v>
      </c>
      <c r="H66" s="356"/>
      <c r="I66" s="356"/>
      <c r="J66" s="356"/>
      <c r="K66" s="357"/>
      <c r="L66" s="242"/>
    </row>
    <row r="67" spans="2:12" ht="30" customHeight="1" x14ac:dyDescent="0.25">
      <c r="B67" s="243"/>
      <c r="C67" s="275" t="s">
        <v>53</v>
      </c>
      <c r="D67" s="310"/>
      <c r="E67" s="310"/>
      <c r="F67" s="310"/>
      <c r="G67" s="312" t="str">
        <f>PPT!D65</f>
        <v>Limpieza, lavado y adecuación superficial de escenario deportivo existente</v>
      </c>
      <c r="H67" s="310" t="str">
        <f>PPT!E65</f>
        <v>UND</v>
      </c>
      <c r="I67" s="300">
        <f>PPT!F65</f>
        <v>1</v>
      </c>
      <c r="J67" s="313">
        <f>PPT!G65</f>
        <v>500044</v>
      </c>
      <c r="K67" s="287">
        <f>PPT!H65</f>
        <v>500044</v>
      </c>
      <c r="L67" s="242"/>
    </row>
    <row r="68" spans="2:12" ht="30" customHeight="1" x14ac:dyDescent="0.25">
      <c r="B68" s="243"/>
      <c r="C68" s="275" t="s">
        <v>54</v>
      </c>
      <c r="D68" s="273"/>
      <c r="E68" s="273"/>
      <c r="F68" s="273"/>
      <c r="G68" s="274" t="str">
        <f>PPT!D66</f>
        <v>Resane y reparación puntual de fisuras, desprendimientos e imperfecciones en superficie de concreto</v>
      </c>
      <c r="H68" s="273" t="str">
        <f>PPT!E66</f>
        <v>GLB</v>
      </c>
      <c r="I68" s="266">
        <f>PPT!F66</f>
        <v>1</v>
      </c>
      <c r="J68" s="272">
        <f>PPT!G66</f>
        <v>435595</v>
      </c>
      <c r="K68" s="271">
        <f>PPT!H66</f>
        <v>435595</v>
      </c>
      <c r="L68" s="242"/>
    </row>
    <row r="69" spans="2:12" ht="30" customHeight="1" x14ac:dyDescent="0.25">
      <c r="B69" s="243"/>
      <c r="C69" s="275" t="s">
        <v>55</v>
      </c>
      <c r="D69" s="273"/>
      <c r="E69" s="273"/>
      <c r="F69" s="273"/>
      <c r="G69" s="274" t="str">
        <f>PPT!D67</f>
        <v>Demarcación reglamentaria de superficie deportiva mediante aplicación de pintura de tráfico</v>
      </c>
      <c r="H69" s="273" t="str">
        <f>PPT!E67</f>
        <v>ML</v>
      </c>
      <c r="I69" s="266">
        <f>PPT!F67</f>
        <v>250</v>
      </c>
      <c r="J69" s="272">
        <f>PPT!G67</f>
        <v>6119</v>
      </c>
      <c r="K69" s="271">
        <f>PPT!H67</f>
        <v>1529750</v>
      </c>
      <c r="L69" s="242"/>
    </row>
    <row r="70" spans="2:12" ht="30" customHeight="1" x14ac:dyDescent="0.25">
      <c r="B70" s="243"/>
      <c r="C70" s="275" t="s">
        <v>56</v>
      </c>
      <c r="D70" s="273"/>
      <c r="E70" s="273"/>
      <c r="F70" s="273"/>
      <c r="G70" s="274" t="str">
        <f>PPT!D68</f>
        <v>Suministro y aplicación de pintura acrílica especializada para superficies deportivas</v>
      </c>
      <c r="H70" s="273" t="str">
        <f>PPT!E68</f>
        <v>M2</v>
      </c>
      <c r="I70" s="266">
        <f>PPT!F68</f>
        <v>270</v>
      </c>
      <c r="J70" s="272">
        <f>PPT!G68</f>
        <v>23678</v>
      </c>
      <c r="K70" s="271">
        <f>PPT!H68</f>
        <v>6393060</v>
      </c>
      <c r="L70" s="242"/>
    </row>
    <row r="71" spans="2:12" ht="30" customHeight="1" x14ac:dyDescent="0.25">
      <c r="B71" s="243"/>
      <c r="C71" s="275" t="s">
        <v>57</v>
      </c>
      <c r="D71" s="273"/>
      <c r="E71" s="273"/>
      <c r="F71" s="273"/>
      <c r="G71" s="274" t="str">
        <f>PPT!D69</f>
        <v>Mantenimiento correctivo y preventivo de estructuras metálicas de porterías deportivas</v>
      </c>
      <c r="H71" s="273" t="str">
        <f>PPT!E69</f>
        <v>UND</v>
      </c>
      <c r="I71" s="266">
        <f>PPT!F69</f>
        <v>2</v>
      </c>
      <c r="J71" s="272">
        <f>PPT!G69</f>
        <v>125482</v>
      </c>
      <c r="K71" s="271">
        <f>PPT!H69</f>
        <v>250964</v>
      </c>
      <c r="L71" s="242"/>
    </row>
    <row r="72" spans="2:12" ht="30" customHeight="1" x14ac:dyDescent="0.25">
      <c r="B72" s="243"/>
      <c r="C72" s="275" t="s">
        <v>58</v>
      </c>
      <c r="D72" s="273"/>
      <c r="E72" s="273"/>
      <c r="F72" s="273"/>
      <c r="G72" s="274" t="str">
        <f>PPT!D70</f>
        <v>Suministro e instalación de lampara Roy Alpha tipo calima ll 250 ws, incl. fotocelda y bombillo</v>
      </c>
      <c r="H72" s="273" t="str">
        <f>PPT!E70</f>
        <v>UND</v>
      </c>
      <c r="I72" s="266">
        <f>PPT!F70</f>
        <v>1</v>
      </c>
      <c r="J72" s="272">
        <f>PPT!G70</f>
        <v>524157</v>
      </c>
      <c r="K72" s="271">
        <f>PPT!H70</f>
        <v>524157</v>
      </c>
      <c r="L72" s="242"/>
    </row>
    <row r="73" spans="2:12" ht="30" customHeight="1" thickBot="1" x14ac:dyDescent="0.3">
      <c r="B73" s="243"/>
      <c r="C73" s="270" t="s">
        <v>1156</v>
      </c>
      <c r="D73" s="269"/>
      <c r="E73" s="269"/>
      <c r="F73" s="269"/>
      <c r="G73" s="277"/>
      <c r="H73" s="267"/>
      <c r="I73" s="266"/>
      <c r="J73" s="265"/>
      <c r="K73" s="264">
        <f>SUM(K67:K72)</f>
        <v>9633570</v>
      </c>
      <c r="L73" s="242"/>
    </row>
    <row r="74" spans="2:12" ht="30" customHeight="1" thickBot="1" x14ac:dyDescent="0.3">
      <c r="B74" s="243"/>
      <c r="C74" s="297">
        <v>9</v>
      </c>
      <c r="D74" s="276"/>
      <c r="E74" s="276"/>
      <c r="F74" s="276"/>
      <c r="G74" s="351" t="s">
        <v>75</v>
      </c>
      <c r="H74" s="351"/>
      <c r="I74" s="351"/>
      <c r="J74" s="351"/>
      <c r="K74" s="352"/>
      <c r="L74" s="242"/>
    </row>
    <row r="75" spans="2:12" ht="30" customHeight="1" x14ac:dyDescent="0.25">
      <c r="B75" s="243"/>
      <c r="C75" s="310" t="s">
        <v>59</v>
      </c>
      <c r="D75" s="310"/>
      <c r="E75" s="310"/>
      <c r="F75" s="310"/>
      <c r="G75" s="312" t="str">
        <f>PPT!D73</f>
        <v>Limpieza, lavado y adecuación superficial de escenario deportivo existente</v>
      </c>
      <c r="H75" s="310" t="str">
        <f>PPT!E73</f>
        <v>UND</v>
      </c>
      <c r="I75" s="300">
        <f>PPT!F73</f>
        <v>1</v>
      </c>
      <c r="J75" s="313">
        <f>PPT!G73</f>
        <v>500044</v>
      </c>
      <c r="K75" s="313">
        <f>PPT!H73</f>
        <v>500044</v>
      </c>
      <c r="L75" s="242"/>
    </row>
    <row r="76" spans="2:12" ht="30" customHeight="1" x14ac:dyDescent="0.25">
      <c r="B76" s="243"/>
      <c r="C76" s="273" t="s">
        <v>60</v>
      </c>
      <c r="D76" s="273"/>
      <c r="E76" s="273"/>
      <c r="F76" s="273"/>
      <c r="G76" s="274" t="str">
        <f>PPT!D74</f>
        <v>Resane y reparación puntual de fisuras, desprendimientos e imperfecciones en superficie de concreto</v>
      </c>
      <c r="H76" s="273" t="str">
        <f>PPT!E74</f>
        <v>GLB</v>
      </c>
      <c r="I76" s="266">
        <f>PPT!F74</f>
        <v>1</v>
      </c>
      <c r="J76" s="272">
        <f>PPT!G74</f>
        <v>435595</v>
      </c>
      <c r="K76" s="272">
        <f>PPT!H74</f>
        <v>435595</v>
      </c>
      <c r="L76" s="242"/>
    </row>
    <row r="77" spans="2:12" ht="30" customHeight="1" x14ac:dyDescent="0.25">
      <c r="B77" s="243"/>
      <c r="C77" s="310" t="s">
        <v>61</v>
      </c>
      <c r="D77" s="273"/>
      <c r="E77" s="273"/>
      <c r="F77" s="273"/>
      <c r="G77" s="274" t="str">
        <f>PPT!D75</f>
        <v>Mantenimiento y adecuación de tableros y elementos de baloncesto existentes</v>
      </c>
      <c r="H77" s="273" t="str">
        <f>PPT!E75</f>
        <v>UND</v>
      </c>
      <c r="I77" s="266">
        <f>PPT!F75</f>
        <v>2</v>
      </c>
      <c r="J77" s="272">
        <f>PPT!G75</f>
        <v>295321</v>
      </c>
      <c r="K77" s="272">
        <f>PPT!H75</f>
        <v>590642</v>
      </c>
      <c r="L77" s="242"/>
    </row>
    <row r="78" spans="2:12" ht="30" customHeight="1" x14ac:dyDescent="0.25">
      <c r="B78" s="243"/>
      <c r="C78" s="273" t="s">
        <v>62</v>
      </c>
      <c r="D78" s="273"/>
      <c r="E78" s="273"/>
      <c r="F78" s="273"/>
      <c r="G78" s="274" t="str">
        <f>PPT!D76</f>
        <v>Suministro e instalación de lampara Roy Alpha tipo calima ll 250 ws, incl. fotocelda y bombillo</v>
      </c>
      <c r="H78" s="273" t="str">
        <f>PPT!E76</f>
        <v>UND</v>
      </c>
      <c r="I78" s="266">
        <f>PPT!F76</f>
        <v>1</v>
      </c>
      <c r="J78" s="272">
        <f>PPT!G76</f>
        <v>524157</v>
      </c>
      <c r="K78" s="272">
        <f>PPT!H76</f>
        <v>524157</v>
      </c>
      <c r="L78" s="242"/>
    </row>
    <row r="79" spans="2:12" ht="30" customHeight="1" thickBot="1" x14ac:dyDescent="0.3">
      <c r="B79" s="243"/>
      <c r="C79" s="348" t="s">
        <v>1171</v>
      </c>
      <c r="D79" s="349"/>
      <c r="E79" s="349"/>
      <c r="F79" s="349"/>
      <c r="G79" s="350"/>
      <c r="H79" s="309"/>
      <c r="I79" s="326"/>
      <c r="J79" s="327"/>
      <c r="K79" s="329">
        <f>SUM(K75:K78)</f>
        <v>2050438</v>
      </c>
      <c r="L79" s="242"/>
    </row>
    <row r="80" spans="2:12" ht="30" customHeight="1" thickBot="1" x14ac:dyDescent="0.3">
      <c r="B80" s="243"/>
      <c r="C80" s="297">
        <v>10</v>
      </c>
      <c r="D80" s="330"/>
      <c r="E80" s="330"/>
      <c r="F80" s="330"/>
      <c r="G80" s="351" t="s">
        <v>76</v>
      </c>
      <c r="H80" s="351"/>
      <c r="I80" s="351"/>
      <c r="J80" s="351"/>
      <c r="K80" s="352"/>
      <c r="L80" s="242"/>
    </row>
    <row r="81" spans="2:12" ht="30" customHeight="1" x14ac:dyDescent="0.25">
      <c r="B81" s="243"/>
      <c r="C81" s="310" t="s">
        <v>63</v>
      </c>
      <c r="D81" s="310"/>
      <c r="E81" s="310"/>
      <c r="F81" s="310"/>
      <c r="G81" s="312" t="str">
        <f>PPT!D79</f>
        <v>Limpieza, lavado y adecuación superficial de escenario deportivo existente</v>
      </c>
      <c r="H81" s="310" t="str">
        <f>PPT!E79</f>
        <v>UND</v>
      </c>
      <c r="I81" s="300">
        <f>PPT!F79</f>
        <v>1</v>
      </c>
      <c r="J81" s="313">
        <f>PPT!G79</f>
        <v>500044</v>
      </c>
      <c r="K81" s="313">
        <f>PPT!H79</f>
        <v>500044</v>
      </c>
      <c r="L81" s="242"/>
    </row>
    <row r="82" spans="2:12" ht="30" customHeight="1" x14ac:dyDescent="0.25">
      <c r="B82" s="243"/>
      <c r="C82" s="273" t="s">
        <v>64</v>
      </c>
      <c r="D82" s="273"/>
      <c r="E82" s="273"/>
      <c r="F82" s="273"/>
      <c r="G82" s="274" t="str">
        <f>PPT!D80</f>
        <v>Resane y reparación puntual de fisuras, desprendimientos e imperfecciones en superficie de concreto</v>
      </c>
      <c r="H82" s="273" t="str">
        <f>PPT!E80</f>
        <v>GLB</v>
      </c>
      <c r="I82" s="266">
        <f>PPT!F80</f>
        <v>1</v>
      </c>
      <c r="J82" s="272">
        <f>PPT!G80</f>
        <v>435595</v>
      </c>
      <c r="K82" s="272">
        <f>PPT!H80</f>
        <v>435595</v>
      </c>
      <c r="L82" s="242"/>
    </row>
    <row r="83" spans="2:12" ht="30" customHeight="1" x14ac:dyDescent="0.25">
      <c r="B83" s="243"/>
      <c r="C83" s="310" t="s">
        <v>65</v>
      </c>
      <c r="D83" s="273"/>
      <c r="E83" s="273"/>
      <c r="F83" s="273"/>
      <c r="G83" s="274" t="str">
        <f>PPT!D81</f>
        <v>Suministro y aplicación de pintura acrílica especializada para superficies deportivas</v>
      </c>
      <c r="H83" s="273" t="str">
        <f>PPT!E81</f>
        <v>M2</v>
      </c>
      <c r="I83" s="266">
        <f>PPT!F81</f>
        <v>360</v>
      </c>
      <c r="J83" s="272">
        <f>PPT!G81</f>
        <v>23678</v>
      </c>
      <c r="K83" s="272">
        <f>PPT!H81</f>
        <v>8524080</v>
      </c>
      <c r="L83" s="242"/>
    </row>
    <row r="84" spans="2:12" ht="30" customHeight="1" x14ac:dyDescent="0.25">
      <c r="B84" s="243"/>
      <c r="C84" s="273" t="s">
        <v>66</v>
      </c>
      <c r="D84" s="273"/>
      <c r="E84" s="273"/>
      <c r="F84" s="273"/>
      <c r="G84" s="274" t="str">
        <f>PPT!D82</f>
        <v>Demarcación reglamentaria de superficie deportiva mediante aplicación de pintura de tráfico</v>
      </c>
      <c r="H84" s="273" t="str">
        <f>PPT!E82</f>
        <v>ML</v>
      </c>
      <c r="I84" s="266">
        <f>PPT!F82</f>
        <v>250</v>
      </c>
      <c r="J84" s="272">
        <f>PPT!G82</f>
        <v>6119</v>
      </c>
      <c r="K84" s="272">
        <f>PPT!H82</f>
        <v>1529750</v>
      </c>
      <c r="L84" s="242"/>
    </row>
    <row r="85" spans="2:12" ht="30" customHeight="1" x14ac:dyDescent="0.25">
      <c r="B85" s="243"/>
      <c r="C85" s="310" t="s">
        <v>85</v>
      </c>
      <c r="D85" s="273"/>
      <c r="E85" s="273"/>
      <c r="F85" s="273"/>
      <c r="G85" s="274" t="str">
        <f>PPT!D83</f>
        <v>Suministro e instalación de lampara Roy Alpha tipo calima ll 250 ws, incl. fotocelda y bombillo</v>
      </c>
      <c r="H85" s="273" t="str">
        <f>PPT!E83</f>
        <v>UND</v>
      </c>
      <c r="I85" s="266">
        <f>PPT!F83</f>
        <v>1</v>
      </c>
      <c r="J85" s="272">
        <f>PPT!G83</f>
        <v>524157</v>
      </c>
      <c r="K85" s="272">
        <f>PPT!H83</f>
        <v>524157</v>
      </c>
      <c r="L85" s="242"/>
    </row>
    <row r="86" spans="2:12" ht="30" customHeight="1" thickBot="1" x14ac:dyDescent="0.3">
      <c r="B86" s="243"/>
      <c r="C86" s="348" t="s">
        <v>1156</v>
      </c>
      <c r="D86" s="349"/>
      <c r="E86" s="349"/>
      <c r="F86" s="349"/>
      <c r="G86" s="350"/>
      <c r="H86" s="309"/>
      <c r="I86" s="326"/>
      <c r="J86" s="327"/>
      <c r="K86" s="329">
        <f>SUM(K81:K85)</f>
        <v>11513626</v>
      </c>
      <c r="L86" s="242"/>
    </row>
    <row r="87" spans="2:12" ht="30" customHeight="1" thickBot="1" x14ac:dyDescent="0.3">
      <c r="B87" s="243"/>
      <c r="C87" s="297">
        <v>11</v>
      </c>
      <c r="D87" s="330"/>
      <c r="E87" s="330"/>
      <c r="F87" s="330"/>
      <c r="G87" s="351" t="s">
        <v>77</v>
      </c>
      <c r="H87" s="351"/>
      <c r="I87" s="351"/>
      <c r="J87" s="351"/>
      <c r="K87" s="352"/>
      <c r="L87" s="242"/>
    </row>
    <row r="88" spans="2:12" ht="30" customHeight="1" x14ac:dyDescent="0.25">
      <c r="B88" s="243"/>
      <c r="C88" s="310" t="s">
        <v>67</v>
      </c>
      <c r="D88" s="310"/>
      <c r="E88" s="310"/>
      <c r="F88" s="310"/>
      <c r="G88" s="312" t="str">
        <f>PPT!D86</f>
        <v>Limpieza, lavado y adecuación superficial de escenario deportivo existente</v>
      </c>
      <c r="H88" s="310" t="str">
        <f>PPT!E86</f>
        <v>UND</v>
      </c>
      <c r="I88" s="300">
        <f>PPT!F86</f>
        <v>1</v>
      </c>
      <c r="J88" s="313">
        <f>PPT!G86</f>
        <v>252844</v>
      </c>
      <c r="K88" s="313">
        <f>PPT!H86</f>
        <v>252844</v>
      </c>
      <c r="L88" s="242"/>
    </row>
    <row r="89" spans="2:12" ht="30" customHeight="1" x14ac:dyDescent="0.25">
      <c r="B89" s="243"/>
      <c r="C89" s="273" t="s">
        <v>68</v>
      </c>
      <c r="D89" s="273"/>
      <c r="E89" s="273"/>
      <c r="F89" s="273"/>
      <c r="G89" s="274" t="str">
        <f>PPT!D87</f>
        <v>Resane y reparación puntual de fisuras, desprendimientos e imperfecciones en superficie de concreto</v>
      </c>
      <c r="H89" s="273" t="str">
        <f>PPT!E87</f>
        <v>GLB</v>
      </c>
      <c r="I89" s="266">
        <f>PPT!F87</f>
        <v>1</v>
      </c>
      <c r="J89" s="272">
        <f>PPT!G87</f>
        <v>435595</v>
      </c>
      <c r="K89" s="272">
        <f>PPT!H87</f>
        <v>435595</v>
      </c>
      <c r="L89" s="242"/>
    </row>
    <row r="90" spans="2:12" ht="30" customHeight="1" x14ac:dyDescent="0.25">
      <c r="B90" s="243"/>
      <c r="C90" s="310" t="s">
        <v>69</v>
      </c>
      <c r="D90" s="273"/>
      <c r="E90" s="273"/>
      <c r="F90" s="273"/>
      <c r="G90" s="274" t="str">
        <f>PPT!D88</f>
        <v>Demarcación reglamentaria de superficie deportiva mediante aplicación de pintura de tráfico</v>
      </c>
      <c r="H90" s="273" t="str">
        <f>PPT!E88</f>
        <v>ML</v>
      </c>
      <c r="I90" s="266">
        <f>PPT!F88</f>
        <v>250</v>
      </c>
      <c r="J90" s="272">
        <f>PPT!G88</f>
        <v>6119</v>
      </c>
      <c r="K90" s="272">
        <f>PPT!H88</f>
        <v>1529750</v>
      </c>
      <c r="L90" s="242"/>
    </row>
    <row r="91" spans="2:12" ht="30" customHeight="1" x14ac:dyDescent="0.25">
      <c r="B91" s="243"/>
      <c r="C91" s="273" t="s">
        <v>70</v>
      </c>
      <c r="D91" s="273"/>
      <c r="E91" s="273"/>
      <c r="F91" s="273"/>
      <c r="G91" s="274" t="str">
        <f>PPT!D89</f>
        <v>Suministro y aplicación de pintura acrílica especializada para superficies deportivas</v>
      </c>
      <c r="H91" s="273" t="str">
        <f>PPT!E89</f>
        <v>M2</v>
      </c>
      <c r="I91" s="266">
        <f>PPT!F89</f>
        <v>360</v>
      </c>
      <c r="J91" s="272">
        <f>PPT!G89</f>
        <v>23678</v>
      </c>
      <c r="K91" s="272">
        <f>PPT!H89</f>
        <v>8524080</v>
      </c>
      <c r="L91" s="242"/>
    </row>
    <row r="92" spans="2:12" ht="30" customHeight="1" x14ac:dyDescent="0.25">
      <c r="B92" s="243"/>
      <c r="C92" s="310" t="s">
        <v>71</v>
      </c>
      <c r="D92" s="273"/>
      <c r="E92" s="273"/>
      <c r="F92" s="273"/>
      <c r="G92" s="274" t="str">
        <f>PPT!D90</f>
        <v>Suministro e instalación de cerramiento en malla eslabonada galvanizada, incluye estructura de soporte y accesorios de fijación</v>
      </c>
      <c r="H92" s="273" t="str">
        <f>PPT!E90</f>
        <v>ML</v>
      </c>
      <c r="I92" s="266">
        <f>PPT!F90</f>
        <v>30</v>
      </c>
      <c r="J92" s="272">
        <f>PPT!G90</f>
        <v>94847</v>
      </c>
      <c r="K92" s="272">
        <f>PPT!H90</f>
        <v>2845410</v>
      </c>
      <c r="L92" s="242"/>
    </row>
    <row r="93" spans="2:12" ht="30" customHeight="1" x14ac:dyDescent="0.25">
      <c r="B93" s="243"/>
      <c r="C93" s="273" t="s">
        <v>73</v>
      </c>
      <c r="D93" s="273"/>
      <c r="E93" s="273"/>
      <c r="F93" s="273"/>
      <c r="G93" s="274" t="str">
        <f>PPT!D91</f>
        <v>Mantenimiento correctivo y preventivo de estructuras metálicas de porterías deportivas</v>
      </c>
      <c r="H93" s="273" t="str">
        <f>PPT!E91</f>
        <v>UND</v>
      </c>
      <c r="I93" s="266">
        <f>PPT!F91</f>
        <v>2</v>
      </c>
      <c r="J93" s="272">
        <f>PPT!G91</f>
        <v>125482</v>
      </c>
      <c r="K93" s="272">
        <f>PPT!H91</f>
        <v>250964</v>
      </c>
      <c r="L93" s="242"/>
    </row>
    <row r="94" spans="2:12" ht="30" customHeight="1" thickBot="1" x14ac:dyDescent="0.3">
      <c r="B94" s="243"/>
      <c r="C94" s="348" t="s">
        <v>1156</v>
      </c>
      <c r="D94" s="349"/>
      <c r="E94" s="349"/>
      <c r="F94" s="349"/>
      <c r="G94" s="350"/>
      <c r="H94" s="309"/>
      <c r="I94" s="326"/>
      <c r="J94" s="327"/>
      <c r="K94" s="329">
        <f>SUM(K88:K93)</f>
        <v>13838643</v>
      </c>
      <c r="L94" s="242"/>
    </row>
    <row r="95" spans="2:12" ht="30" customHeight="1" thickBot="1" x14ac:dyDescent="0.3">
      <c r="B95" s="243"/>
      <c r="C95" s="297">
        <v>12</v>
      </c>
      <c r="D95" s="330"/>
      <c r="E95" s="330"/>
      <c r="F95" s="330"/>
      <c r="G95" s="351" t="s">
        <v>1172</v>
      </c>
      <c r="H95" s="351"/>
      <c r="I95" s="351"/>
      <c r="J95" s="351"/>
      <c r="K95" s="352"/>
      <c r="L95" s="242"/>
    </row>
    <row r="96" spans="2:12" ht="30" customHeight="1" x14ac:dyDescent="0.25">
      <c r="B96" s="243"/>
      <c r="C96" s="310" t="s">
        <v>78</v>
      </c>
      <c r="D96" s="310"/>
      <c r="E96" s="310"/>
      <c r="F96" s="310"/>
      <c r="G96" s="312" t="str">
        <f>PPT!D94</f>
        <v>Limpieza, lavado y adecuación superficial de escenario deportivo existente</v>
      </c>
      <c r="H96" s="310" t="str">
        <f>PPT!E94</f>
        <v>UND</v>
      </c>
      <c r="I96" s="300">
        <f>PPT!F94</f>
        <v>1</v>
      </c>
      <c r="J96" s="313">
        <f>PPT!G94</f>
        <v>500044</v>
      </c>
      <c r="K96" s="313">
        <f>PPT!H94</f>
        <v>500044</v>
      </c>
      <c r="L96" s="242"/>
    </row>
    <row r="97" spans="2:12" ht="30" customHeight="1" x14ac:dyDescent="0.25">
      <c r="B97" s="243"/>
      <c r="C97" s="273" t="s">
        <v>79</v>
      </c>
      <c r="D97" s="273"/>
      <c r="E97" s="273"/>
      <c r="F97" s="273"/>
      <c r="G97" s="274" t="str">
        <f>PPT!D95</f>
        <v>Suministro e instalación de lampara Roy Alpha tipo calima ll 250 ws, incl. fotocelda y bombillo</v>
      </c>
      <c r="H97" s="273" t="str">
        <f>PPT!E95</f>
        <v>UND</v>
      </c>
      <c r="I97" s="266">
        <f>PPT!F95</f>
        <v>2</v>
      </c>
      <c r="J97" s="272">
        <f>PPT!G95</f>
        <v>524157</v>
      </c>
      <c r="K97" s="272">
        <f>PPT!H95</f>
        <v>1048314</v>
      </c>
      <c r="L97" s="242"/>
    </row>
    <row r="98" spans="2:12" ht="30" customHeight="1" x14ac:dyDescent="0.25">
      <c r="B98" s="243"/>
      <c r="C98" s="273" t="s">
        <v>80</v>
      </c>
      <c r="D98" s="273"/>
      <c r="E98" s="273"/>
      <c r="F98" s="273"/>
      <c r="G98" s="274" t="str">
        <f>PPT!D96</f>
        <v>Demarcación reglamentaria de superficie deportiva mediante aplicación de pintura de tráfico</v>
      </c>
      <c r="H98" s="273" t="str">
        <f>PPT!E96</f>
        <v>ML</v>
      </c>
      <c r="I98" s="266">
        <f>PPT!F96</f>
        <v>250</v>
      </c>
      <c r="J98" s="272">
        <f>PPT!G96</f>
        <v>6119</v>
      </c>
      <c r="K98" s="272">
        <f>PPT!H96</f>
        <v>1529750</v>
      </c>
      <c r="L98" s="242"/>
    </row>
    <row r="99" spans="2:12" ht="30" customHeight="1" thickBot="1" x14ac:dyDescent="0.3">
      <c r="B99" s="243"/>
      <c r="C99" s="270" t="s">
        <v>1156</v>
      </c>
      <c r="D99" s="269"/>
      <c r="E99" s="269"/>
      <c r="F99" s="269"/>
      <c r="G99" s="268"/>
      <c r="H99" s="267"/>
      <c r="I99" s="300"/>
      <c r="J99" s="265"/>
      <c r="K99" s="264">
        <f>SUM(K96:K98)</f>
        <v>3078108</v>
      </c>
      <c r="L99" s="242"/>
    </row>
    <row r="100" spans="2:12" s="246" customFormat="1" ht="30" customHeight="1" thickBot="1" x14ac:dyDescent="0.3">
      <c r="B100" s="248"/>
      <c r="C100" s="396" t="s">
        <v>1155</v>
      </c>
      <c r="D100" s="397"/>
      <c r="E100" s="397"/>
      <c r="F100" s="397"/>
      <c r="G100" s="397"/>
      <c r="H100" s="397"/>
      <c r="I100" s="397"/>
      <c r="J100" s="398"/>
      <c r="K100" s="257"/>
      <c r="L100" s="247"/>
    </row>
    <row r="101" spans="2:12" s="246" customFormat="1" ht="14.4" thickBot="1" x14ac:dyDescent="0.3">
      <c r="B101" s="248"/>
      <c r="C101" s="263"/>
      <c r="D101" s="263"/>
      <c r="E101" s="263"/>
      <c r="F101" s="263"/>
      <c r="G101" s="263"/>
      <c r="H101" s="263"/>
      <c r="I101" s="263"/>
      <c r="J101" s="263"/>
      <c r="K101" s="262"/>
      <c r="L101" s="247"/>
    </row>
    <row r="102" spans="2:12" s="246" customFormat="1" ht="30" customHeight="1" thickBot="1" x14ac:dyDescent="0.3">
      <c r="B102" s="248"/>
      <c r="D102" s="261"/>
      <c r="E102" s="261"/>
      <c r="F102" s="261"/>
      <c r="G102" s="341" t="s">
        <v>1154</v>
      </c>
      <c r="H102" s="342"/>
      <c r="I102" s="342"/>
      <c r="J102" s="343"/>
      <c r="K102" s="338">
        <f>K21+K29+K36+K41+K49+K57+K65+K73+K79+K86+K94+K99</f>
        <v>114398694</v>
      </c>
      <c r="L102" s="247"/>
    </row>
    <row r="103" spans="2:12" s="246" customFormat="1" ht="30" customHeight="1" x14ac:dyDescent="0.25">
      <c r="B103" s="248"/>
      <c r="D103" s="256"/>
      <c r="G103" s="333" t="s">
        <v>1149</v>
      </c>
      <c r="H103" s="332"/>
      <c r="I103" s="344">
        <v>0.26</v>
      </c>
      <c r="J103" s="345"/>
      <c r="K103" s="339">
        <f>K102*I103</f>
        <v>29743660.440000001</v>
      </c>
      <c r="L103" s="247"/>
    </row>
    <row r="104" spans="2:12" s="246" customFormat="1" ht="30" customHeight="1" x14ac:dyDescent="0.25">
      <c r="B104" s="248"/>
      <c r="D104" s="256"/>
      <c r="G104" s="334" t="s">
        <v>1173</v>
      </c>
      <c r="H104" s="331"/>
      <c r="I104" s="346">
        <v>0.01</v>
      </c>
      <c r="J104" s="347"/>
      <c r="K104" s="339">
        <f>K102*I104</f>
        <v>1143986.94</v>
      </c>
      <c r="L104" s="247"/>
    </row>
    <row r="105" spans="2:12" s="246" customFormat="1" ht="30" customHeight="1" thickBot="1" x14ac:dyDescent="0.3">
      <c r="B105" s="248"/>
      <c r="D105" s="256"/>
      <c r="F105" s="260"/>
      <c r="G105" s="336" t="s">
        <v>1137</v>
      </c>
      <c r="H105" s="331"/>
      <c r="I105" s="346">
        <v>0.05</v>
      </c>
      <c r="J105" s="347"/>
      <c r="K105" s="339">
        <f>K102*I105</f>
        <v>5719934.7000000002</v>
      </c>
      <c r="L105" s="247"/>
    </row>
    <row r="106" spans="2:12" s="246" customFormat="1" ht="30" customHeight="1" thickBot="1" x14ac:dyDescent="0.3">
      <c r="B106" s="248"/>
      <c r="D106" s="256"/>
      <c r="G106" s="337" t="s">
        <v>1153</v>
      </c>
      <c r="H106" s="259"/>
      <c r="I106" s="258"/>
      <c r="J106" s="335"/>
      <c r="K106" s="340">
        <f>SUM(K102:K105)</f>
        <v>151006276.07999998</v>
      </c>
      <c r="L106" s="247"/>
    </row>
    <row r="107" spans="2:12" s="246" customFormat="1" ht="14.4" thickBot="1" x14ac:dyDescent="0.3">
      <c r="B107" s="248"/>
      <c r="D107" s="256"/>
      <c r="E107" s="256"/>
      <c r="F107" s="256"/>
      <c r="I107" s="255"/>
      <c r="J107" s="254"/>
      <c r="K107" s="253"/>
      <c r="L107" s="247"/>
    </row>
    <row r="108" spans="2:12" s="246" customFormat="1" x14ac:dyDescent="0.25">
      <c r="B108" s="248"/>
      <c r="C108" s="252"/>
      <c r="D108" s="399"/>
      <c r="E108" s="399"/>
      <c r="F108" s="399"/>
      <c r="G108" s="399"/>
      <c r="H108" s="399"/>
      <c r="I108" s="399"/>
      <c r="J108" s="399"/>
      <c r="K108" s="400"/>
      <c r="L108" s="251"/>
    </row>
    <row r="109" spans="2:12" s="246" customFormat="1" ht="46.5" customHeight="1" x14ac:dyDescent="0.25">
      <c r="B109" s="248"/>
      <c r="C109" s="401" t="s">
        <v>1152</v>
      </c>
      <c r="D109" s="402"/>
      <c r="E109" s="402"/>
      <c r="F109" s="402"/>
      <c r="G109" s="402"/>
      <c r="H109" s="403" t="s">
        <v>1117</v>
      </c>
      <c r="I109" s="404"/>
      <c r="J109" s="405"/>
      <c r="K109" s="250" t="s">
        <v>1151</v>
      </c>
      <c r="L109" s="249"/>
    </row>
    <row r="110" spans="2:12" s="246" customFormat="1" ht="32.25" customHeight="1" x14ac:dyDescent="0.25">
      <c r="B110" s="248"/>
      <c r="C110" s="401" t="s">
        <v>1150</v>
      </c>
      <c r="D110" s="402"/>
      <c r="E110" s="402"/>
      <c r="F110" s="402"/>
      <c r="G110" s="402"/>
      <c r="H110" s="406" t="s">
        <v>1149</v>
      </c>
      <c r="I110" s="406"/>
      <c r="J110" s="245" t="s">
        <v>1148</v>
      </c>
      <c r="K110" s="244">
        <f>I103</f>
        <v>0.26</v>
      </c>
      <c r="L110" s="249"/>
    </row>
    <row r="111" spans="2:12" s="246" customFormat="1" ht="30" customHeight="1" x14ac:dyDescent="0.25">
      <c r="B111" s="248"/>
      <c r="C111" s="401" t="s">
        <v>1147</v>
      </c>
      <c r="D111" s="402"/>
      <c r="E111" s="402"/>
      <c r="F111" s="402"/>
      <c r="G111" s="402"/>
      <c r="H111" s="407" t="s">
        <v>1146</v>
      </c>
      <c r="I111" s="408"/>
      <c r="J111" s="245" t="s">
        <v>1145</v>
      </c>
      <c r="K111" s="244">
        <f>I104</f>
        <v>0.01</v>
      </c>
      <c r="L111" s="249"/>
    </row>
    <row r="112" spans="2:12" s="246" customFormat="1" ht="58.5" customHeight="1" x14ac:dyDescent="0.25">
      <c r="B112" s="248"/>
      <c r="C112" s="409"/>
      <c r="D112" s="410"/>
      <c r="E112" s="410"/>
      <c r="F112" s="410"/>
      <c r="G112" s="411"/>
      <c r="H112" s="418" t="s">
        <v>1144</v>
      </c>
      <c r="I112" s="406"/>
      <c r="J112" s="245" t="s">
        <v>1143</v>
      </c>
      <c r="K112" s="244">
        <f>I105</f>
        <v>0.05</v>
      </c>
      <c r="L112" s="247"/>
    </row>
    <row r="113" spans="2:12" ht="39" customHeight="1" x14ac:dyDescent="0.25">
      <c r="B113" s="243"/>
      <c r="C113" s="412"/>
      <c r="D113" s="413"/>
      <c r="E113" s="413"/>
      <c r="F113" s="413"/>
      <c r="G113" s="414"/>
      <c r="H113" s="406" t="s">
        <v>1142</v>
      </c>
      <c r="I113" s="406"/>
      <c r="J113" s="245" t="s">
        <v>1141</v>
      </c>
      <c r="K113" s="244">
        <f>SUM(K110:K112)</f>
        <v>0.32</v>
      </c>
      <c r="L113" s="242"/>
    </row>
    <row r="114" spans="2:12" ht="47.25" customHeight="1" thickBot="1" x14ac:dyDescent="0.3">
      <c r="B114" s="243"/>
      <c r="C114" s="415"/>
      <c r="D114" s="416"/>
      <c r="E114" s="416"/>
      <c r="F114" s="416"/>
      <c r="G114" s="417"/>
      <c r="H114" s="419"/>
      <c r="I114" s="420"/>
      <c r="J114" s="420"/>
      <c r="K114" s="421"/>
      <c r="L114" s="242"/>
    </row>
    <row r="115" spans="2:12" x14ac:dyDescent="0.25">
      <c r="B115" s="241"/>
      <c r="C115" s="238"/>
      <c r="D115" s="238"/>
      <c r="E115" s="240"/>
      <c r="F115" s="238"/>
      <c r="G115" s="239"/>
      <c r="H115" s="238"/>
      <c r="I115" s="238"/>
      <c r="J115" s="238"/>
      <c r="K115" s="238"/>
      <c r="L115" s="237"/>
    </row>
    <row r="116" spans="2:12" ht="14.4" customHeight="1" thickTop="1" x14ac:dyDescent="0.25"/>
  </sheetData>
  <mergeCells count="52">
    <mergeCell ref="C111:G111"/>
    <mergeCell ref="H111:I111"/>
    <mergeCell ref="C112:G114"/>
    <mergeCell ref="H112:I112"/>
    <mergeCell ref="H113:I113"/>
    <mergeCell ref="H114:K114"/>
    <mergeCell ref="D108:K108"/>
    <mergeCell ref="C109:G109"/>
    <mergeCell ref="H109:J109"/>
    <mergeCell ref="C110:G110"/>
    <mergeCell ref="H110:I110"/>
    <mergeCell ref="G74:K74"/>
    <mergeCell ref="C79:G79"/>
    <mergeCell ref="G80:K80"/>
    <mergeCell ref="B1:G1"/>
    <mergeCell ref="B2:E2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G66:K66"/>
    <mergeCell ref="B4:L4"/>
    <mergeCell ref="G13:K13"/>
    <mergeCell ref="G22:K22"/>
    <mergeCell ref="G30:K30"/>
    <mergeCell ref="G37:K37"/>
    <mergeCell ref="G42:K42"/>
    <mergeCell ref="C36:G36"/>
    <mergeCell ref="C41:G41"/>
    <mergeCell ref="C7:K8"/>
    <mergeCell ref="C6:K6"/>
    <mergeCell ref="C5:K5"/>
    <mergeCell ref="G50:K50"/>
    <mergeCell ref="C57:G57"/>
    <mergeCell ref="C49:G49"/>
    <mergeCell ref="G58:K58"/>
    <mergeCell ref="C65:G65"/>
    <mergeCell ref="G102:J102"/>
    <mergeCell ref="I103:J103"/>
    <mergeCell ref="I104:J104"/>
    <mergeCell ref="I105:J105"/>
    <mergeCell ref="C86:G86"/>
    <mergeCell ref="G87:K87"/>
    <mergeCell ref="C94:G94"/>
    <mergeCell ref="G95:K95"/>
    <mergeCell ref="C100:J100"/>
  </mergeCells>
  <phoneticPr fontId="2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D1520-23F8-4ECF-A5A4-AB45DBD0B8F6}">
  <dimension ref="D3:J40"/>
  <sheetViews>
    <sheetView view="pageBreakPreview" zoomScale="60" zoomScaleNormal="70" workbookViewId="0">
      <selection activeCell="N12" sqref="N12"/>
    </sheetView>
  </sheetViews>
  <sheetFormatPr baseColWidth="10" defaultRowHeight="14.4" x14ac:dyDescent="0.3"/>
  <cols>
    <col min="4" max="4" width="27" customWidth="1"/>
    <col min="8" max="8" width="50.77734375" customWidth="1"/>
    <col min="9" max="9" width="25.109375" customWidth="1"/>
    <col min="10" max="10" width="12.77734375" customWidth="1"/>
  </cols>
  <sheetData>
    <row r="3" spans="4:10" ht="20.399999999999999" customHeight="1" thickBot="1" x14ac:dyDescent="0.35">
      <c r="D3" s="2"/>
      <c r="F3" s="205"/>
      <c r="G3" s="205"/>
      <c r="H3" s="1"/>
      <c r="I3" s="1"/>
    </row>
    <row r="4" spans="4:10" x14ac:dyDescent="0.3">
      <c r="D4" s="422"/>
      <c r="E4" s="425" t="s">
        <v>1132</v>
      </c>
      <c r="F4" s="426"/>
      <c r="G4" s="426"/>
      <c r="H4" s="427"/>
      <c r="I4" s="431" t="s">
        <v>1140</v>
      </c>
      <c r="J4" s="432"/>
    </row>
    <row r="5" spans="4:10" ht="46.2" customHeight="1" thickBot="1" x14ac:dyDescent="0.35">
      <c r="D5" s="423"/>
      <c r="E5" s="428"/>
      <c r="F5" s="429"/>
      <c r="G5" s="429"/>
      <c r="H5" s="430"/>
      <c r="I5" s="424"/>
      <c r="J5" s="433"/>
    </row>
    <row r="6" spans="4:10" ht="25.2" customHeight="1" x14ac:dyDescent="0.3">
      <c r="D6" s="424"/>
      <c r="E6" s="434" t="s">
        <v>1130</v>
      </c>
      <c r="F6" s="435"/>
      <c r="G6" s="435"/>
      <c r="H6" s="436"/>
      <c r="I6" s="424"/>
      <c r="J6" s="433"/>
    </row>
    <row r="7" spans="4:10" ht="15.6" customHeight="1" thickBot="1" x14ac:dyDescent="0.35">
      <c r="D7" s="424"/>
      <c r="E7" s="437" t="s">
        <v>1131</v>
      </c>
      <c r="F7" s="438"/>
      <c r="G7" s="438"/>
      <c r="H7" s="439"/>
      <c r="I7" s="424"/>
      <c r="J7" s="433"/>
    </row>
    <row r="8" spans="4:10" ht="18" thickBot="1" x14ac:dyDescent="0.35">
      <c r="D8" s="423"/>
      <c r="E8" s="440" t="s">
        <v>1129</v>
      </c>
      <c r="F8" s="440"/>
      <c r="G8" s="440"/>
      <c r="H8" s="440"/>
      <c r="I8" s="424"/>
      <c r="J8" s="433"/>
    </row>
    <row r="9" spans="4:10" ht="18" customHeight="1" thickBot="1" x14ac:dyDescent="0.35">
      <c r="D9" s="443"/>
      <c r="E9" s="444"/>
      <c r="F9" s="444"/>
      <c r="G9" s="444"/>
      <c r="H9" s="444"/>
      <c r="I9" s="444"/>
      <c r="J9" s="445"/>
    </row>
    <row r="10" spans="4:10" ht="18" thickBot="1" x14ac:dyDescent="0.35">
      <c r="D10" s="234" t="s">
        <v>178</v>
      </c>
      <c r="E10" s="448" t="s">
        <v>1139</v>
      </c>
      <c r="F10" s="446"/>
      <c r="G10" s="446"/>
      <c r="H10" s="447"/>
      <c r="I10" s="446" t="s">
        <v>604</v>
      </c>
      <c r="J10" s="447"/>
    </row>
    <row r="11" spans="4:10" ht="15" thickBot="1" x14ac:dyDescent="0.35">
      <c r="D11" s="218">
        <v>1</v>
      </c>
      <c r="E11" s="441" t="str">
        <f>PPT!C9</f>
        <v>CANCHA BARRIO QUINCE DE NOVIEMBRE</v>
      </c>
      <c r="F11" s="441"/>
      <c r="G11" s="441"/>
      <c r="H11" s="441"/>
      <c r="I11" s="449">
        <f>PPT!D10</f>
        <v>12355232</v>
      </c>
      <c r="J11" s="450"/>
    </row>
    <row r="12" spans="4:10" ht="15" thickBot="1" x14ac:dyDescent="0.35">
      <c r="D12" s="217">
        <v>2</v>
      </c>
      <c r="E12" s="442" t="str">
        <f>PPT!C19</f>
        <v>CANCHA BARRIO EL OBRERO</v>
      </c>
      <c r="F12" s="442"/>
      <c r="G12" s="442"/>
      <c r="H12" s="442"/>
      <c r="I12" s="451">
        <f>PPT!D20</f>
        <v>12104268</v>
      </c>
      <c r="J12" s="452"/>
    </row>
    <row r="13" spans="4:10" ht="15" thickBot="1" x14ac:dyDescent="0.35">
      <c r="D13" s="218">
        <v>3</v>
      </c>
      <c r="E13" s="441" t="str">
        <f>PPT!C27</f>
        <v>CANCHA BARRIO PRIMERO DE MAYO</v>
      </c>
      <c r="F13" s="441"/>
      <c r="G13" s="441"/>
      <c r="H13" s="441"/>
      <c r="I13" s="449">
        <f>PPT!D28</f>
        <v>11240433</v>
      </c>
      <c r="J13" s="450"/>
    </row>
    <row r="14" spans="4:10" ht="15" thickBot="1" x14ac:dyDescent="0.35">
      <c r="D14" s="217">
        <v>4</v>
      </c>
      <c r="E14" s="442" t="str">
        <f>PPT!C34</f>
        <v>CANCHA PARQUE DE LA GUITARRA</v>
      </c>
      <c r="F14" s="442"/>
      <c r="G14" s="442"/>
      <c r="H14" s="442"/>
      <c r="I14" s="451">
        <f>PPT!D35</f>
        <v>1459796</v>
      </c>
      <c r="J14" s="452"/>
    </row>
    <row r="15" spans="4:10" ht="15" thickBot="1" x14ac:dyDescent="0.35">
      <c r="D15" s="218">
        <v>5</v>
      </c>
      <c r="E15" s="441" t="str">
        <f>PPT!C39</f>
        <v>CANCHA PARQUE LA SALCHIPAPA</v>
      </c>
      <c r="F15" s="441"/>
      <c r="G15" s="441"/>
      <c r="H15" s="441"/>
      <c r="I15" s="449">
        <f>PPT!D40</f>
        <v>13528915</v>
      </c>
      <c r="J15" s="450"/>
    </row>
    <row r="16" spans="4:10" ht="15" thickBot="1" x14ac:dyDescent="0.35">
      <c r="D16" s="217">
        <v>6</v>
      </c>
      <c r="E16" s="442" t="str">
        <f>PPT!C47</f>
        <v>CANCHA BARRIO INSTITUTO</v>
      </c>
      <c r="F16" s="442"/>
      <c r="G16" s="442"/>
      <c r="H16" s="442"/>
      <c r="I16" s="451">
        <f>PPT!D48</f>
        <v>11764590</v>
      </c>
      <c r="J16" s="452"/>
    </row>
    <row r="17" spans="4:10" ht="15" thickBot="1" x14ac:dyDescent="0.35">
      <c r="D17" s="218">
        <v>7</v>
      </c>
      <c r="E17" s="441" t="str">
        <f>PPT!C55</f>
        <v>CANCHA BARRIO LA ANTILLANA</v>
      </c>
      <c r="F17" s="441"/>
      <c r="G17" s="441"/>
      <c r="H17" s="441"/>
      <c r="I17" s="449">
        <f>PPT!D56</f>
        <v>11831075</v>
      </c>
      <c r="J17" s="450"/>
    </row>
    <row r="18" spans="4:10" ht="15" thickBot="1" x14ac:dyDescent="0.35">
      <c r="D18" s="217">
        <v>8</v>
      </c>
      <c r="E18" s="442" t="str">
        <f>PPT!C63</f>
        <v>CANCHA BARRIO SAN JOSÉ</v>
      </c>
      <c r="F18" s="442"/>
      <c r="G18" s="442"/>
      <c r="H18" s="442"/>
      <c r="I18" s="451">
        <f>PPT!D64</f>
        <v>9633570</v>
      </c>
      <c r="J18" s="452"/>
    </row>
    <row r="19" spans="4:10" ht="15" thickBot="1" x14ac:dyDescent="0.35">
      <c r="D19" s="218">
        <v>9</v>
      </c>
      <c r="E19" s="441" t="str">
        <f>PPT!C71</f>
        <v>CANCHA PARQUE LA ESPERANZA</v>
      </c>
      <c r="F19" s="441"/>
      <c r="G19" s="441"/>
      <c r="H19" s="441"/>
      <c r="I19" s="449">
        <f>PPT!D72</f>
        <v>2050438</v>
      </c>
      <c r="J19" s="450"/>
    </row>
    <row r="20" spans="4:10" ht="15" thickBot="1" x14ac:dyDescent="0.35">
      <c r="D20" s="217">
        <v>10</v>
      </c>
      <c r="E20" s="442" t="str">
        <f>PPT!C77</f>
        <v>CANCHA PARQUE EL SOCORRO</v>
      </c>
      <c r="F20" s="442"/>
      <c r="G20" s="442"/>
      <c r="H20" s="442"/>
      <c r="I20" s="451">
        <f>PPT!D78</f>
        <v>11513626</v>
      </c>
      <c r="J20" s="452"/>
    </row>
    <row r="21" spans="4:10" ht="15" thickBot="1" x14ac:dyDescent="0.35">
      <c r="D21" s="218">
        <v>11</v>
      </c>
      <c r="E21" s="441" t="str">
        <f>PPT!C84</f>
        <v>CANCHA BARRIO EL TESORO</v>
      </c>
      <c r="F21" s="441"/>
      <c r="G21" s="441"/>
      <c r="H21" s="441"/>
      <c r="I21" s="449">
        <f>PPT!D85</f>
        <v>13838643</v>
      </c>
      <c r="J21" s="450"/>
    </row>
    <row r="22" spans="4:10" ht="15" thickBot="1" x14ac:dyDescent="0.35">
      <c r="D22" s="217">
        <v>12</v>
      </c>
      <c r="E22" s="442" t="str">
        <f>PPT!C92</f>
        <v>CANCHA LLERASCA</v>
      </c>
      <c r="F22" s="442"/>
      <c r="G22" s="442"/>
      <c r="H22" s="442"/>
      <c r="I22" s="451">
        <f>PPT!D93</f>
        <v>3078108</v>
      </c>
      <c r="J22" s="452"/>
    </row>
    <row r="23" spans="4:10" ht="15" thickBot="1" x14ac:dyDescent="0.35">
      <c r="D23" s="459"/>
      <c r="E23" s="460"/>
      <c r="F23" s="460"/>
      <c r="G23" s="460"/>
      <c r="H23" s="460"/>
      <c r="I23" s="460"/>
      <c r="J23" s="461"/>
    </row>
    <row r="24" spans="4:10" ht="15" thickBot="1" x14ac:dyDescent="0.35">
      <c r="E24" s="453"/>
      <c r="F24" s="453"/>
      <c r="G24" s="453"/>
      <c r="H24" s="453"/>
    </row>
    <row r="25" spans="4:10" ht="18" thickBot="1" x14ac:dyDescent="0.35">
      <c r="E25" s="454" t="s">
        <v>1133</v>
      </c>
      <c r="F25" s="455"/>
      <c r="G25" s="455"/>
      <c r="H25" s="456"/>
      <c r="I25" s="457">
        <f>SUM(I11:J22)</f>
        <v>114398694</v>
      </c>
      <c r="J25" s="458"/>
    </row>
    <row r="26" spans="4:10" ht="15" thickBot="1" x14ac:dyDescent="0.35">
      <c r="E26" s="462"/>
      <c r="F26" s="465" t="s">
        <v>1135</v>
      </c>
      <c r="G26" s="466"/>
      <c r="H26" s="221">
        <v>0.26</v>
      </c>
      <c r="I26" s="469">
        <f>+I25*H26</f>
        <v>29743660.440000001</v>
      </c>
      <c r="J26" s="470"/>
    </row>
    <row r="27" spans="4:10" ht="15" thickBot="1" x14ac:dyDescent="0.35">
      <c r="E27" s="463"/>
      <c r="F27" s="467" t="s">
        <v>1136</v>
      </c>
      <c r="G27" s="468"/>
      <c r="H27" s="222">
        <v>0.01</v>
      </c>
      <c r="I27" s="469">
        <f>I25*H27</f>
        <v>1143986.94</v>
      </c>
      <c r="J27" s="470"/>
    </row>
    <row r="28" spans="4:10" ht="15" thickBot="1" x14ac:dyDescent="0.35">
      <c r="E28" s="464"/>
      <c r="F28" s="467" t="s">
        <v>1137</v>
      </c>
      <c r="G28" s="468"/>
      <c r="H28" s="222">
        <v>0.05</v>
      </c>
      <c r="I28" s="469">
        <f>I25*H28</f>
        <v>5719934.7000000002</v>
      </c>
      <c r="J28" s="470"/>
    </row>
    <row r="29" spans="4:10" ht="18" thickBot="1" x14ac:dyDescent="0.35">
      <c r="E29" s="454" t="s">
        <v>1134</v>
      </c>
      <c r="F29" s="455"/>
      <c r="G29" s="455"/>
      <c r="H29" s="456"/>
      <c r="I29" s="457">
        <f>+I25+I26+I27+I28</f>
        <v>151006276.07999998</v>
      </c>
      <c r="J29" s="458"/>
    </row>
    <row r="30" spans="4:10" x14ac:dyDescent="0.3">
      <c r="E30" s="453"/>
      <c r="F30" s="453"/>
      <c r="G30" s="453"/>
      <c r="H30" s="453"/>
    </row>
    <row r="31" spans="4:10" x14ac:dyDescent="0.3">
      <c r="E31" s="453"/>
      <c r="F31" s="453"/>
      <c r="G31" s="453"/>
      <c r="H31" s="453"/>
    </row>
    <row r="32" spans="4:10" x14ac:dyDescent="0.3">
      <c r="E32" s="453"/>
      <c r="F32" s="453"/>
      <c r="G32" s="453"/>
      <c r="H32" s="453"/>
    </row>
    <row r="33" spans="5:8" x14ac:dyDescent="0.3">
      <c r="E33" s="453"/>
      <c r="F33" s="453"/>
      <c r="G33" s="453"/>
      <c r="H33" s="453"/>
    </row>
    <row r="34" spans="5:8" x14ac:dyDescent="0.3">
      <c r="E34" s="453"/>
      <c r="F34" s="453"/>
      <c r="G34" s="453"/>
      <c r="H34" s="453"/>
    </row>
    <row r="35" spans="5:8" x14ac:dyDescent="0.3">
      <c r="E35" s="453"/>
      <c r="F35" s="453"/>
      <c r="G35" s="453"/>
      <c r="H35" s="453"/>
    </row>
    <row r="36" spans="5:8" x14ac:dyDescent="0.3">
      <c r="E36" s="453"/>
      <c r="F36" s="453"/>
      <c r="G36" s="453"/>
      <c r="H36" s="453"/>
    </row>
    <row r="37" spans="5:8" x14ac:dyDescent="0.3">
      <c r="E37" s="453"/>
      <c r="F37" s="453"/>
      <c r="G37" s="453"/>
      <c r="H37" s="453"/>
    </row>
    <row r="38" spans="5:8" x14ac:dyDescent="0.3">
      <c r="E38" s="453"/>
      <c r="F38" s="453"/>
      <c r="G38" s="453"/>
      <c r="H38" s="453"/>
    </row>
    <row r="39" spans="5:8" x14ac:dyDescent="0.3">
      <c r="E39" s="453"/>
      <c r="F39" s="453"/>
      <c r="G39" s="453"/>
      <c r="H39" s="453"/>
    </row>
    <row r="40" spans="5:8" x14ac:dyDescent="0.3">
      <c r="E40" s="453"/>
      <c r="F40" s="453"/>
      <c r="G40" s="453"/>
      <c r="H40" s="453"/>
    </row>
  </sheetData>
  <mergeCells count="57">
    <mergeCell ref="I29:J29"/>
    <mergeCell ref="D23:J23"/>
    <mergeCell ref="E26:E28"/>
    <mergeCell ref="F26:G26"/>
    <mergeCell ref="F27:G27"/>
    <mergeCell ref="F28:G28"/>
    <mergeCell ref="I25:J25"/>
    <mergeCell ref="I26:J26"/>
    <mergeCell ref="I27:J27"/>
    <mergeCell ref="I28:J28"/>
    <mergeCell ref="E29:H29"/>
    <mergeCell ref="E30:H30"/>
    <mergeCell ref="E31:H31"/>
    <mergeCell ref="E32:H32"/>
    <mergeCell ref="E33:H33"/>
    <mergeCell ref="E40:H40"/>
    <mergeCell ref="E34:H34"/>
    <mergeCell ref="E35:H35"/>
    <mergeCell ref="E36:H36"/>
    <mergeCell ref="E37:H37"/>
    <mergeCell ref="E38:H38"/>
    <mergeCell ref="E39:H39"/>
    <mergeCell ref="I22:J22"/>
    <mergeCell ref="E24:H24"/>
    <mergeCell ref="E25:H25"/>
    <mergeCell ref="I16:J16"/>
    <mergeCell ref="I17:J17"/>
    <mergeCell ref="I18:J18"/>
    <mergeCell ref="I19:J19"/>
    <mergeCell ref="I20:J20"/>
    <mergeCell ref="I21:J21"/>
    <mergeCell ref="E18:H18"/>
    <mergeCell ref="E19:H19"/>
    <mergeCell ref="E20:H20"/>
    <mergeCell ref="E21:H21"/>
    <mergeCell ref="E22:H22"/>
    <mergeCell ref="E15:H15"/>
    <mergeCell ref="E16:H16"/>
    <mergeCell ref="E17:H17"/>
    <mergeCell ref="D9:J9"/>
    <mergeCell ref="I10:J10"/>
    <mergeCell ref="E10:H10"/>
    <mergeCell ref="I11:J11"/>
    <mergeCell ref="I12:J12"/>
    <mergeCell ref="I13:J13"/>
    <mergeCell ref="I14:J14"/>
    <mergeCell ref="I15:J15"/>
    <mergeCell ref="E11:H11"/>
    <mergeCell ref="E12:H12"/>
    <mergeCell ref="E13:H13"/>
    <mergeCell ref="E14:H14"/>
    <mergeCell ref="D4:D8"/>
    <mergeCell ref="E4:H5"/>
    <mergeCell ref="I4:J8"/>
    <mergeCell ref="E6:H6"/>
    <mergeCell ref="E7:H7"/>
    <mergeCell ref="E8:H8"/>
  </mergeCells>
  <pageMargins left="0.7" right="0.7" top="0.75" bottom="0.75" header="0.3" footer="0.3"/>
  <pageSetup paperSize="175" scale="5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I103"/>
  <sheetViews>
    <sheetView view="pageBreakPreview" topLeftCell="B82" zoomScale="60" zoomScaleNormal="70" workbookViewId="0">
      <selection activeCell="N97" sqref="N97"/>
    </sheetView>
  </sheetViews>
  <sheetFormatPr baseColWidth="10" defaultRowHeight="14.4" x14ac:dyDescent="0.3"/>
  <cols>
    <col min="3" max="3" width="27.44140625" style="2" customWidth="1"/>
    <col min="4" max="4" width="47" customWidth="1"/>
    <col min="5" max="5" width="11.5546875" style="205"/>
    <col min="6" max="6" width="11.88671875" style="205" customWidth="1"/>
    <col min="7" max="7" width="27.21875" style="1" customWidth="1"/>
    <col min="8" max="8" width="25.33203125" style="1" customWidth="1"/>
    <col min="9" max="9" width="21.33203125" customWidth="1"/>
  </cols>
  <sheetData>
    <row r="2" spans="3:9" ht="15" thickBot="1" x14ac:dyDescent="0.35"/>
    <row r="3" spans="3:9" ht="14.4" customHeight="1" x14ac:dyDescent="0.3">
      <c r="C3" s="422"/>
      <c r="D3" s="493" t="s">
        <v>1132</v>
      </c>
      <c r="E3" s="494"/>
      <c r="F3" s="494"/>
      <c r="G3" s="495"/>
      <c r="H3" s="486" t="s">
        <v>1140</v>
      </c>
      <c r="I3" s="487"/>
    </row>
    <row r="4" spans="3:9" ht="37.200000000000003" customHeight="1" thickBot="1" x14ac:dyDescent="0.35">
      <c r="C4" s="423"/>
      <c r="D4" s="496"/>
      <c r="E4" s="497"/>
      <c r="F4" s="497"/>
      <c r="G4" s="498"/>
      <c r="H4" s="488"/>
      <c r="I4" s="489"/>
    </row>
    <row r="5" spans="3:9" ht="21" customHeight="1" x14ac:dyDescent="0.3">
      <c r="C5" s="424"/>
      <c r="D5" s="434" t="s">
        <v>1130</v>
      </c>
      <c r="E5" s="435"/>
      <c r="F5" s="435"/>
      <c r="G5" s="436"/>
      <c r="H5" s="488"/>
      <c r="I5" s="489"/>
    </row>
    <row r="6" spans="3:9" ht="17.399999999999999" customHeight="1" thickBot="1" x14ac:dyDescent="0.35">
      <c r="C6" s="424"/>
      <c r="D6" s="437" t="s">
        <v>1131</v>
      </c>
      <c r="E6" s="438"/>
      <c r="F6" s="438"/>
      <c r="G6" s="439"/>
      <c r="H6" s="488"/>
      <c r="I6" s="489"/>
    </row>
    <row r="7" spans="3:9" ht="24" customHeight="1" thickBot="1" x14ac:dyDescent="0.35">
      <c r="C7" s="423"/>
      <c r="D7" s="440" t="s">
        <v>1129</v>
      </c>
      <c r="E7" s="440"/>
      <c r="F7" s="440"/>
      <c r="G7" s="440"/>
      <c r="H7" s="488"/>
      <c r="I7" s="489"/>
    </row>
    <row r="8" spans="3:9" ht="12.6" customHeight="1" thickBot="1" x14ac:dyDescent="0.35">
      <c r="C8" s="443"/>
      <c r="D8" s="444"/>
      <c r="E8" s="444"/>
      <c r="F8" s="444"/>
      <c r="G8" s="444"/>
      <c r="H8" s="444"/>
      <c r="I8" s="445"/>
    </row>
    <row r="9" spans="3:9" ht="18" thickBot="1" x14ac:dyDescent="0.35">
      <c r="C9" s="448" t="s">
        <v>0</v>
      </c>
      <c r="D9" s="446"/>
      <c r="E9" s="446"/>
      <c r="F9" s="446"/>
      <c r="G9" s="446"/>
      <c r="H9" s="446"/>
      <c r="I9" s="447"/>
    </row>
    <row r="10" spans="3:9" ht="15" thickBot="1" x14ac:dyDescent="0.35">
      <c r="C10" s="217">
        <v>1</v>
      </c>
      <c r="D10" s="471">
        <f>SUM(H12:H18)</f>
        <v>12355232</v>
      </c>
      <c r="E10" s="472"/>
      <c r="F10" s="472"/>
      <c r="G10" s="472"/>
      <c r="H10" s="472"/>
      <c r="I10" s="473"/>
    </row>
    <row r="11" spans="3:9" ht="21.6" thickBot="1" x14ac:dyDescent="0.35">
      <c r="C11" s="232" t="s">
        <v>1</v>
      </c>
      <c r="D11" s="232" t="s">
        <v>2</v>
      </c>
      <c r="E11" s="232" t="s">
        <v>3</v>
      </c>
      <c r="F11" s="232" t="s">
        <v>4</v>
      </c>
      <c r="G11" s="233" t="s">
        <v>5</v>
      </c>
      <c r="H11" s="233" t="s">
        <v>6</v>
      </c>
      <c r="I11" s="483"/>
    </row>
    <row r="12" spans="3:9" ht="27.6" x14ac:dyDescent="0.3">
      <c r="C12" s="220" t="s">
        <v>7</v>
      </c>
      <c r="D12" s="228" t="s">
        <v>1119</v>
      </c>
      <c r="E12" s="229" t="s">
        <v>3</v>
      </c>
      <c r="F12" s="229">
        <v>1</v>
      </c>
      <c r="G12" s="230">
        <f>+APU!G84</f>
        <v>500044</v>
      </c>
      <c r="H12" s="231">
        <f>+G12*F12</f>
        <v>500044</v>
      </c>
      <c r="I12" s="484"/>
    </row>
    <row r="13" spans="3:9" ht="41.4" x14ac:dyDescent="0.3">
      <c r="C13" s="206" t="s">
        <v>8</v>
      </c>
      <c r="D13" s="207" t="s">
        <v>1120</v>
      </c>
      <c r="E13" s="208" t="s">
        <v>82</v>
      </c>
      <c r="F13" s="208">
        <v>1</v>
      </c>
      <c r="G13" s="209">
        <f>+APU!G138</f>
        <v>435595</v>
      </c>
      <c r="H13" s="210">
        <f t="shared" ref="H13:H17" si="0">+G13*F13</f>
        <v>435595</v>
      </c>
      <c r="I13" s="484"/>
    </row>
    <row r="14" spans="3:9" ht="27.6" x14ac:dyDescent="0.3">
      <c r="C14" s="206" t="s">
        <v>9</v>
      </c>
      <c r="D14" s="207" t="s">
        <v>1121</v>
      </c>
      <c r="E14" s="208" t="s">
        <v>72</v>
      </c>
      <c r="F14" s="208">
        <v>250</v>
      </c>
      <c r="G14" s="209">
        <f>+APU!G57</f>
        <v>6119</v>
      </c>
      <c r="H14" s="210">
        <f t="shared" si="0"/>
        <v>1529750</v>
      </c>
      <c r="I14" s="484"/>
    </row>
    <row r="15" spans="3:9" ht="27.6" x14ac:dyDescent="0.3">
      <c r="C15" s="206" t="s">
        <v>10</v>
      </c>
      <c r="D15" s="207" t="s">
        <v>1122</v>
      </c>
      <c r="E15" s="208" t="s">
        <v>129</v>
      </c>
      <c r="F15" s="208">
        <v>360</v>
      </c>
      <c r="G15" s="209">
        <f>+APU!G29</f>
        <v>23678</v>
      </c>
      <c r="H15" s="210">
        <f t="shared" si="0"/>
        <v>8524080</v>
      </c>
      <c r="I15" s="484"/>
    </row>
    <row r="16" spans="3:9" ht="27.6" x14ac:dyDescent="0.3">
      <c r="C16" s="206" t="s">
        <v>11</v>
      </c>
      <c r="D16" s="207" t="s">
        <v>1123</v>
      </c>
      <c r="E16" s="208" t="s">
        <v>3</v>
      </c>
      <c r="F16" s="208">
        <v>2</v>
      </c>
      <c r="G16" s="209">
        <f>+APU!G166</f>
        <v>125482</v>
      </c>
      <c r="H16" s="210">
        <f t="shared" si="0"/>
        <v>250964</v>
      </c>
      <c r="I16" s="484"/>
    </row>
    <row r="17" spans="3:9" ht="27.6" x14ac:dyDescent="0.3">
      <c r="C17" s="206" t="s">
        <v>12</v>
      </c>
      <c r="D17" s="207" t="s">
        <v>1124</v>
      </c>
      <c r="E17" s="208" t="s">
        <v>3</v>
      </c>
      <c r="F17" s="208">
        <v>2</v>
      </c>
      <c r="G17" s="209">
        <f>+APU!G249</f>
        <v>295321</v>
      </c>
      <c r="H17" s="210">
        <f t="shared" si="0"/>
        <v>590642</v>
      </c>
      <c r="I17" s="484"/>
    </row>
    <row r="18" spans="3:9" ht="55.8" thickBot="1" x14ac:dyDescent="0.35">
      <c r="C18" s="211" t="s">
        <v>13</v>
      </c>
      <c r="D18" s="212" t="s">
        <v>1125</v>
      </c>
      <c r="E18" s="213" t="s">
        <v>3</v>
      </c>
      <c r="F18" s="213">
        <v>1</v>
      </c>
      <c r="G18" s="214">
        <f>+APU!G111</f>
        <v>524157</v>
      </c>
      <c r="H18" s="215">
        <f>+G18*F18</f>
        <v>524157</v>
      </c>
      <c r="I18" s="484"/>
    </row>
    <row r="19" spans="3:9" ht="18" thickBot="1" x14ac:dyDescent="0.35">
      <c r="C19" s="474" t="s">
        <v>15</v>
      </c>
      <c r="D19" s="475"/>
      <c r="E19" s="475"/>
      <c r="F19" s="475"/>
      <c r="G19" s="475"/>
      <c r="H19" s="476"/>
      <c r="I19" s="485"/>
    </row>
    <row r="20" spans="3:9" ht="15" thickBot="1" x14ac:dyDescent="0.35">
      <c r="C20" s="217">
        <v>2</v>
      </c>
      <c r="D20" s="477">
        <f>SUM(H21:H26)</f>
        <v>12104268</v>
      </c>
      <c r="E20" s="478"/>
      <c r="F20" s="478"/>
      <c r="G20" s="478"/>
      <c r="H20" s="478"/>
      <c r="I20" s="479"/>
    </row>
    <row r="21" spans="3:9" ht="27.6" x14ac:dyDescent="0.3">
      <c r="C21" s="206" t="s">
        <v>16</v>
      </c>
      <c r="D21" s="207" t="s">
        <v>1119</v>
      </c>
      <c r="E21" s="208" t="s">
        <v>3</v>
      </c>
      <c r="F21" s="208">
        <v>1</v>
      </c>
      <c r="G21" s="209">
        <f>+APU!G84</f>
        <v>500044</v>
      </c>
      <c r="H21" s="210">
        <f>+G21*F21</f>
        <v>500044</v>
      </c>
      <c r="I21" s="483"/>
    </row>
    <row r="22" spans="3:9" ht="41.4" x14ac:dyDescent="0.3">
      <c r="C22" s="206" t="s">
        <v>17</v>
      </c>
      <c r="D22" s="207" t="s">
        <v>1120</v>
      </c>
      <c r="E22" s="208" t="s">
        <v>82</v>
      </c>
      <c r="F22" s="208">
        <v>1</v>
      </c>
      <c r="G22" s="209">
        <f>+APU!G138</f>
        <v>435595</v>
      </c>
      <c r="H22" s="210">
        <f t="shared" ref="H22:H26" si="1">+G22*F22</f>
        <v>435595</v>
      </c>
      <c r="I22" s="484"/>
    </row>
    <row r="23" spans="3:9" ht="27.6" x14ac:dyDescent="0.3">
      <c r="C23" s="206" t="s">
        <v>18</v>
      </c>
      <c r="D23" s="207" t="s">
        <v>1121</v>
      </c>
      <c r="E23" s="208" t="s">
        <v>72</v>
      </c>
      <c r="F23" s="208">
        <v>250</v>
      </c>
      <c r="G23" s="209">
        <f>+APU!G57</f>
        <v>6119</v>
      </c>
      <c r="H23" s="210">
        <f t="shared" si="1"/>
        <v>1529750</v>
      </c>
      <c r="I23" s="484"/>
    </row>
    <row r="24" spans="3:9" ht="27.6" x14ac:dyDescent="0.3">
      <c r="C24" s="206" t="s">
        <v>19</v>
      </c>
      <c r="D24" s="207" t="s">
        <v>1122</v>
      </c>
      <c r="E24" s="208" t="s">
        <v>129</v>
      </c>
      <c r="F24" s="208">
        <v>360</v>
      </c>
      <c r="G24" s="209">
        <f>+APU!G29</f>
        <v>23678</v>
      </c>
      <c r="H24" s="210">
        <f t="shared" si="1"/>
        <v>8524080</v>
      </c>
      <c r="I24" s="484"/>
    </row>
    <row r="25" spans="3:9" ht="27.6" x14ac:dyDescent="0.3">
      <c r="C25" s="206" t="s">
        <v>20</v>
      </c>
      <c r="D25" s="207" t="s">
        <v>1124</v>
      </c>
      <c r="E25" s="208" t="s">
        <v>3</v>
      </c>
      <c r="F25" s="208">
        <v>2</v>
      </c>
      <c r="G25" s="209">
        <f>+APU!G249</f>
        <v>295321</v>
      </c>
      <c r="H25" s="210">
        <f t="shared" si="1"/>
        <v>590642</v>
      </c>
      <c r="I25" s="484"/>
    </row>
    <row r="26" spans="3:9" ht="27.6" x14ac:dyDescent="0.3">
      <c r="C26" s="206" t="s">
        <v>21</v>
      </c>
      <c r="D26" s="207" t="s">
        <v>1138</v>
      </c>
      <c r="E26" s="208" t="s">
        <v>3</v>
      </c>
      <c r="F26" s="208">
        <v>1</v>
      </c>
      <c r="G26" s="209">
        <f>+APU!G111</f>
        <v>524157</v>
      </c>
      <c r="H26" s="210">
        <f t="shared" si="1"/>
        <v>524157</v>
      </c>
      <c r="I26" s="484"/>
    </row>
    <row r="27" spans="3:9" ht="18" thickBot="1" x14ac:dyDescent="0.35">
      <c r="C27" s="490" t="s">
        <v>22</v>
      </c>
      <c r="D27" s="491"/>
      <c r="E27" s="491"/>
      <c r="F27" s="491"/>
      <c r="G27" s="491"/>
      <c r="H27" s="492"/>
      <c r="I27" s="485"/>
    </row>
    <row r="28" spans="3:9" ht="15" thickBot="1" x14ac:dyDescent="0.35">
      <c r="C28" s="217">
        <v>3</v>
      </c>
      <c r="D28" s="471">
        <f>SUM(H29:H33)</f>
        <v>11240433</v>
      </c>
      <c r="E28" s="472"/>
      <c r="F28" s="472"/>
      <c r="G28" s="472"/>
      <c r="H28" s="472"/>
      <c r="I28" s="473"/>
    </row>
    <row r="29" spans="3:9" ht="27.6" x14ac:dyDescent="0.3">
      <c r="C29" s="206" t="s">
        <v>23</v>
      </c>
      <c r="D29" s="207" t="s">
        <v>1119</v>
      </c>
      <c r="E29" s="208" t="s">
        <v>3</v>
      </c>
      <c r="F29" s="208">
        <v>1</v>
      </c>
      <c r="G29" s="209">
        <f>+APU!G84</f>
        <v>500044</v>
      </c>
      <c r="H29" s="210">
        <f>+G29*F29</f>
        <v>500044</v>
      </c>
      <c r="I29" s="483"/>
    </row>
    <row r="30" spans="3:9" ht="41.4" x14ac:dyDescent="0.3">
      <c r="C30" s="206" t="s">
        <v>24</v>
      </c>
      <c r="D30" s="207" t="s">
        <v>1120</v>
      </c>
      <c r="E30" s="208" t="s">
        <v>82</v>
      </c>
      <c r="F30" s="208">
        <v>1</v>
      </c>
      <c r="G30" s="209">
        <f>+APU!G138</f>
        <v>435595</v>
      </c>
      <c r="H30" s="210">
        <f t="shared" ref="H30:H33" si="2">+G30*F30</f>
        <v>435595</v>
      </c>
      <c r="I30" s="484"/>
    </row>
    <row r="31" spans="3:9" ht="27.6" x14ac:dyDescent="0.3">
      <c r="C31" s="206" t="s">
        <v>25</v>
      </c>
      <c r="D31" s="207" t="s">
        <v>1121</v>
      </c>
      <c r="E31" s="208" t="s">
        <v>72</v>
      </c>
      <c r="F31" s="208">
        <v>250</v>
      </c>
      <c r="G31" s="209">
        <f>+APU!G57</f>
        <v>6119</v>
      </c>
      <c r="H31" s="210">
        <f t="shared" si="2"/>
        <v>1529750</v>
      </c>
      <c r="I31" s="484"/>
    </row>
    <row r="32" spans="3:9" ht="27.6" x14ac:dyDescent="0.3">
      <c r="C32" s="206" t="s">
        <v>26</v>
      </c>
      <c r="D32" s="207" t="s">
        <v>1122</v>
      </c>
      <c r="E32" s="208" t="s">
        <v>129</v>
      </c>
      <c r="F32" s="208">
        <v>360</v>
      </c>
      <c r="G32" s="209">
        <f>+APU!G29</f>
        <v>23678</v>
      </c>
      <c r="H32" s="210">
        <f t="shared" si="2"/>
        <v>8524080</v>
      </c>
      <c r="I32" s="484"/>
    </row>
    <row r="33" spans="3:9" ht="43.5" customHeight="1" thickBot="1" x14ac:dyDescent="0.35">
      <c r="C33" s="211" t="s">
        <v>27</v>
      </c>
      <c r="D33" s="212" t="s">
        <v>1123</v>
      </c>
      <c r="E33" s="213" t="s">
        <v>3</v>
      </c>
      <c r="F33" s="213">
        <v>2</v>
      </c>
      <c r="G33" s="214">
        <f>+APU!G166</f>
        <v>125482</v>
      </c>
      <c r="H33" s="215">
        <f t="shared" si="2"/>
        <v>250964</v>
      </c>
      <c r="I33" s="484"/>
    </row>
    <row r="34" spans="3:9" ht="18" thickBot="1" x14ac:dyDescent="0.35">
      <c r="C34" s="474" t="s">
        <v>28</v>
      </c>
      <c r="D34" s="480"/>
      <c r="E34" s="480"/>
      <c r="F34" s="480"/>
      <c r="G34" s="480"/>
      <c r="H34" s="481"/>
      <c r="I34" s="485"/>
    </row>
    <row r="35" spans="3:9" ht="15" thickBot="1" x14ac:dyDescent="0.35">
      <c r="C35" s="216">
        <v>4</v>
      </c>
      <c r="D35" s="471">
        <f>SUM(H36:H38)</f>
        <v>1459796</v>
      </c>
      <c r="E35" s="482"/>
      <c r="F35" s="482"/>
      <c r="G35" s="482"/>
      <c r="H35" s="482"/>
      <c r="I35" s="479"/>
    </row>
    <row r="36" spans="3:9" ht="27.6" x14ac:dyDescent="0.3">
      <c r="C36" s="206" t="s">
        <v>29</v>
      </c>
      <c r="D36" s="207" t="s">
        <v>1119</v>
      </c>
      <c r="E36" s="208" t="s">
        <v>3</v>
      </c>
      <c r="F36" s="208">
        <v>1</v>
      </c>
      <c r="G36" s="209">
        <f>+APU!G84</f>
        <v>500044</v>
      </c>
      <c r="H36" s="210">
        <f>+G36*F36</f>
        <v>500044</v>
      </c>
      <c r="I36" s="483"/>
    </row>
    <row r="37" spans="3:9" ht="41.4" x14ac:dyDescent="0.3">
      <c r="C37" s="206" t="s">
        <v>30</v>
      </c>
      <c r="D37" s="207" t="s">
        <v>1120</v>
      </c>
      <c r="E37" s="208" t="s">
        <v>82</v>
      </c>
      <c r="F37" s="208">
        <v>1</v>
      </c>
      <c r="G37" s="209">
        <f>+APU!G138</f>
        <v>435595</v>
      </c>
      <c r="H37" s="210">
        <f t="shared" ref="H37:H38" si="3">+G37*F37</f>
        <v>435595</v>
      </c>
      <c r="I37" s="484"/>
    </row>
    <row r="38" spans="3:9" ht="28.2" thickBot="1" x14ac:dyDescent="0.35">
      <c r="C38" s="211" t="s">
        <v>31</v>
      </c>
      <c r="D38" s="212" t="s">
        <v>1138</v>
      </c>
      <c r="E38" s="213" t="s">
        <v>3</v>
      </c>
      <c r="F38" s="213">
        <v>1</v>
      </c>
      <c r="G38" s="214">
        <f>+APU!G111</f>
        <v>524157</v>
      </c>
      <c r="H38" s="215">
        <f t="shared" si="3"/>
        <v>524157</v>
      </c>
      <c r="I38" s="484"/>
    </row>
    <row r="39" spans="3:9" ht="18" thickBot="1" x14ac:dyDescent="0.35">
      <c r="C39" s="474" t="s">
        <v>38</v>
      </c>
      <c r="D39" s="475"/>
      <c r="E39" s="475"/>
      <c r="F39" s="475"/>
      <c r="G39" s="475"/>
      <c r="H39" s="476"/>
      <c r="I39" s="223"/>
    </row>
    <row r="40" spans="3:9" ht="15" thickBot="1" x14ac:dyDescent="0.35">
      <c r="C40" s="217">
        <v>5</v>
      </c>
      <c r="D40" s="477">
        <f>SUM(H41:H46)</f>
        <v>13528915</v>
      </c>
      <c r="E40" s="478"/>
      <c r="F40" s="478"/>
      <c r="G40" s="478"/>
      <c r="H40" s="478"/>
      <c r="I40" s="479"/>
    </row>
    <row r="41" spans="3:9" ht="27.6" x14ac:dyDescent="0.3">
      <c r="C41" s="206" t="s">
        <v>32</v>
      </c>
      <c r="D41" s="207" t="s">
        <v>1119</v>
      </c>
      <c r="E41" s="208" t="s">
        <v>3</v>
      </c>
      <c r="F41" s="208">
        <v>1</v>
      </c>
      <c r="G41" s="209">
        <f>+APU!G84</f>
        <v>500044</v>
      </c>
      <c r="H41" s="210">
        <f>+G41*F41</f>
        <v>500044</v>
      </c>
      <c r="I41" s="483"/>
    </row>
    <row r="42" spans="3:9" ht="41.4" x14ac:dyDescent="0.3">
      <c r="C42" s="206" t="s">
        <v>33</v>
      </c>
      <c r="D42" s="207" t="s">
        <v>1120</v>
      </c>
      <c r="E42" s="208" t="s">
        <v>82</v>
      </c>
      <c r="F42" s="208">
        <v>1</v>
      </c>
      <c r="G42" s="209">
        <f>+APU!G138</f>
        <v>435595</v>
      </c>
      <c r="H42" s="210">
        <f t="shared" ref="H42:H46" si="4">+G42*F42</f>
        <v>435595</v>
      </c>
      <c r="I42" s="484"/>
    </row>
    <row r="43" spans="3:9" ht="27.6" x14ac:dyDescent="0.3">
      <c r="C43" s="206" t="s">
        <v>34</v>
      </c>
      <c r="D43" s="207" t="s">
        <v>1121</v>
      </c>
      <c r="E43" s="208" t="s">
        <v>72</v>
      </c>
      <c r="F43" s="208">
        <v>250</v>
      </c>
      <c r="G43" s="209">
        <f>+APU!G57</f>
        <v>6119</v>
      </c>
      <c r="H43" s="210">
        <f t="shared" si="4"/>
        <v>1529750</v>
      </c>
      <c r="I43" s="484"/>
    </row>
    <row r="44" spans="3:9" ht="27.6" x14ac:dyDescent="0.3">
      <c r="C44" s="206" t="s">
        <v>35</v>
      </c>
      <c r="D44" s="207" t="s">
        <v>1122</v>
      </c>
      <c r="E44" s="208" t="s">
        <v>129</v>
      </c>
      <c r="F44" s="208">
        <v>360</v>
      </c>
      <c r="G44" s="209">
        <f>+APU!G29</f>
        <v>23678</v>
      </c>
      <c r="H44" s="210">
        <f t="shared" si="4"/>
        <v>8524080</v>
      </c>
      <c r="I44" s="484"/>
    </row>
    <row r="45" spans="3:9" ht="41.4" x14ac:dyDescent="0.3">
      <c r="C45" s="206" t="s">
        <v>36</v>
      </c>
      <c r="D45" s="207" t="s">
        <v>1126</v>
      </c>
      <c r="E45" s="208" t="s">
        <v>3</v>
      </c>
      <c r="F45" s="208">
        <v>1</v>
      </c>
      <c r="G45" s="209">
        <f>+APU!G195</f>
        <v>2288482</v>
      </c>
      <c r="H45" s="210">
        <f t="shared" si="4"/>
        <v>2288482</v>
      </c>
      <c r="I45" s="484"/>
    </row>
    <row r="46" spans="3:9" ht="28.2" thickBot="1" x14ac:dyDescent="0.35">
      <c r="C46" s="211" t="s">
        <v>37</v>
      </c>
      <c r="D46" s="212" t="s">
        <v>1123</v>
      </c>
      <c r="E46" s="213" t="s">
        <v>3</v>
      </c>
      <c r="F46" s="213">
        <v>2</v>
      </c>
      <c r="G46" s="214">
        <f>+APU!G166</f>
        <v>125482</v>
      </c>
      <c r="H46" s="215">
        <f t="shared" si="4"/>
        <v>250964</v>
      </c>
      <c r="I46" s="484"/>
    </row>
    <row r="47" spans="3:9" ht="18" thickBot="1" x14ac:dyDescent="0.35">
      <c r="C47" s="474" t="s">
        <v>45</v>
      </c>
      <c r="D47" s="475"/>
      <c r="E47" s="475"/>
      <c r="F47" s="475"/>
      <c r="G47" s="475"/>
      <c r="H47" s="476"/>
      <c r="I47" s="485"/>
    </row>
    <row r="48" spans="3:9" ht="15" thickBot="1" x14ac:dyDescent="0.35">
      <c r="C48" s="219">
        <v>6</v>
      </c>
      <c r="D48" s="471">
        <f>SUM(H49:H54)</f>
        <v>11764590</v>
      </c>
      <c r="E48" s="482"/>
      <c r="F48" s="482"/>
      <c r="G48" s="482"/>
      <c r="H48" s="482"/>
      <c r="I48" s="479"/>
    </row>
    <row r="49" spans="3:9" ht="27.6" x14ac:dyDescent="0.3">
      <c r="C49" s="206" t="s">
        <v>39</v>
      </c>
      <c r="D49" s="207" t="s">
        <v>1119</v>
      </c>
      <c r="E49" s="208" t="s">
        <v>3</v>
      </c>
      <c r="F49" s="208">
        <v>1</v>
      </c>
      <c r="G49" s="209">
        <f>+APU!G84</f>
        <v>500044</v>
      </c>
      <c r="H49" s="210">
        <f>+G49*F49</f>
        <v>500044</v>
      </c>
      <c r="I49" s="483"/>
    </row>
    <row r="50" spans="3:9" ht="41.4" x14ac:dyDescent="0.3">
      <c r="C50" s="206" t="s">
        <v>40</v>
      </c>
      <c r="D50" s="207" t="s">
        <v>1120</v>
      </c>
      <c r="E50" s="208" t="s">
        <v>82</v>
      </c>
      <c r="F50" s="208">
        <v>1</v>
      </c>
      <c r="G50" s="209">
        <f>+APU!G138</f>
        <v>435595</v>
      </c>
      <c r="H50" s="210">
        <f t="shared" ref="H50:H54" si="5">+G50*F50</f>
        <v>435595</v>
      </c>
      <c r="I50" s="484"/>
    </row>
    <row r="51" spans="3:9" ht="27.6" x14ac:dyDescent="0.3">
      <c r="C51" s="206" t="s">
        <v>41</v>
      </c>
      <c r="D51" s="207" t="s">
        <v>1121</v>
      </c>
      <c r="E51" s="208" t="s">
        <v>72</v>
      </c>
      <c r="F51" s="208">
        <v>250</v>
      </c>
      <c r="G51" s="209">
        <f>+APU!G57</f>
        <v>6119</v>
      </c>
      <c r="H51" s="210">
        <f t="shared" si="5"/>
        <v>1529750</v>
      </c>
      <c r="I51" s="484"/>
    </row>
    <row r="52" spans="3:9" ht="27.6" x14ac:dyDescent="0.3">
      <c r="C52" s="206" t="s">
        <v>42</v>
      </c>
      <c r="D52" s="207" t="s">
        <v>1122</v>
      </c>
      <c r="E52" s="208" t="s">
        <v>129</v>
      </c>
      <c r="F52" s="208">
        <v>360</v>
      </c>
      <c r="G52" s="209">
        <f>+APU!G29</f>
        <v>23678</v>
      </c>
      <c r="H52" s="210">
        <f t="shared" si="5"/>
        <v>8524080</v>
      </c>
      <c r="I52" s="484"/>
    </row>
    <row r="53" spans="3:9" ht="27.6" x14ac:dyDescent="0.3">
      <c r="C53" s="206" t="s">
        <v>43</v>
      </c>
      <c r="D53" s="207" t="s">
        <v>1138</v>
      </c>
      <c r="E53" s="208" t="s">
        <v>3</v>
      </c>
      <c r="F53" s="208">
        <v>1</v>
      </c>
      <c r="G53" s="209">
        <f>+APU!G111</f>
        <v>524157</v>
      </c>
      <c r="H53" s="210">
        <f t="shared" si="5"/>
        <v>524157</v>
      </c>
      <c r="I53" s="484"/>
    </row>
    <row r="54" spans="3:9" ht="28.2" thickBot="1" x14ac:dyDescent="0.35">
      <c r="C54" s="211" t="s">
        <v>44</v>
      </c>
      <c r="D54" s="212" t="s">
        <v>1123</v>
      </c>
      <c r="E54" s="213" t="s">
        <v>3</v>
      </c>
      <c r="F54" s="213">
        <v>2</v>
      </c>
      <c r="G54" s="214">
        <f>+APU!G166</f>
        <v>125482</v>
      </c>
      <c r="H54" s="215">
        <f t="shared" si="5"/>
        <v>250964</v>
      </c>
      <c r="I54" s="484"/>
    </row>
    <row r="55" spans="3:9" ht="18" thickBot="1" x14ac:dyDescent="0.35">
      <c r="C55" s="474" t="s">
        <v>52</v>
      </c>
      <c r="D55" s="480"/>
      <c r="E55" s="480"/>
      <c r="F55" s="480"/>
      <c r="G55" s="480"/>
      <c r="H55" s="481"/>
      <c r="I55" s="485"/>
    </row>
    <row r="56" spans="3:9" ht="15" thickBot="1" x14ac:dyDescent="0.35">
      <c r="C56" s="217">
        <v>7</v>
      </c>
      <c r="D56" s="471">
        <f>SUM(H57:H62)</f>
        <v>11831075</v>
      </c>
      <c r="E56" s="472"/>
      <c r="F56" s="472"/>
      <c r="G56" s="472"/>
      <c r="H56" s="472"/>
      <c r="I56" s="473"/>
    </row>
    <row r="57" spans="3:9" ht="27.6" x14ac:dyDescent="0.3">
      <c r="C57" s="206" t="s">
        <v>46</v>
      </c>
      <c r="D57" s="207" t="s">
        <v>1119</v>
      </c>
      <c r="E57" s="208" t="s">
        <v>3</v>
      </c>
      <c r="F57" s="208">
        <v>1</v>
      </c>
      <c r="G57" s="209">
        <f>+APU!G84</f>
        <v>500044</v>
      </c>
      <c r="H57" s="210">
        <f>+G57*F57</f>
        <v>500044</v>
      </c>
      <c r="I57" s="483"/>
    </row>
    <row r="58" spans="3:9" ht="41.4" x14ac:dyDescent="0.3">
      <c r="C58" s="206" t="s">
        <v>47</v>
      </c>
      <c r="D58" s="207" t="s">
        <v>1120</v>
      </c>
      <c r="E58" s="208" t="s">
        <v>82</v>
      </c>
      <c r="F58" s="208">
        <v>1</v>
      </c>
      <c r="G58" s="209">
        <f>+APU!G138</f>
        <v>435595</v>
      </c>
      <c r="H58" s="210">
        <f t="shared" ref="H58:H62" si="6">+G58*F58</f>
        <v>435595</v>
      </c>
      <c r="I58" s="484"/>
    </row>
    <row r="59" spans="3:9" ht="27.6" x14ac:dyDescent="0.3">
      <c r="C59" s="206" t="s">
        <v>48</v>
      </c>
      <c r="D59" s="207" t="s">
        <v>1121</v>
      </c>
      <c r="E59" s="208" t="s">
        <v>72</v>
      </c>
      <c r="F59" s="208">
        <v>250</v>
      </c>
      <c r="G59" s="209">
        <f>+APU!G57</f>
        <v>6119</v>
      </c>
      <c r="H59" s="210">
        <f t="shared" si="6"/>
        <v>1529750</v>
      </c>
      <c r="I59" s="484"/>
    </row>
    <row r="60" spans="3:9" ht="27.6" x14ac:dyDescent="0.3">
      <c r="C60" s="206" t="s">
        <v>49</v>
      </c>
      <c r="D60" s="207" t="s">
        <v>1122</v>
      </c>
      <c r="E60" s="208" t="s">
        <v>129</v>
      </c>
      <c r="F60" s="208">
        <v>360</v>
      </c>
      <c r="G60" s="209">
        <f>+APU!G29</f>
        <v>23678</v>
      </c>
      <c r="H60" s="210">
        <f t="shared" si="6"/>
        <v>8524080</v>
      </c>
      <c r="I60" s="484"/>
    </row>
    <row r="61" spans="3:9" ht="27.6" x14ac:dyDescent="0.3">
      <c r="C61" s="206" t="s">
        <v>50</v>
      </c>
      <c r="D61" s="207" t="s">
        <v>1124</v>
      </c>
      <c r="E61" s="208" t="s">
        <v>3</v>
      </c>
      <c r="F61" s="208">
        <v>2</v>
      </c>
      <c r="G61" s="209">
        <f>+APU!G249</f>
        <v>295321</v>
      </c>
      <c r="H61" s="210">
        <f t="shared" si="6"/>
        <v>590642</v>
      </c>
      <c r="I61" s="484"/>
    </row>
    <row r="62" spans="3:9" ht="28.8" thickBot="1" x14ac:dyDescent="0.35">
      <c r="C62" s="211" t="s">
        <v>51</v>
      </c>
      <c r="D62" s="224" t="s">
        <v>1123</v>
      </c>
      <c r="E62" s="213" t="s">
        <v>3</v>
      </c>
      <c r="F62" s="213">
        <v>2</v>
      </c>
      <c r="G62" s="214">
        <f>+APU!G166</f>
        <v>125482</v>
      </c>
      <c r="H62" s="215">
        <f t="shared" si="6"/>
        <v>250964</v>
      </c>
      <c r="I62" s="484"/>
    </row>
    <row r="63" spans="3:9" ht="18" thickBot="1" x14ac:dyDescent="0.35">
      <c r="C63" s="474" t="s">
        <v>74</v>
      </c>
      <c r="D63" s="475"/>
      <c r="E63" s="475"/>
      <c r="F63" s="475"/>
      <c r="G63" s="475"/>
      <c r="H63" s="476"/>
      <c r="I63" s="485"/>
    </row>
    <row r="64" spans="3:9" ht="15" thickBot="1" x14ac:dyDescent="0.35">
      <c r="C64" s="217">
        <v>8</v>
      </c>
      <c r="D64" s="477">
        <f>SUM(H65:H70)</f>
        <v>9633570</v>
      </c>
      <c r="E64" s="478"/>
      <c r="F64" s="478"/>
      <c r="G64" s="478"/>
      <c r="H64" s="478"/>
      <c r="I64" s="479"/>
    </row>
    <row r="65" spans="3:9" ht="27.6" x14ac:dyDescent="0.3">
      <c r="C65" s="206" t="s">
        <v>53</v>
      </c>
      <c r="D65" s="207" t="s">
        <v>1119</v>
      </c>
      <c r="E65" s="208" t="s">
        <v>3</v>
      </c>
      <c r="F65" s="208">
        <v>1</v>
      </c>
      <c r="G65" s="209">
        <f>+APU!G84</f>
        <v>500044</v>
      </c>
      <c r="H65" s="210">
        <f>+G65*F65</f>
        <v>500044</v>
      </c>
      <c r="I65" s="483"/>
    </row>
    <row r="66" spans="3:9" ht="41.4" x14ac:dyDescent="0.3">
      <c r="C66" s="206" t="s">
        <v>54</v>
      </c>
      <c r="D66" s="207" t="s">
        <v>1120</v>
      </c>
      <c r="E66" s="208" t="s">
        <v>82</v>
      </c>
      <c r="F66" s="208">
        <v>1</v>
      </c>
      <c r="G66" s="209">
        <f>+APU!G138</f>
        <v>435595</v>
      </c>
      <c r="H66" s="210">
        <f t="shared" ref="H66:H70" si="7">+G66*F66</f>
        <v>435595</v>
      </c>
      <c r="I66" s="484"/>
    </row>
    <row r="67" spans="3:9" ht="27.6" x14ac:dyDescent="0.3">
      <c r="C67" s="206" t="s">
        <v>55</v>
      </c>
      <c r="D67" s="207" t="s">
        <v>1121</v>
      </c>
      <c r="E67" s="208" t="s">
        <v>72</v>
      </c>
      <c r="F67" s="208">
        <v>250</v>
      </c>
      <c r="G67" s="209">
        <f>+APU!G57</f>
        <v>6119</v>
      </c>
      <c r="H67" s="210">
        <f t="shared" si="7"/>
        <v>1529750</v>
      </c>
      <c r="I67" s="484"/>
    </row>
    <row r="68" spans="3:9" ht="27.6" x14ac:dyDescent="0.3">
      <c r="C68" s="206" t="s">
        <v>56</v>
      </c>
      <c r="D68" s="207" t="s">
        <v>1122</v>
      </c>
      <c r="E68" s="208" t="s">
        <v>129</v>
      </c>
      <c r="F68" s="208">
        <v>270</v>
      </c>
      <c r="G68" s="209">
        <f>+APU!G29</f>
        <v>23678</v>
      </c>
      <c r="H68" s="210">
        <f t="shared" si="7"/>
        <v>6393060</v>
      </c>
      <c r="I68" s="484"/>
    </row>
    <row r="69" spans="3:9" ht="28.2" x14ac:dyDescent="0.3">
      <c r="C69" s="206" t="s">
        <v>57</v>
      </c>
      <c r="D69" s="224" t="s">
        <v>1123</v>
      </c>
      <c r="E69" s="208" t="s">
        <v>3</v>
      </c>
      <c r="F69" s="208">
        <v>2</v>
      </c>
      <c r="G69" s="209">
        <f>+APU!G166</f>
        <v>125482</v>
      </c>
      <c r="H69" s="210">
        <f t="shared" si="7"/>
        <v>250964</v>
      </c>
      <c r="I69" s="484"/>
    </row>
    <row r="70" spans="3:9" ht="28.2" thickBot="1" x14ac:dyDescent="0.35">
      <c r="C70" s="211" t="s">
        <v>58</v>
      </c>
      <c r="D70" s="212" t="s">
        <v>1138</v>
      </c>
      <c r="E70" s="213" t="s">
        <v>3</v>
      </c>
      <c r="F70" s="213">
        <v>1</v>
      </c>
      <c r="G70" s="214">
        <f>+APU!G111</f>
        <v>524157</v>
      </c>
      <c r="H70" s="215">
        <f t="shared" si="7"/>
        <v>524157</v>
      </c>
      <c r="I70" s="484"/>
    </row>
    <row r="71" spans="3:9" ht="18" thickBot="1" x14ac:dyDescent="0.35">
      <c r="C71" s="474" t="s">
        <v>75</v>
      </c>
      <c r="D71" s="475"/>
      <c r="E71" s="475"/>
      <c r="F71" s="475"/>
      <c r="G71" s="475"/>
      <c r="H71" s="476"/>
      <c r="I71" s="485"/>
    </row>
    <row r="72" spans="3:9" ht="15" thickBot="1" x14ac:dyDescent="0.35">
      <c r="C72" s="217">
        <v>9</v>
      </c>
      <c r="D72" s="471">
        <f>SUM(H73:H76)</f>
        <v>2050438</v>
      </c>
      <c r="E72" s="482"/>
      <c r="F72" s="482"/>
      <c r="G72" s="482"/>
      <c r="H72" s="482"/>
      <c r="I72" s="479"/>
    </row>
    <row r="73" spans="3:9" ht="27.6" x14ac:dyDescent="0.3">
      <c r="C73" s="206" t="s">
        <v>59</v>
      </c>
      <c r="D73" s="207" t="s">
        <v>1119</v>
      </c>
      <c r="E73" s="208" t="s">
        <v>3</v>
      </c>
      <c r="F73" s="208">
        <v>1</v>
      </c>
      <c r="G73" s="209">
        <f>+APU!G84</f>
        <v>500044</v>
      </c>
      <c r="H73" s="210">
        <f>+G73*F73</f>
        <v>500044</v>
      </c>
      <c r="I73" s="483"/>
    </row>
    <row r="74" spans="3:9" ht="41.4" x14ac:dyDescent="0.3">
      <c r="C74" s="206" t="s">
        <v>60</v>
      </c>
      <c r="D74" s="207" t="s">
        <v>1120</v>
      </c>
      <c r="E74" s="208" t="s">
        <v>82</v>
      </c>
      <c r="F74" s="208">
        <v>1</v>
      </c>
      <c r="G74" s="209">
        <f>+APU!G138</f>
        <v>435595</v>
      </c>
      <c r="H74" s="210">
        <f t="shared" ref="H74:H76" si="8">+G74*F74</f>
        <v>435595</v>
      </c>
      <c r="I74" s="484"/>
    </row>
    <row r="75" spans="3:9" ht="27.6" x14ac:dyDescent="0.3">
      <c r="C75" s="206" t="s">
        <v>61</v>
      </c>
      <c r="D75" s="207" t="s">
        <v>1124</v>
      </c>
      <c r="E75" s="208" t="s">
        <v>3</v>
      </c>
      <c r="F75" s="208">
        <v>2</v>
      </c>
      <c r="G75" s="209">
        <f>+APU!G249</f>
        <v>295321</v>
      </c>
      <c r="H75" s="210">
        <f t="shared" si="8"/>
        <v>590642</v>
      </c>
      <c r="I75" s="484"/>
    </row>
    <row r="76" spans="3:9" ht="28.2" thickBot="1" x14ac:dyDescent="0.35">
      <c r="C76" s="211" t="s">
        <v>62</v>
      </c>
      <c r="D76" s="212" t="s">
        <v>1138</v>
      </c>
      <c r="E76" s="213" t="s">
        <v>3</v>
      </c>
      <c r="F76" s="213">
        <v>1</v>
      </c>
      <c r="G76" s="214">
        <f>+APU!G111</f>
        <v>524157</v>
      </c>
      <c r="H76" s="215">
        <f t="shared" si="8"/>
        <v>524157</v>
      </c>
      <c r="I76" s="484"/>
    </row>
    <row r="77" spans="3:9" ht="18" thickBot="1" x14ac:dyDescent="0.35">
      <c r="C77" s="474" t="s">
        <v>76</v>
      </c>
      <c r="D77" s="475"/>
      <c r="E77" s="475"/>
      <c r="F77" s="475"/>
      <c r="G77" s="475"/>
      <c r="H77" s="476"/>
      <c r="I77" s="485"/>
    </row>
    <row r="78" spans="3:9" ht="15" thickBot="1" x14ac:dyDescent="0.35">
      <c r="C78" s="217">
        <v>10</v>
      </c>
      <c r="D78" s="477">
        <f>SUM(H79:H83)</f>
        <v>11513626</v>
      </c>
      <c r="E78" s="478"/>
      <c r="F78" s="478"/>
      <c r="G78" s="478"/>
      <c r="H78" s="478"/>
      <c r="I78" s="479"/>
    </row>
    <row r="79" spans="3:9" ht="27.6" x14ac:dyDescent="0.3">
      <c r="C79" s="206" t="s">
        <v>63</v>
      </c>
      <c r="D79" s="207" t="s">
        <v>1119</v>
      </c>
      <c r="E79" s="208" t="s">
        <v>3</v>
      </c>
      <c r="F79" s="208">
        <v>1</v>
      </c>
      <c r="G79" s="209">
        <f>+APU!G84</f>
        <v>500044</v>
      </c>
      <c r="H79" s="210">
        <f>+G79*F79</f>
        <v>500044</v>
      </c>
      <c r="I79" s="483"/>
    </row>
    <row r="80" spans="3:9" ht="41.4" x14ac:dyDescent="0.3">
      <c r="C80" s="206" t="s">
        <v>64</v>
      </c>
      <c r="D80" s="207" t="s">
        <v>1120</v>
      </c>
      <c r="E80" s="208" t="s">
        <v>82</v>
      </c>
      <c r="F80" s="208">
        <v>1</v>
      </c>
      <c r="G80" s="209">
        <f>+APU!G138</f>
        <v>435595</v>
      </c>
      <c r="H80" s="210">
        <f t="shared" ref="H80:H83" si="9">+G80*F80</f>
        <v>435595</v>
      </c>
      <c r="I80" s="484"/>
    </row>
    <row r="81" spans="3:9" ht="27.6" x14ac:dyDescent="0.3">
      <c r="C81" s="206" t="s">
        <v>65</v>
      </c>
      <c r="D81" s="207" t="s">
        <v>1122</v>
      </c>
      <c r="E81" s="208" t="s">
        <v>129</v>
      </c>
      <c r="F81" s="208">
        <v>360</v>
      </c>
      <c r="G81" s="209">
        <f>+APU!G29</f>
        <v>23678</v>
      </c>
      <c r="H81" s="210">
        <f t="shared" si="9"/>
        <v>8524080</v>
      </c>
      <c r="I81" s="484"/>
    </row>
    <row r="82" spans="3:9" ht="27.6" x14ac:dyDescent="0.3">
      <c r="C82" s="206" t="s">
        <v>66</v>
      </c>
      <c r="D82" s="207" t="s">
        <v>1121</v>
      </c>
      <c r="E82" s="208" t="s">
        <v>72</v>
      </c>
      <c r="F82" s="208">
        <v>250</v>
      </c>
      <c r="G82" s="209">
        <f>+APU!G57</f>
        <v>6119</v>
      </c>
      <c r="H82" s="210">
        <f t="shared" si="9"/>
        <v>1529750</v>
      </c>
      <c r="I82" s="484"/>
    </row>
    <row r="83" spans="3:9" ht="28.2" thickBot="1" x14ac:dyDescent="0.35">
      <c r="C83" s="211" t="s">
        <v>85</v>
      </c>
      <c r="D83" s="212" t="s">
        <v>1138</v>
      </c>
      <c r="E83" s="213" t="s">
        <v>3</v>
      </c>
      <c r="F83" s="213">
        <v>1</v>
      </c>
      <c r="G83" s="214">
        <f>+APU!G111</f>
        <v>524157</v>
      </c>
      <c r="H83" s="215">
        <f t="shared" si="9"/>
        <v>524157</v>
      </c>
      <c r="I83" s="484"/>
    </row>
    <row r="84" spans="3:9" ht="18" thickBot="1" x14ac:dyDescent="0.35">
      <c r="C84" s="474" t="s">
        <v>77</v>
      </c>
      <c r="D84" s="475"/>
      <c r="E84" s="475"/>
      <c r="F84" s="475"/>
      <c r="G84" s="475"/>
      <c r="H84" s="476"/>
      <c r="I84" s="485"/>
    </row>
    <row r="85" spans="3:9" ht="15" thickBot="1" x14ac:dyDescent="0.35">
      <c r="C85" s="217">
        <v>11</v>
      </c>
      <c r="D85" s="477">
        <f>SUM(H86:H91)</f>
        <v>13838643</v>
      </c>
      <c r="E85" s="478"/>
      <c r="F85" s="478"/>
      <c r="G85" s="478"/>
      <c r="H85" s="478"/>
      <c r="I85" s="479"/>
    </row>
    <row r="86" spans="3:9" ht="27.6" x14ac:dyDescent="0.3">
      <c r="C86" s="220" t="s">
        <v>67</v>
      </c>
      <c r="D86" s="207" t="s">
        <v>1119</v>
      </c>
      <c r="E86" s="208" t="s">
        <v>3</v>
      </c>
      <c r="F86" s="208">
        <v>1</v>
      </c>
      <c r="G86" s="209">
        <v>252844</v>
      </c>
      <c r="H86" s="210">
        <f>+G86*F86</f>
        <v>252844</v>
      </c>
      <c r="I86" s="483"/>
    </row>
    <row r="87" spans="3:9" ht="41.4" x14ac:dyDescent="0.3">
      <c r="C87" s="206" t="s">
        <v>68</v>
      </c>
      <c r="D87" s="207" t="s">
        <v>1120</v>
      </c>
      <c r="E87" s="208" t="s">
        <v>82</v>
      </c>
      <c r="F87" s="208">
        <v>1</v>
      </c>
      <c r="G87" s="209">
        <f>+APU!G138</f>
        <v>435595</v>
      </c>
      <c r="H87" s="210">
        <f t="shared" ref="H87:H91" si="10">+G87*F87</f>
        <v>435595</v>
      </c>
      <c r="I87" s="484"/>
    </row>
    <row r="88" spans="3:9" ht="27.6" x14ac:dyDescent="0.3">
      <c r="C88" s="206" t="s">
        <v>69</v>
      </c>
      <c r="D88" s="207" t="s">
        <v>1121</v>
      </c>
      <c r="E88" s="208" t="s">
        <v>72</v>
      </c>
      <c r="F88" s="208">
        <v>250</v>
      </c>
      <c r="G88" s="209">
        <f>+APU!G57</f>
        <v>6119</v>
      </c>
      <c r="H88" s="210">
        <f t="shared" si="10"/>
        <v>1529750</v>
      </c>
      <c r="I88" s="484"/>
    </row>
    <row r="89" spans="3:9" ht="27.6" x14ac:dyDescent="0.3">
      <c r="C89" s="206" t="s">
        <v>70</v>
      </c>
      <c r="D89" s="207" t="s">
        <v>1122</v>
      </c>
      <c r="E89" s="208" t="s">
        <v>129</v>
      </c>
      <c r="F89" s="208">
        <v>360</v>
      </c>
      <c r="G89" s="209">
        <f>+APU!G29</f>
        <v>23678</v>
      </c>
      <c r="H89" s="210">
        <f t="shared" si="10"/>
        <v>8524080</v>
      </c>
      <c r="I89" s="484"/>
    </row>
    <row r="90" spans="3:9" ht="41.4" x14ac:dyDescent="0.3">
      <c r="C90" s="206" t="s">
        <v>71</v>
      </c>
      <c r="D90" s="207" t="s">
        <v>1127</v>
      </c>
      <c r="E90" s="208" t="s">
        <v>72</v>
      </c>
      <c r="F90" s="208">
        <v>30</v>
      </c>
      <c r="G90" s="209">
        <f>+APU!G222</f>
        <v>94847</v>
      </c>
      <c r="H90" s="210">
        <f t="shared" si="10"/>
        <v>2845410</v>
      </c>
      <c r="I90" s="484"/>
    </row>
    <row r="91" spans="3:9" ht="48" customHeight="1" thickBot="1" x14ac:dyDescent="0.35">
      <c r="C91" s="211" t="s">
        <v>73</v>
      </c>
      <c r="D91" s="212" t="s">
        <v>1123</v>
      </c>
      <c r="E91" s="213" t="s">
        <v>3</v>
      </c>
      <c r="F91" s="213">
        <v>2</v>
      </c>
      <c r="G91" s="214">
        <f>+APU!G166</f>
        <v>125482</v>
      </c>
      <c r="H91" s="215">
        <f t="shared" si="10"/>
        <v>250964</v>
      </c>
      <c r="I91" s="484"/>
    </row>
    <row r="92" spans="3:9" ht="18" thickBot="1" x14ac:dyDescent="0.35">
      <c r="C92" s="474" t="s">
        <v>81</v>
      </c>
      <c r="D92" s="480"/>
      <c r="E92" s="480"/>
      <c r="F92" s="480"/>
      <c r="G92" s="480"/>
      <c r="H92" s="481"/>
      <c r="I92" s="485"/>
    </row>
    <row r="93" spans="3:9" ht="15" thickBot="1" x14ac:dyDescent="0.35">
      <c r="C93" s="217">
        <v>12</v>
      </c>
      <c r="D93" s="471">
        <f>SUM(H94:H96)</f>
        <v>3078108</v>
      </c>
      <c r="E93" s="482"/>
      <c r="F93" s="482"/>
      <c r="G93" s="482"/>
      <c r="H93" s="482"/>
      <c r="I93" s="479"/>
    </row>
    <row r="94" spans="3:9" ht="27.6" x14ac:dyDescent="0.3">
      <c r="C94" s="220" t="s">
        <v>78</v>
      </c>
      <c r="D94" s="207" t="s">
        <v>1119</v>
      </c>
      <c r="E94" s="208" t="s">
        <v>3</v>
      </c>
      <c r="F94" s="208">
        <v>1</v>
      </c>
      <c r="G94" s="209">
        <f>+APU!G84</f>
        <v>500044</v>
      </c>
      <c r="H94" s="210">
        <f>+G94*F94</f>
        <v>500044</v>
      </c>
      <c r="I94" s="502"/>
    </row>
    <row r="95" spans="3:9" ht="27.6" x14ac:dyDescent="0.3">
      <c r="C95" s="206" t="s">
        <v>79</v>
      </c>
      <c r="D95" s="207" t="s">
        <v>1138</v>
      </c>
      <c r="E95" s="208" t="s">
        <v>3</v>
      </c>
      <c r="F95" s="208">
        <v>2</v>
      </c>
      <c r="G95" s="209">
        <f>+APU!G111</f>
        <v>524157</v>
      </c>
      <c r="H95" s="210">
        <f>+G95*F95</f>
        <v>1048314</v>
      </c>
      <c r="I95" s="503"/>
    </row>
    <row r="96" spans="3:9" ht="28.2" thickBot="1" x14ac:dyDescent="0.35">
      <c r="C96" s="211" t="s">
        <v>80</v>
      </c>
      <c r="D96" s="212" t="s">
        <v>1121</v>
      </c>
      <c r="E96" s="213" t="s">
        <v>72</v>
      </c>
      <c r="F96" s="213">
        <v>250</v>
      </c>
      <c r="G96" s="214">
        <f>+APU!G57</f>
        <v>6119</v>
      </c>
      <c r="H96" s="215">
        <f t="shared" ref="H96" si="11">+G96*F96</f>
        <v>1529750</v>
      </c>
      <c r="I96" s="503"/>
    </row>
    <row r="97" spans="3:9" ht="15" thickBot="1" x14ac:dyDescent="0.35">
      <c r="C97" s="506"/>
      <c r="D97" s="507"/>
      <c r="E97" s="507"/>
      <c r="F97" s="507"/>
      <c r="G97" s="507"/>
      <c r="H97" s="508"/>
      <c r="I97" s="503"/>
    </row>
    <row r="98" spans="3:9" ht="15" thickBot="1" x14ac:dyDescent="0.35">
      <c r="C98" s="499"/>
      <c r="D98" s="505"/>
      <c r="E98" s="505"/>
      <c r="F98" s="505"/>
      <c r="G98" s="505"/>
      <c r="H98" s="505"/>
      <c r="I98" s="503"/>
    </row>
    <row r="99" spans="3:9" ht="22.2" customHeight="1" thickBot="1" x14ac:dyDescent="0.35">
      <c r="C99" s="500"/>
      <c r="D99" s="454" t="s">
        <v>1133</v>
      </c>
      <c r="E99" s="455"/>
      <c r="F99" s="455"/>
      <c r="G99" s="456"/>
      <c r="H99" s="225">
        <f>D10+D20+D28+D35+D40+D48+D56+D64+D72+D78+D85+D93</f>
        <v>114398694</v>
      </c>
      <c r="I99" s="503"/>
    </row>
    <row r="100" spans="3:9" ht="15" thickBot="1" x14ac:dyDescent="0.35">
      <c r="C100" s="500"/>
      <c r="D100" s="462"/>
      <c r="E100" s="465" t="s">
        <v>1135</v>
      </c>
      <c r="F100" s="466"/>
      <c r="G100" s="221">
        <v>0.26</v>
      </c>
      <c r="H100" s="226">
        <f>+H99*G100</f>
        <v>29743660.440000001</v>
      </c>
      <c r="I100" s="503"/>
    </row>
    <row r="101" spans="3:9" ht="15" thickBot="1" x14ac:dyDescent="0.35">
      <c r="C101" s="500"/>
      <c r="D101" s="463"/>
      <c r="E101" s="467" t="s">
        <v>1136</v>
      </c>
      <c r="F101" s="468"/>
      <c r="G101" s="222">
        <v>0.01</v>
      </c>
      <c r="H101" s="226">
        <f>$H$99*G101</f>
        <v>1143986.94</v>
      </c>
      <c r="I101" s="503"/>
    </row>
    <row r="102" spans="3:9" ht="15" thickBot="1" x14ac:dyDescent="0.35">
      <c r="C102" s="500"/>
      <c r="D102" s="464"/>
      <c r="E102" s="467" t="s">
        <v>1137</v>
      </c>
      <c r="F102" s="468"/>
      <c r="G102" s="222">
        <v>0.05</v>
      </c>
      <c r="H102" s="226">
        <f>$H$99*G102</f>
        <v>5719934.7000000002</v>
      </c>
      <c r="I102" s="503"/>
    </row>
    <row r="103" spans="3:9" ht="43.5" customHeight="1" thickBot="1" x14ac:dyDescent="0.35">
      <c r="C103" s="501"/>
      <c r="D103" s="454" t="s">
        <v>1134</v>
      </c>
      <c r="E103" s="455"/>
      <c r="F103" s="455"/>
      <c r="G103" s="456"/>
      <c r="H103" s="227">
        <f>+H99+H100+H101+H102</f>
        <v>151006276.07999998</v>
      </c>
      <c r="I103" s="504"/>
    </row>
  </sheetData>
  <mergeCells count="52">
    <mergeCell ref="C97:H97"/>
    <mergeCell ref="D78:I78"/>
    <mergeCell ref="C84:H84"/>
    <mergeCell ref="D85:I85"/>
    <mergeCell ref="I57:I63"/>
    <mergeCell ref="I49:I55"/>
    <mergeCell ref="I41:I47"/>
    <mergeCell ref="I36:I38"/>
    <mergeCell ref="C98:C103"/>
    <mergeCell ref="I94:I103"/>
    <mergeCell ref="I86:I92"/>
    <mergeCell ref="I79:I84"/>
    <mergeCell ref="I73:I77"/>
    <mergeCell ref="D98:H98"/>
    <mergeCell ref="D103:G103"/>
    <mergeCell ref="D100:D102"/>
    <mergeCell ref="E100:F100"/>
    <mergeCell ref="E101:F101"/>
    <mergeCell ref="E102:F102"/>
    <mergeCell ref="D93:I93"/>
    <mergeCell ref="I21:I27"/>
    <mergeCell ref="I11:I19"/>
    <mergeCell ref="H3:I7"/>
    <mergeCell ref="C77:H77"/>
    <mergeCell ref="D40:I40"/>
    <mergeCell ref="D48:I48"/>
    <mergeCell ref="C47:H47"/>
    <mergeCell ref="C55:H55"/>
    <mergeCell ref="C27:H27"/>
    <mergeCell ref="D28:I28"/>
    <mergeCell ref="C34:H34"/>
    <mergeCell ref="D35:I35"/>
    <mergeCell ref="C39:H39"/>
    <mergeCell ref="D3:G4"/>
    <mergeCell ref="D5:G5"/>
    <mergeCell ref="I65:I71"/>
    <mergeCell ref="D99:G99"/>
    <mergeCell ref="C3:C7"/>
    <mergeCell ref="D7:G7"/>
    <mergeCell ref="D10:I10"/>
    <mergeCell ref="D6:G6"/>
    <mergeCell ref="C19:H19"/>
    <mergeCell ref="D20:I20"/>
    <mergeCell ref="C8:I8"/>
    <mergeCell ref="C9:I9"/>
    <mergeCell ref="C92:H92"/>
    <mergeCell ref="D56:I56"/>
    <mergeCell ref="C63:H63"/>
    <mergeCell ref="D64:I64"/>
    <mergeCell ref="C71:H71"/>
    <mergeCell ref="D72:I72"/>
    <mergeCell ref="I29:I34"/>
  </mergeCells>
  <phoneticPr fontId="2" type="noConversion"/>
  <pageMargins left="0.7" right="0.7" top="0.75" bottom="0.75" header="0.3" footer="0.3"/>
  <pageSetup paperSize="9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1460"/>
  <sheetViews>
    <sheetView view="pageBreakPreview" zoomScale="65" zoomScaleNormal="53" zoomScaleSheetLayoutView="65" workbookViewId="0">
      <selection activeCell="B23" sqref="B23:F23"/>
    </sheetView>
  </sheetViews>
  <sheetFormatPr baseColWidth="10" defaultColWidth="11.44140625" defaultRowHeight="13.2" x14ac:dyDescent="0.3"/>
  <cols>
    <col min="1" max="1" width="11.44140625" style="3"/>
    <col min="2" max="2" width="30.109375" style="3" customWidth="1"/>
    <col min="3" max="3" width="10.33203125" style="3" bestFit="1" customWidth="1"/>
    <col min="4" max="4" width="12.88671875" style="3" customWidth="1"/>
    <col min="5" max="5" width="29" style="3" customWidth="1"/>
    <col min="6" max="6" width="23.109375" style="3" customWidth="1"/>
    <col min="7" max="7" width="37.44140625" style="14" customWidth="1"/>
    <col min="8" max="8" width="10.88671875" style="3" bestFit="1" customWidth="1"/>
    <col min="9" max="16384" width="11.44140625" style="3"/>
  </cols>
  <sheetData>
    <row r="1" spans="2:7" ht="13.8" thickBot="1" x14ac:dyDescent="0.35"/>
    <row r="2" spans="2:7" ht="16.2" thickBot="1" x14ac:dyDescent="0.35">
      <c r="B2" s="582" t="s">
        <v>138</v>
      </c>
      <c r="C2" s="583"/>
      <c r="D2" s="583"/>
      <c r="E2" s="583"/>
      <c r="F2" s="583"/>
      <c r="G2" s="584"/>
    </row>
    <row r="3" spans="2:7" ht="16.2" thickBot="1" x14ac:dyDescent="0.35">
      <c r="B3" s="579" t="s">
        <v>139</v>
      </c>
      <c r="C3" s="581"/>
      <c r="D3" s="15">
        <v>1</v>
      </c>
      <c r="E3" s="579" t="s">
        <v>140</v>
      </c>
      <c r="F3" s="581"/>
      <c r="G3" s="16" t="str">
        <f>[112]FINAL!C130</f>
        <v>M2</v>
      </c>
    </row>
    <row r="4" spans="2:7" ht="33" customHeight="1" thickBot="1" x14ac:dyDescent="0.35">
      <c r="B4" s="569" t="s">
        <v>141</v>
      </c>
      <c r="C4" s="570"/>
      <c r="D4" s="569" t="s">
        <v>1122</v>
      </c>
      <c r="E4" s="570"/>
      <c r="F4" s="570"/>
      <c r="G4" s="571"/>
    </row>
    <row r="5" spans="2:7" ht="54.6" customHeight="1" thickBot="1" x14ac:dyDescent="0.35">
      <c r="B5" s="17" t="s">
        <v>142</v>
      </c>
      <c r="C5" s="572"/>
      <c r="D5" s="572"/>
      <c r="E5" s="572"/>
      <c r="F5" s="572"/>
      <c r="G5" s="572"/>
    </row>
    <row r="6" spans="2:7" ht="16.2" thickBot="1" x14ac:dyDescent="0.35">
      <c r="B6" s="573" t="s">
        <v>143</v>
      </c>
      <c r="C6" s="573"/>
      <c r="D6" s="573"/>
      <c r="E6" s="573"/>
      <c r="F6" s="573"/>
      <c r="G6" s="573"/>
    </row>
    <row r="7" spans="2:7" x14ac:dyDescent="0.3">
      <c r="B7" s="574" t="s">
        <v>2</v>
      </c>
      <c r="C7" s="575"/>
      <c r="D7" s="564" t="s">
        <v>86</v>
      </c>
      <c r="E7" s="564" t="s">
        <v>144</v>
      </c>
      <c r="F7" s="564" t="s">
        <v>150</v>
      </c>
      <c r="G7" s="565" t="s">
        <v>146</v>
      </c>
    </row>
    <row r="8" spans="2:7" x14ac:dyDescent="0.3">
      <c r="B8" s="576"/>
      <c r="C8" s="552"/>
      <c r="D8" s="551"/>
      <c r="E8" s="551"/>
      <c r="F8" s="551"/>
      <c r="G8" s="555"/>
    </row>
    <row r="9" spans="2:7" ht="15" x14ac:dyDescent="0.3">
      <c r="B9" s="577" t="s">
        <v>147</v>
      </c>
      <c r="C9" s="578"/>
      <c r="D9" s="18" t="s">
        <v>148</v>
      </c>
      <c r="E9" s="19"/>
      <c r="F9" s="20">
        <v>0.03</v>
      </c>
      <c r="G9" s="21">
        <f>G23*F9</f>
        <v>261.25514999999996</v>
      </c>
    </row>
    <row r="10" spans="2:7" ht="16.2" thickBot="1" x14ac:dyDescent="0.35">
      <c r="B10" s="559" t="s">
        <v>14</v>
      </c>
      <c r="C10" s="560"/>
      <c r="D10" s="560"/>
      <c r="E10" s="560"/>
      <c r="F10" s="561"/>
      <c r="G10" s="22">
        <f>SUM(G9:G9)</f>
        <v>261.25514999999996</v>
      </c>
    </row>
    <row r="11" spans="2:7" ht="16.2" thickBot="1" x14ac:dyDescent="0.35">
      <c r="B11" s="566" t="s">
        <v>149</v>
      </c>
      <c r="C11" s="567"/>
      <c r="D11" s="567"/>
      <c r="E11" s="567"/>
      <c r="F11" s="567"/>
      <c r="G11" s="568"/>
    </row>
    <row r="12" spans="2:7" x14ac:dyDescent="0.3">
      <c r="B12" s="574" t="s">
        <v>2</v>
      </c>
      <c r="C12" s="575"/>
      <c r="D12" s="564" t="s">
        <v>86</v>
      </c>
      <c r="E12" s="564" t="s">
        <v>144</v>
      </c>
      <c r="F12" s="564" t="s">
        <v>150</v>
      </c>
      <c r="G12" s="565" t="s">
        <v>146</v>
      </c>
    </row>
    <row r="13" spans="2:7" ht="18" customHeight="1" x14ac:dyDescent="0.3">
      <c r="B13" s="576"/>
      <c r="C13" s="552"/>
      <c r="D13" s="551"/>
      <c r="E13" s="551"/>
      <c r="F13" s="551"/>
      <c r="G13" s="555"/>
    </row>
    <row r="14" spans="2:7" ht="15" x14ac:dyDescent="0.3">
      <c r="B14" s="577" t="str">
        <f>+INSUMOS!B909</f>
        <v>PINTURA PARA CANCHAS Y PISOS ANTIDESLIZANTE</v>
      </c>
      <c r="C14" s="578"/>
      <c r="D14" s="18" t="str">
        <f>+INSUMOS!C909</f>
        <v>GAL</v>
      </c>
      <c r="E14" s="23">
        <f>+INSUMOS!D909</f>
        <v>147900</v>
      </c>
      <c r="F14" s="24">
        <v>0.09</v>
      </c>
      <c r="G14" s="21">
        <f>E14*F14</f>
        <v>13311</v>
      </c>
    </row>
    <row r="15" spans="2:7" ht="15" x14ac:dyDescent="0.3">
      <c r="B15" s="577" t="str">
        <f>+INSUMOS!B921</f>
        <v>CINTA DE ENMASCARAR 1/2"</v>
      </c>
      <c r="C15" s="578"/>
      <c r="D15" s="18" t="str">
        <f>+INSUMOS!C921</f>
        <v>UND</v>
      </c>
      <c r="E15" s="19">
        <f>+INSUMOS!D921</f>
        <v>3846</v>
      </c>
      <c r="F15" s="24">
        <v>0.2</v>
      </c>
      <c r="G15" s="21">
        <f t="shared" ref="G15:G16" si="0">E15*F15</f>
        <v>769.2</v>
      </c>
    </row>
    <row r="16" spans="2:7" ht="15" x14ac:dyDescent="0.3">
      <c r="B16" s="577" t="str">
        <f>+INSUMOS!B925</f>
        <v>BROCHA 3"</v>
      </c>
      <c r="C16" s="578"/>
      <c r="D16" s="18" t="str">
        <f>+INSUMOS!C925</f>
        <v>UND</v>
      </c>
      <c r="E16" s="19">
        <f>+INSUMOS!D925</f>
        <v>8000</v>
      </c>
      <c r="F16" s="25">
        <v>2.5000000000000001E-2</v>
      </c>
      <c r="G16" s="21">
        <f t="shared" si="0"/>
        <v>200</v>
      </c>
    </row>
    <row r="17" spans="2:8" ht="15" x14ac:dyDescent="0.3">
      <c r="B17" s="585" t="s">
        <v>151</v>
      </c>
      <c r="C17" s="586"/>
      <c r="D17" s="4" t="s">
        <v>152</v>
      </c>
      <c r="E17" s="26"/>
      <c r="F17" s="27">
        <v>0.03</v>
      </c>
      <c r="G17" s="21">
        <f>(SUM(G14:G16))*F17</f>
        <v>428.40600000000001</v>
      </c>
    </row>
    <row r="18" spans="2:8" ht="16.2" thickBot="1" x14ac:dyDescent="0.35">
      <c r="B18" s="559" t="s">
        <v>14</v>
      </c>
      <c r="C18" s="560"/>
      <c r="D18" s="560"/>
      <c r="E18" s="560"/>
      <c r="F18" s="561"/>
      <c r="G18" s="22">
        <f>SUM(G14:G17)</f>
        <v>14708.606000000002</v>
      </c>
    </row>
    <row r="19" spans="2:8" ht="16.2" thickBot="1" x14ac:dyDescent="0.35">
      <c r="B19" s="566" t="s">
        <v>153</v>
      </c>
      <c r="C19" s="567"/>
      <c r="D19" s="567"/>
      <c r="E19" s="567"/>
      <c r="F19" s="567"/>
      <c r="G19" s="568"/>
    </row>
    <row r="20" spans="2:8" x14ac:dyDescent="0.3">
      <c r="B20" s="562" t="s">
        <v>154</v>
      </c>
      <c r="C20" s="549" t="s">
        <v>86</v>
      </c>
      <c r="D20" s="550"/>
      <c r="E20" s="553" t="s">
        <v>155</v>
      </c>
      <c r="F20" s="553" t="s">
        <v>156</v>
      </c>
      <c r="G20" s="555" t="s">
        <v>146</v>
      </c>
    </row>
    <row r="21" spans="2:8" ht="19.8" customHeight="1" x14ac:dyDescent="0.3">
      <c r="B21" s="563"/>
      <c r="C21" s="551"/>
      <c r="D21" s="552"/>
      <c r="E21" s="554"/>
      <c r="F21" s="554"/>
      <c r="G21" s="556"/>
    </row>
    <row r="22" spans="2:8" ht="31.8" customHeight="1" x14ac:dyDescent="0.25">
      <c r="B22" s="8" t="str">
        <f>+INSUMOS!B915</f>
        <v>CUADRILLA CC - PINTURA</v>
      </c>
      <c r="C22" s="587" t="str">
        <f>[112]INSUMOS!C12</f>
        <v>HC</v>
      </c>
      <c r="D22" s="588"/>
      <c r="E22" s="26">
        <f>+INSUMOS!D915</f>
        <v>47073</v>
      </c>
      <c r="F22" s="27">
        <v>0.185</v>
      </c>
      <c r="G22" s="21">
        <f>E22*F22</f>
        <v>8708.5049999999992</v>
      </c>
    </row>
    <row r="23" spans="2:8" ht="18.600000000000001" customHeight="1" thickBot="1" x14ac:dyDescent="0.35">
      <c r="B23" s="559" t="s">
        <v>14</v>
      </c>
      <c r="C23" s="560"/>
      <c r="D23" s="560"/>
      <c r="E23" s="560"/>
      <c r="F23" s="561"/>
      <c r="G23" s="22">
        <f>SUM(G22:G22)</f>
        <v>8708.5049999999992</v>
      </c>
    </row>
    <row r="24" spans="2:8" ht="16.2" thickBot="1" x14ac:dyDescent="0.35">
      <c r="B24" s="566" t="s">
        <v>157</v>
      </c>
      <c r="C24" s="567"/>
      <c r="D24" s="567"/>
      <c r="E24" s="567"/>
      <c r="F24" s="567"/>
      <c r="G24" s="568"/>
    </row>
    <row r="25" spans="2:8" x14ac:dyDescent="0.3">
      <c r="B25" s="562" t="s">
        <v>2</v>
      </c>
      <c r="C25" s="553" t="s">
        <v>86</v>
      </c>
      <c r="D25" s="564" t="s">
        <v>159</v>
      </c>
      <c r="E25" s="564" t="s">
        <v>163</v>
      </c>
      <c r="F25" s="564" t="s">
        <v>161</v>
      </c>
      <c r="G25" s="565" t="s">
        <v>146</v>
      </c>
    </row>
    <row r="26" spans="2:8" x14ac:dyDescent="0.3">
      <c r="B26" s="563"/>
      <c r="C26" s="554"/>
      <c r="D26" s="551"/>
      <c r="E26" s="551"/>
      <c r="F26" s="551"/>
      <c r="G26" s="555"/>
    </row>
    <row r="27" spans="2:8" ht="15" x14ac:dyDescent="0.3">
      <c r="B27" s="5"/>
      <c r="C27" s="28"/>
      <c r="D27" s="29"/>
      <c r="E27" s="30"/>
      <c r="F27" s="31"/>
      <c r="G27" s="21"/>
    </row>
    <row r="28" spans="2:8" ht="16.2" thickBot="1" x14ac:dyDescent="0.35">
      <c r="B28" s="559" t="s">
        <v>14</v>
      </c>
      <c r="C28" s="560"/>
      <c r="D28" s="560"/>
      <c r="E28" s="560"/>
      <c r="F28" s="561"/>
      <c r="G28" s="22">
        <f>G27</f>
        <v>0</v>
      </c>
    </row>
    <row r="29" spans="2:8" ht="16.2" thickBot="1" x14ac:dyDescent="0.35">
      <c r="B29" s="579" t="s">
        <v>162</v>
      </c>
      <c r="C29" s="580"/>
      <c r="D29" s="580"/>
      <c r="E29" s="580"/>
      <c r="F29" s="581"/>
      <c r="G29" s="32">
        <f>ROUND(G28+G23+G18+G10,0)</f>
        <v>23678</v>
      </c>
    </row>
    <row r="30" spans="2:8" ht="16.2" thickBot="1" x14ac:dyDescent="0.35">
      <c r="B30" s="582" t="s">
        <v>138</v>
      </c>
      <c r="C30" s="583"/>
      <c r="D30" s="583"/>
      <c r="E30" s="583"/>
      <c r="F30" s="583"/>
      <c r="G30" s="584"/>
    </row>
    <row r="31" spans="2:8" ht="16.2" thickBot="1" x14ac:dyDescent="0.35">
      <c r="B31" s="579" t="s">
        <v>139</v>
      </c>
      <c r="C31" s="581"/>
      <c r="D31" s="15">
        <v>2</v>
      </c>
      <c r="E31" s="579" t="s">
        <v>140</v>
      </c>
      <c r="F31" s="581"/>
      <c r="G31" s="16" t="s">
        <v>72</v>
      </c>
    </row>
    <row r="32" spans="2:8" ht="42.6" customHeight="1" thickBot="1" x14ac:dyDescent="0.35">
      <c r="B32" s="569" t="s">
        <v>141</v>
      </c>
      <c r="C32" s="570"/>
      <c r="D32" s="569" t="s">
        <v>1121</v>
      </c>
      <c r="E32" s="570"/>
      <c r="F32" s="570"/>
      <c r="G32" s="571"/>
      <c r="H32" s="6"/>
    </row>
    <row r="33" spans="2:7" ht="16.2" thickBot="1" x14ac:dyDescent="0.35">
      <c r="B33" s="17" t="s">
        <v>142</v>
      </c>
      <c r="C33" s="572"/>
      <c r="D33" s="572"/>
      <c r="E33" s="572"/>
      <c r="F33" s="572"/>
      <c r="G33" s="572"/>
    </row>
    <row r="34" spans="2:7" ht="16.2" thickBot="1" x14ac:dyDescent="0.35">
      <c r="B34" s="573" t="s">
        <v>143</v>
      </c>
      <c r="C34" s="573"/>
      <c r="D34" s="573"/>
      <c r="E34" s="573"/>
      <c r="F34" s="573"/>
      <c r="G34" s="573"/>
    </row>
    <row r="35" spans="2:7" x14ac:dyDescent="0.3">
      <c r="B35" s="574" t="s">
        <v>2</v>
      </c>
      <c r="C35" s="575"/>
      <c r="D35" s="564" t="s">
        <v>86</v>
      </c>
      <c r="E35" s="564" t="s">
        <v>144</v>
      </c>
      <c r="F35" s="564" t="s">
        <v>150</v>
      </c>
      <c r="G35" s="565" t="s">
        <v>146</v>
      </c>
    </row>
    <row r="36" spans="2:7" ht="52.95" customHeight="1" x14ac:dyDescent="0.3">
      <c r="B36" s="576"/>
      <c r="C36" s="552"/>
      <c r="D36" s="551"/>
      <c r="E36" s="551"/>
      <c r="F36" s="551"/>
      <c r="G36" s="555"/>
    </row>
    <row r="37" spans="2:7" ht="15" x14ac:dyDescent="0.3">
      <c r="B37" s="577" t="s">
        <v>147</v>
      </c>
      <c r="C37" s="578"/>
      <c r="D37" s="18" t="s">
        <v>148</v>
      </c>
      <c r="E37" s="19"/>
      <c r="F37" s="20">
        <v>0.03</v>
      </c>
      <c r="G37" s="21">
        <f>G51*F37</f>
        <v>70.609499999999997</v>
      </c>
    </row>
    <row r="38" spans="2:7" ht="16.2" thickBot="1" x14ac:dyDescent="0.35">
      <c r="B38" s="559" t="s">
        <v>14</v>
      </c>
      <c r="C38" s="560"/>
      <c r="D38" s="560"/>
      <c r="E38" s="560"/>
      <c r="F38" s="561"/>
      <c r="G38" s="22">
        <f>SUM(G37:G37)</f>
        <v>70.609499999999997</v>
      </c>
    </row>
    <row r="39" spans="2:7" ht="16.2" thickBot="1" x14ac:dyDescent="0.35">
      <c r="B39" s="566" t="s">
        <v>149</v>
      </c>
      <c r="C39" s="567"/>
      <c r="D39" s="567"/>
      <c r="E39" s="567"/>
      <c r="F39" s="567"/>
      <c r="G39" s="568"/>
    </row>
    <row r="40" spans="2:7" x14ac:dyDescent="0.3">
      <c r="B40" s="574" t="s">
        <v>2</v>
      </c>
      <c r="C40" s="575"/>
      <c r="D40" s="564" t="s">
        <v>86</v>
      </c>
      <c r="E40" s="564" t="s">
        <v>144</v>
      </c>
      <c r="F40" s="564" t="s">
        <v>150</v>
      </c>
      <c r="G40" s="565" t="s">
        <v>146</v>
      </c>
    </row>
    <row r="41" spans="2:7" x14ac:dyDescent="0.3">
      <c r="B41" s="576"/>
      <c r="C41" s="552"/>
      <c r="D41" s="551"/>
      <c r="E41" s="551"/>
      <c r="F41" s="551"/>
      <c r="G41" s="555"/>
    </row>
    <row r="42" spans="2:7" ht="15" x14ac:dyDescent="0.3">
      <c r="B42" s="577" t="str">
        <f>+INSUMOS!B905</f>
        <v>PINTURA ACRILICA PURA PARA TRAFICO</v>
      </c>
      <c r="C42" s="578"/>
      <c r="D42" s="18" t="str">
        <f>+INSUMOS!C905</f>
        <v>GAL</v>
      </c>
      <c r="E42" s="23">
        <f>+INSUMOS!D905</f>
        <v>87250</v>
      </c>
      <c r="F42" s="24">
        <v>0.03</v>
      </c>
      <c r="G42" s="21">
        <f>E42*F42</f>
        <v>2617.5</v>
      </c>
    </row>
    <row r="43" spans="2:7" ht="15" x14ac:dyDescent="0.3">
      <c r="B43" s="577" t="str">
        <f>+INSUMOS!B921</f>
        <v>CINTA DE ENMASCARAR 1/2"</v>
      </c>
      <c r="C43" s="578"/>
      <c r="D43" s="18" t="str">
        <f>+INSUMOS!C921</f>
        <v>UND</v>
      </c>
      <c r="E43" s="19">
        <f>+INSUMOS!D921</f>
        <v>3846</v>
      </c>
      <c r="F43" s="24">
        <v>0.2</v>
      </c>
      <c r="G43" s="21">
        <f t="shared" ref="G43:G44" si="1">E43*F43</f>
        <v>769.2</v>
      </c>
    </row>
    <row r="44" spans="2:7" ht="15" x14ac:dyDescent="0.3">
      <c r="B44" s="577" t="str">
        <f>+INSUMOS!B925</f>
        <v>BROCHA 3"</v>
      </c>
      <c r="C44" s="578"/>
      <c r="D44" s="18" t="str">
        <f>+INSUMOS!C925</f>
        <v>UND</v>
      </c>
      <c r="E44" s="19">
        <f>+INSUMOS!D925</f>
        <v>8000</v>
      </c>
      <c r="F44" s="25">
        <v>2.5000000000000001E-2</v>
      </c>
      <c r="G44" s="21">
        <f t="shared" si="1"/>
        <v>200</v>
      </c>
    </row>
    <row r="45" spans="2:7" ht="30" customHeight="1" x14ac:dyDescent="0.3">
      <c r="B45" s="585" t="s">
        <v>151</v>
      </c>
      <c r="C45" s="586"/>
      <c r="D45" s="4" t="s">
        <v>152</v>
      </c>
      <c r="E45" s="26"/>
      <c r="F45" s="27">
        <v>0.03</v>
      </c>
      <c r="G45" s="21">
        <f>(SUM(G42:G44))*F45</f>
        <v>107.60099999999998</v>
      </c>
    </row>
    <row r="46" spans="2:7" ht="16.2" thickBot="1" x14ac:dyDescent="0.35">
      <c r="B46" s="559" t="s">
        <v>14</v>
      </c>
      <c r="C46" s="560"/>
      <c r="D46" s="560"/>
      <c r="E46" s="560"/>
      <c r="F46" s="561"/>
      <c r="G46" s="22">
        <f>SUM(G42:G45)</f>
        <v>3694.3009999999999</v>
      </c>
    </row>
    <row r="47" spans="2:7" ht="16.2" thickBot="1" x14ac:dyDescent="0.35">
      <c r="B47" s="566" t="s">
        <v>153</v>
      </c>
      <c r="C47" s="567"/>
      <c r="D47" s="567"/>
      <c r="E47" s="567"/>
      <c r="F47" s="567"/>
      <c r="G47" s="568"/>
    </row>
    <row r="48" spans="2:7" x14ac:dyDescent="0.3">
      <c r="B48" s="562" t="s">
        <v>154</v>
      </c>
      <c r="C48" s="549" t="s">
        <v>86</v>
      </c>
      <c r="D48" s="550"/>
      <c r="E48" s="553" t="s">
        <v>155</v>
      </c>
      <c r="F48" s="553" t="s">
        <v>156</v>
      </c>
      <c r="G48" s="555" t="s">
        <v>146</v>
      </c>
    </row>
    <row r="49" spans="2:8" ht="28.8" customHeight="1" x14ac:dyDescent="0.3">
      <c r="B49" s="563"/>
      <c r="C49" s="551"/>
      <c r="D49" s="552"/>
      <c r="E49" s="554"/>
      <c r="F49" s="554"/>
      <c r="G49" s="556"/>
    </row>
    <row r="50" spans="2:8" ht="15" customHeight="1" x14ac:dyDescent="0.25">
      <c r="B50" s="8" t="str">
        <f>+INSUMOS!B915</f>
        <v>CUADRILLA CC - PINTURA</v>
      </c>
      <c r="C50" s="587" t="str">
        <f>+INSUMOS!C915</f>
        <v>HC</v>
      </c>
      <c r="D50" s="588"/>
      <c r="E50" s="26">
        <f>+INSUMOS!D915</f>
        <v>47073</v>
      </c>
      <c r="F50" s="27">
        <v>0.05</v>
      </c>
      <c r="G50" s="21">
        <f>E50*F50</f>
        <v>2353.65</v>
      </c>
    </row>
    <row r="51" spans="2:8" ht="17.399999999999999" customHeight="1" thickBot="1" x14ac:dyDescent="0.35">
      <c r="B51" s="559" t="s">
        <v>14</v>
      </c>
      <c r="C51" s="560"/>
      <c r="D51" s="560"/>
      <c r="E51" s="560"/>
      <c r="F51" s="561"/>
      <c r="G51" s="22">
        <f>SUM(G50:G50)</f>
        <v>2353.65</v>
      </c>
    </row>
    <row r="52" spans="2:8" ht="16.2" thickBot="1" x14ac:dyDescent="0.35">
      <c r="B52" s="566" t="s">
        <v>157</v>
      </c>
      <c r="C52" s="567"/>
      <c r="D52" s="567"/>
      <c r="E52" s="567"/>
      <c r="F52" s="567"/>
      <c r="G52" s="568"/>
    </row>
    <row r="53" spans="2:8" x14ac:dyDescent="0.3">
      <c r="B53" s="562" t="s">
        <v>2</v>
      </c>
      <c r="C53" s="553" t="s">
        <v>86</v>
      </c>
      <c r="D53" s="564" t="s">
        <v>159</v>
      </c>
      <c r="E53" s="564" t="s">
        <v>163</v>
      </c>
      <c r="F53" s="564" t="s">
        <v>161</v>
      </c>
      <c r="G53" s="565" t="s">
        <v>146</v>
      </c>
    </row>
    <row r="54" spans="2:8" x14ac:dyDescent="0.3">
      <c r="B54" s="563"/>
      <c r="C54" s="554"/>
      <c r="D54" s="551"/>
      <c r="E54" s="551"/>
      <c r="F54" s="551"/>
      <c r="G54" s="555"/>
    </row>
    <row r="55" spans="2:8" ht="15" x14ac:dyDescent="0.3">
      <c r="B55" s="5"/>
      <c r="C55" s="28"/>
      <c r="D55" s="29"/>
      <c r="E55" s="30"/>
      <c r="F55" s="31"/>
      <c r="G55" s="21"/>
    </row>
    <row r="56" spans="2:8" ht="16.2" thickBot="1" x14ac:dyDescent="0.35">
      <c r="B56" s="559" t="s">
        <v>14</v>
      </c>
      <c r="C56" s="560"/>
      <c r="D56" s="560"/>
      <c r="E56" s="560"/>
      <c r="F56" s="561"/>
      <c r="G56" s="22">
        <f>G55</f>
        <v>0</v>
      </c>
    </row>
    <row r="57" spans="2:8" ht="16.2" thickBot="1" x14ac:dyDescent="0.35">
      <c r="B57" s="579" t="s">
        <v>162</v>
      </c>
      <c r="C57" s="580"/>
      <c r="D57" s="580"/>
      <c r="E57" s="580"/>
      <c r="F57" s="581"/>
      <c r="G57" s="32">
        <f>ROUND(G56+G51+G46+G38,0)</f>
        <v>6119</v>
      </c>
    </row>
    <row r="58" spans="2:8" ht="16.2" thickBot="1" x14ac:dyDescent="0.35">
      <c r="B58" s="582" t="s">
        <v>138</v>
      </c>
      <c r="C58" s="583"/>
      <c r="D58" s="583"/>
      <c r="E58" s="583"/>
      <c r="F58" s="583"/>
      <c r="G58" s="584"/>
    </row>
    <row r="59" spans="2:8" ht="17.399999999999999" customHeight="1" thickBot="1" x14ac:dyDescent="0.35">
      <c r="B59" s="579" t="s">
        <v>139</v>
      </c>
      <c r="C59" s="581"/>
      <c r="D59" s="15">
        <v>3</v>
      </c>
      <c r="E59" s="579" t="s">
        <v>140</v>
      </c>
      <c r="F59" s="581"/>
      <c r="G59" s="16" t="s">
        <v>3</v>
      </c>
    </row>
    <row r="60" spans="2:8" ht="45.6" customHeight="1" thickBot="1" x14ac:dyDescent="0.35">
      <c r="B60" s="569" t="s">
        <v>141</v>
      </c>
      <c r="C60" s="570"/>
      <c r="D60" s="569" t="s">
        <v>1119</v>
      </c>
      <c r="E60" s="570"/>
      <c r="F60" s="570"/>
      <c r="G60" s="571"/>
      <c r="H60" s="6"/>
    </row>
    <row r="61" spans="2:8" ht="16.2" thickBot="1" x14ac:dyDescent="0.35">
      <c r="B61" s="17" t="s">
        <v>142</v>
      </c>
      <c r="C61" s="572"/>
      <c r="D61" s="572"/>
      <c r="E61" s="572"/>
      <c r="F61" s="572"/>
      <c r="G61" s="572"/>
    </row>
    <row r="62" spans="2:8" ht="16.2" thickBot="1" x14ac:dyDescent="0.35">
      <c r="B62" s="573" t="s">
        <v>143</v>
      </c>
      <c r="C62" s="573"/>
      <c r="D62" s="573"/>
      <c r="E62" s="573"/>
      <c r="F62" s="573"/>
      <c r="G62" s="573"/>
    </row>
    <row r="63" spans="2:8" x14ac:dyDescent="0.3">
      <c r="B63" s="574" t="s">
        <v>2</v>
      </c>
      <c r="C63" s="575"/>
      <c r="D63" s="564" t="s">
        <v>86</v>
      </c>
      <c r="E63" s="564" t="s">
        <v>144</v>
      </c>
      <c r="F63" s="564" t="s">
        <v>150</v>
      </c>
      <c r="G63" s="565" t="s">
        <v>146</v>
      </c>
    </row>
    <row r="64" spans="2:8" ht="52.95" customHeight="1" x14ac:dyDescent="0.3">
      <c r="B64" s="576"/>
      <c r="C64" s="552"/>
      <c r="D64" s="551"/>
      <c r="E64" s="551"/>
      <c r="F64" s="551"/>
      <c r="G64" s="555"/>
    </row>
    <row r="65" spans="2:7" ht="15" x14ac:dyDescent="0.3">
      <c r="B65" s="577" t="str">
        <f>+INSUMOS!B953</f>
        <v>HIDROLAVADORA</v>
      </c>
      <c r="C65" s="578"/>
      <c r="D65" s="18" t="s">
        <v>148</v>
      </c>
      <c r="E65" s="19">
        <f>+INSUMOS!D953</f>
        <v>110000</v>
      </c>
      <c r="F65" s="20">
        <v>1</v>
      </c>
      <c r="G65" s="21">
        <f>E65*F65</f>
        <v>110000</v>
      </c>
    </row>
    <row r="66" spans="2:7" ht="16.2" thickBot="1" x14ac:dyDescent="0.35">
      <c r="B66" s="559" t="s">
        <v>14</v>
      </c>
      <c r="C66" s="560"/>
      <c r="D66" s="560"/>
      <c r="E66" s="560"/>
      <c r="F66" s="561"/>
      <c r="G66" s="22">
        <f>SUM(G65:G65)</f>
        <v>110000</v>
      </c>
    </row>
    <row r="67" spans="2:7" ht="16.2" thickBot="1" x14ac:dyDescent="0.35">
      <c r="B67" s="566" t="s">
        <v>149</v>
      </c>
      <c r="C67" s="567"/>
      <c r="D67" s="567"/>
      <c r="E67" s="567"/>
      <c r="F67" s="567"/>
      <c r="G67" s="568"/>
    </row>
    <row r="68" spans="2:7" x14ac:dyDescent="0.3">
      <c r="B68" s="574" t="s">
        <v>2</v>
      </c>
      <c r="C68" s="575"/>
      <c r="D68" s="564" t="s">
        <v>86</v>
      </c>
      <c r="E68" s="564" t="s">
        <v>144</v>
      </c>
      <c r="F68" s="564" t="s">
        <v>150</v>
      </c>
      <c r="G68" s="565" t="s">
        <v>146</v>
      </c>
    </row>
    <row r="69" spans="2:7" x14ac:dyDescent="0.3">
      <c r="B69" s="576"/>
      <c r="C69" s="552"/>
      <c r="D69" s="551"/>
      <c r="E69" s="551"/>
      <c r="F69" s="551"/>
      <c r="G69" s="555"/>
    </row>
    <row r="70" spans="2:7" ht="15" x14ac:dyDescent="0.3">
      <c r="B70" s="577" t="str">
        <f>+INSUMOS!B951</f>
        <v>AGUA</v>
      </c>
      <c r="C70" s="578"/>
      <c r="D70" s="18" t="str">
        <f>+INSUMOS!C951</f>
        <v>M3</v>
      </c>
      <c r="E70" s="23">
        <f>+INSUMOS!D951</f>
        <v>98000</v>
      </c>
      <c r="F70" s="24">
        <v>3</v>
      </c>
      <c r="G70" s="21">
        <f>E70*F70</f>
        <v>294000</v>
      </c>
    </row>
    <row r="71" spans="2:7" ht="15" x14ac:dyDescent="0.3">
      <c r="B71" s="577" t="str">
        <f>+INSUMOS!B952</f>
        <v>DETERGENTE</v>
      </c>
      <c r="C71" s="578"/>
      <c r="D71" s="18" t="str">
        <f>+INSUMOS!C952</f>
        <v>GL</v>
      </c>
      <c r="E71" s="19">
        <f>+INSUMOS!D952</f>
        <v>30000</v>
      </c>
      <c r="F71" s="24">
        <v>1.5</v>
      </c>
      <c r="G71" s="21">
        <f t="shared" ref="G71" si="2">E71*F71</f>
        <v>45000</v>
      </c>
    </row>
    <row r="72" spans="2:7" ht="15" x14ac:dyDescent="0.3">
      <c r="B72" s="585" t="s">
        <v>151</v>
      </c>
      <c r="C72" s="586"/>
      <c r="D72" s="4" t="s">
        <v>152</v>
      </c>
      <c r="E72" s="26"/>
      <c r="F72" s="27">
        <v>0.03</v>
      </c>
      <c r="G72" s="21">
        <f>(SUM(G70:G71))*F72</f>
        <v>10170</v>
      </c>
    </row>
    <row r="73" spans="2:7" ht="16.2" thickBot="1" x14ac:dyDescent="0.35">
      <c r="B73" s="559" t="s">
        <v>14</v>
      </c>
      <c r="C73" s="560"/>
      <c r="D73" s="560"/>
      <c r="E73" s="560"/>
      <c r="F73" s="561"/>
      <c r="G73" s="22">
        <f>SUM(G70:G72)</f>
        <v>349170</v>
      </c>
    </row>
    <row r="74" spans="2:7" ht="16.2" thickBot="1" x14ac:dyDescent="0.35">
      <c r="B74" s="566" t="s">
        <v>153</v>
      </c>
      <c r="C74" s="567"/>
      <c r="D74" s="567"/>
      <c r="E74" s="567"/>
      <c r="F74" s="567"/>
      <c r="G74" s="568"/>
    </row>
    <row r="75" spans="2:7" x14ac:dyDescent="0.3">
      <c r="B75" s="562" t="s">
        <v>154</v>
      </c>
      <c r="C75" s="549" t="s">
        <v>86</v>
      </c>
      <c r="D75" s="550"/>
      <c r="E75" s="553" t="s">
        <v>155</v>
      </c>
      <c r="F75" s="553" t="s">
        <v>156</v>
      </c>
      <c r="G75" s="555" t="s">
        <v>146</v>
      </c>
    </row>
    <row r="76" spans="2:7" ht="24" customHeight="1" x14ac:dyDescent="0.3">
      <c r="B76" s="563"/>
      <c r="C76" s="551"/>
      <c r="D76" s="552"/>
      <c r="E76" s="554"/>
      <c r="F76" s="554"/>
      <c r="G76" s="556"/>
    </row>
    <row r="77" spans="2:7" ht="30" x14ac:dyDescent="0.25">
      <c r="B77" s="8" t="str">
        <f>+INSUMOS!B914</f>
        <v>CUADRILLA AA - ALBAÑILERIA</v>
      </c>
      <c r="C77" s="587">
        <f>[112]INSUMOS!C68</f>
        <v>0</v>
      </c>
      <c r="D77" s="588"/>
      <c r="E77" s="26">
        <f>+INSUMOS!D914</f>
        <v>40874</v>
      </c>
      <c r="F77" s="27">
        <v>1</v>
      </c>
      <c r="G77" s="21">
        <f>E77*F77</f>
        <v>40874</v>
      </c>
    </row>
    <row r="78" spans="2:7" ht="16.2" thickBot="1" x14ac:dyDescent="0.35">
      <c r="B78" s="559" t="s">
        <v>14</v>
      </c>
      <c r="C78" s="560"/>
      <c r="D78" s="560"/>
      <c r="E78" s="560"/>
      <c r="F78" s="561"/>
      <c r="G78" s="22">
        <f>SUM(G77:G77)</f>
        <v>40874</v>
      </c>
    </row>
    <row r="79" spans="2:7" ht="18.600000000000001" customHeight="1" thickBot="1" x14ac:dyDescent="0.35">
      <c r="B79" s="566" t="s">
        <v>157</v>
      </c>
      <c r="C79" s="567"/>
      <c r="D79" s="567"/>
      <c r="E79" s="567"/>
      <c r="F79" s="567"/>
      <c r="G79" s="568"/>
    </row>
    <row r="80" spans="2:7" x14ac:dyDescent="0.3">
      <c r="B80" s="562" t="s">
        <v>2</v>
      </c>
      <c r="C80" s="553" t="s">
        <v>86</v>
      </c>
      <c r="D80" s="564" t="s">
        <v>159</v>
      </c>
      <c r="E80" s="564" t="s">
        <v>163</v>
      </c>
      <c r="F80" s="564" t="s">
        <v>161</v>
      </c>
      <c r="G80" s="565" t="s">
        <v>146</v>
      </c>
    </row>
    <row r="81" spans="2:8" x14ac:dyDescent="0.3">
      <c r="B81" s="563"/>
      <c r="C81" s="554"/>
      <c r="D81" s="551"/>
      <c r="E81" s="551"/>
      <c r="F81" s="551"/>
      <c r="G81" s="555"/>
    </row>
    <row r="82" spans="2:8" ht="15" x14ac:dyDescent="0.3">
      <c r="B82" s="5"/>
      <c r="C82" s="28"/>
      <c r="D82" s="29"/>
      <c r="E82" s="30"/>
      <c r="F82" s="31"/>
      <c r="G82" s="21"/>
    </row>
    <row r="83" spans="2:8" ht="16.2" thickBot="1" x14ac:dyDescent="0.35">
      <c r="B83" s="559" t="s">
        <v>14</v>
      </c>
      <c r="C83" s="560"/>
      <c r="D83" s="560"/>
      <c r="E83" s="560"/>
      <c r="F83" s="561"/>
      <c r="G83" s="22">
        <f>G82</f>
        <v>0</v>
      </c>
    </row>
    <row r="84" spans="2:8" ht="16.2" thickBot="1" x14ac:dyDescent="0.35">
      <c r="B84" s="579" t="s">
        <v>162</v>
      </c>
      <c r="C84" s="580"/>
      <c r="D84" s="580"/>
      <c r="E84" s="580"/>
      <c r="F84" s="581"/>
      <c r="G84" s="32">
        <f>ROUND(G83+G78+G73+G66,0)</f>
        <v>500044</v>
      </c>
    </row>
    <row r="85" spans="2:8" ht="16.2" thickBot="1" x14ac:dyDescent="0.35">
      <c r="B85" s="582" t="s">
        <v>138</v>
      </c>
      <c r="C85" s="583"/>
      <c r="D85" s="583"/>
      <c r="E85" s="583"/>
      <c r="F85" s="583"/>
      <c r="G85" s="584"/>
    </row>
    <row r="86" spans="2:8" ht="16.2" thickBot="1" x14ac:dyDescent="0.35">
      <c r="B86" s="579" t="s">
        <v>139</v>
      </c>
      <c r="C86" s="581"/>
      <c r="D86" s="15">
        <v>4</v>
      </c>
      <c r="E86" s="579" t="s">
        <v>140</v>
      </c>
      <c r="F86" s="581"/>
      <c r="G86" s="16" t="s">
        <v>3</v>
      </c>
    </row>
    <row r="87" spans="2:8" ht="53.4" customHeight="1" thickBot="1" x14ac:dyDescent="0.35">
      <c r="B87" s="569" t="s">
        <v>141</v>
      </c>
      <c r="C87" s="570"/>
      <c r="D87" s="569" t="s">
        <v>1125</v>
      </c>
      <c r="E87" s="570"/>
      <c r="F87" s="570"/>
      <c r="G87" s="571"/>
    </row>
    <row r="88" spans="2:8" ht="16.2" thickBot="1" x14ac:dyDescent="0.35">
      <c r="B88" s="17" t="s">
        <v>142</v>
      </c>
      <c r="C88" s="572">
        <f>$C$978</f>
        <v>0</v>
      </c>
      <c r="D88" s="572"/>
      <c r="E88" s="572"/>
      <c r="F88" s="572"/>
      <c r="G88" s="572"/>
      <c r="H88" s="6"/>
    </row>
    <row r="89" spans="2:8" ht="16.2" thickBot="1" x14ac:dyDescent="0.35">
      <c r="B89" s="573" t="s">
        <v>143</v>
      </c>
      <c r="C89" s="573"/>
      <c r="D89" s="573"/>
      <c r="E89" s="573"/>
      <c r="F89" s="573"/>
      <c r="G89" s="573"/>
    </row>
    <row r="90" spans="2:8" x14ac:dyDescent="0.3">
      <c r="B90" s="574" t="s">
        <v>2</v>
      </c>
      <c r="C90" s="575"/>
      <c r="D90" s="564" t="s">
        <v>86</v>
      </c>
      <c r="E90" s="564" t="s">
        <v>144</v>
      </c>
      <c r="F90" s="564" t="s">
        <v>150</v>
      </c>
      <c r="G90" s="565" t="s">
        <v>146</v>
      </c>
    </row>
    <row r="91" spans="2:8" ht="31.95" customHeight="1" x14ac:dyDescent="0.3">
      <c r="B91" s="576"/>
      <c r="C91" s="552"/>
      <c r="D91" s="551"/>
      <c r="E91" s="551"/>
      <c r="F91" s="551"/>
      <c r="G91" s="555"/>
    </row>
    <row r="92" spans="2:8" ht="52.95" customHeight="1" x14ac:dyDescent="0.3">
      <c r="B92" s="577" t="s">
        <v>147</v>
      </c>
      <c r="C92" s="578"/>
      <c r="D92" s="18" t="s">
        <v>148</v>
      </c>
      <c r="E92" s="19"/>
      <c r="F92" s="20">
        <v>0.03</v>
      </c>
      <c r="G92" s="21">
        <f>G105*F92</f>
        <v>1537.71</v>
      </c>
    </row>
    <row r="93" spans="2:8" ht="16.2" thickBot="1" x14ac:dyDescent="0.35">
      <c r="B93" s="559" t="s">
        <v>14</v>
      </c>
      <c r="C93" s="560"/>
      <c r="D93" s="560"/>
      <c r="E93" s="560"/>
      <c r="F93" s="561"/>
      <c r="G93" s="22">
        <f>SUM(G92:G92)</f>
        <v>1537.71</v>
      </c>
    </row>
    <row r="94" spans="2:8" ht="16.2" thickBot="1" x14ac:dyDescent="0.35">
      <c r="B94" s="566" t="s">
        <v>149</v>
      </c>
      <c r="C94" s="567"/>
      <c r="D94" s="567"/>
      <c r="E94" s="567"/>
      <c r="F94" s="567"/>
      <c r="G94" s="568"/>
    </row>
    <row r="95" spans="2:8" x14ac:dyDescent="0.3">
      <c r="B95" s="574" t="s">
        <v>2</v>
      </c>
      <c r="C95" s="575"/>
      <c r="D95" s="564" t="s">
        <v>86</v>
      </c>
      <c r="E95" s="564" t="s">
        <v>144</v>
      </c>
      <c r="F95" s="564" t="s">
        <v>150</v>
      </c>
      <c r="G95" s="565" t="s">
        <v>146</v>
      </c>
    </row>
    <row r="96" spans="2:8" ht="31.95" customHeight="1" x14ac:dyDescent="0.3">
      <c r="B96" s="576"/>
      <c r="C96" s="552"/>
      <c r="D96" s="551"/>
      <c r="E96" s="551"/>
      <c r="F96" s="551"/>
      <c r="G96" s="555"/>
    </row>
    <row r="97" spans="2:9" ht="15" x14ac:dyDescent="0.3">
      <c r="B97" s="543" t="str">
        <f>+INSUMOS!B944</f>
        <v>LAMPARA ROY ALPHA TIPO CALIMA II 250 W S, INCL. FOTOCELDA Y BOMBILLO</v>
      </c>
      <c r="C97" s="544"/>
      <c r="D97" s="9" t="str">
        <f>+INSUMOS!C944</f>
        <v>UND</v>
      </c>
      <c r="E97" s="33">
        <f>+INSUMOS!D944</f>
        <v>455522.72</v>
      </c>
      <c r="F97" s="34">
        <v>1</v>
      </c>
      <c r="G97" s="21">
        <f>E97*F97</f>
        <v>455522.72</v>
      </c>
      <c r="I97" s="7"/>
    </row>
    <row r="98" spans="2:9" ht="15" x14ac:dyDescent="0.3">
      <c r="B98" s="543" t="str">
        <f>+INSUMOS!B948</f>
        <v>ALAMBRE SOLIDO NO. 10</v>
      </c>
      <c r="C98" s="544"/>
      <c r="D98" s="9" t="str">
        <f>[112]INSUMOS!$C$45</f>
        <v>MT</v>
      </c>
      <c r="E98" s="33">
        <f>+INSUMOS!D948</f>
        <v>3500</v>
      </c>
      <c r="F98" s="34">
        <v>4</v>
      </c>
      <c r="G98" s="21">
        <f>E98*F98</f>
        <v>14000</v>
      </c>
    </row>
    <row r="99" spans="2:9" ht="15" x14ac:dyDescent="0.3">
      <c r="B99" s="543" t="str">
        <f>+INSUMOS!B949</f>
        <v>CINTA AISLANTE SUPER 33 X 20M</v>
      </c>
      <c r="C99" s="544"/>
      <c r="D99" s="9" t="str">
        <f>+INSUMOS!C949</f>
        <v>ROLLO</v>
      </c>
      <c r="E99" s="33">
        <f>+INSUMOS!D949</f>
        <v>23000</v>
      </c>
      <c r="F99" s="34">
        <v>0.08</v>
      </c>
      <c r="G99" s="21">
        <f>E99*F99</f>
        <v>1840</v>
      </c>
    </row>
    <row r="100" spans="2:9" ht="16.2" thickBot="1" x14ac:dyDescent="0.35">
      <c r="B100" s="559" t="s">
        <v>14</v>
      </c>
      <c r="C100" s="560"/>
      <c r="D100" s="560"/>
      <c r="E100" s="560"/>
      <c r="F100" s="561"/>
      <c r="G100" s="22">
        <f>SUM(G97:G99)</f>
        <v>471362.72</v>
      </c>
    </row>
    <row r="101" spans="2:9" ht="16.2" thickBot="1" x14ac:dyDescent="0.35">
      <c r="B101" s="566" t="s">
        <v>153</v>
      </c>
      <c r="C101" s="567"/>
      <c r="D101" s="567"/>
      <c r="E101" s="567"/>
      <c r="F101" s="567"/>
      <c r="G101" s="568"/>
      <c r="I101" s="7"/>
    </row>
    <row r="102" spans="2:9" x14ac:dyDescent="0.3">
      <c r="B102" s="562" t="s">
        <v>154</v>
      </c>
      <c r="C102" s="549" t="s">
        <v>86</v>
      </c>
      <c r="D102" s="550"/>
      <c r="E102" s="553" t="s">
        <v>155</v>
      </c>
      <c r="F102" s="553" t="s">
        <v>156</v>
      </c>
      <c r="G102" s="555" t="s">
        <v>146</v>
      </c>
    </row>
    <row r="103" spans="2:9" x14ac:dyDescent="0.3">
      <c r="B103" s="563"/>
      <c r="C103" s="551"/>
      <c r="D103" s="552"/>
      <c r="E103" s="554"/>
      <c r="F103" s="554"/>
      <c r="G103" s="556"/>
    </row>
    <row r="104" spans="2:9" ht="30" x14ac:dyDescent="0.25">
      <c r="B104" s="10" t="str">
        <f>+INSUMOS!B916</f>
        <v>CUADRILLA EE - ELECTRICOS</v>
      </c>
      <c r="C104" s="557" t="str">
        <f>+INSUMOS!C916</f>
        <v>HC</v>
      </c>
      <c r="D104" s="558"/>
      <c r="E104" s="33">
        <f>+INSUMOS!D916</f>
        <v>51257</v>
      </c>
      <c r="F104" s="34">
        <v>1</v>
      </c>
      <c r="G104" s="21">
        <f>E104*F104</f>
        <v>51257</v>
      </c>
    </row>
    <row r="105" spans="2:9" ht="16.2" thickBot="1" x14ac:dyDescent="0.35">
      <c r="B105" s="559" t="s">
        <v>14</v>
      </c>
      <c r="C105" s="560"/>
      <c r="D105" s="560"/>
      <c r="E105" s="560"/>
      <c r="F105" s="561"/>
      <c r="G105" s="22">
        <f>SUM(G104:G104)</f>
        <v>51257</v>
      </c>
    </row>
    <row r="106" spans="2:9" ht="16.2" thickBot="1" x14ac:dyDescent="0.35">
      <c r="B106" s="566" t="s">
        <v>157</v>
      </c>
      <c r="C106" s="567"/>
      <c r="D106" s="567"/>
      <c r="E106" s="567"/>
      <c r="F106" s="567"/>
      <c r="G106" s="568"/>
    </row>
    <row r="107" spans="2:9" x14ac:dyDescent="0.3">
      <c r="B107" s="562" t="s">
        <v>2</v>
      </c>
      <c r="C107" s="553" t="s">
        <v>86</v>
      </c>
      <c r="D107" s="564" t="s">
        <v>159</v>
      </c>
      <c r="E107" s="564" t="s">
        <v>163</v>
      </c>
      <c r="F107" s="564" t="s">
        <v>161</v>
      </c>
      <c r="G107" s="565" t="s">
        <v>146</v>
      </c>
    </row>
    <row r="108" spans="2:9" x14ac:dyDescent="0.3">
      <c r="B108" s="563"/>
      <c r="C108" s="554"/>
      <c r="D108" s="551"/>
      <c r="E108" s="551"/>
      <c r="F108" s="551"/>
      <c r="G108" s="555"/>
    </row>
    <row r="109" spans="2:9" ht="15" x14ac:dyDescent="0.3">
      <c r="B109" s="5"/>
      <c r="C109" s="28"/>
      <c r="D109" s="29"/>
      <c r="E109" s="30"/>
      <c r="F109" s="31"/>
      <c r="G109" s="21"/>
    </row>
    <row r="110" spans="2:9" ht="16.2" thickBot="1" x14ac:dyDescent="0.35">
      <c r="B110" s="559" t="s">
        <v>14</v>
      </c>
      <c r="C110" s="560"/>
      <c r="D110" s="560"/>
      <c r="E110" s="560"/>
      <c r="F110" s="561"/>
      <c r="G110" s="22">
        <f>G109</f>
        <v>0</v>
      </c>
    </row>
    <row r="111" spans="2:9" ht="16.2" thickBot="1" x14ac:dyDescent="0.35">
      <c r="B111" s="579" t="s">
        <v>162</v>
      </c>
      <c r="C111" s="580"/>
      <c r="D111" s="580"/>
      <c r="E111" s="580"/>
      <c r="F111" s="581"/>
      <c r="G111" s="32">
        <f>ROUND(G110+G105+G100+G93,0)</f>
        <v>524157</v>
      </c>
    </row>
    <row r="112" spans="2:9" ht="16.2" thickBot="1" x14ac:dyDescent="0.35">
      <c r="B112" s="582" t="s">
        <v>138</v>
      </c>
      <c r="C112" s="583"/>
      <c r="D112" s="583"/>
      <c r="E112" s="583"/>
      <c r="F112" s="583"/>
      <c r="G112" s="584"/>
    </row>
    <row r="113" spans="2:8" ht="16.2" thickBot="1" x14ac:dyDescent="0.35">
      <c r="B113" s="579" t="s">
        <v>139</v>
      </c>
      <c r="C113" s="581"/>
      <c r="D113" s="15">
        <v>5</v>
      </c>
      <c r="E113" s="579" t="s">
        <v>140</v>
      </c>
      <c r="F113" s="581"/>
      <c r="G113" s="16" t="s">
        <v>82</v>
      </c>
    </row>
    <row r="114" spans="2:8" ht="52.2" customHeight="1" thickBot="1" x14ac:dyDescent="0.35">
      <c r="B114" s="569" t="s">
        <v>141</v>
      </c>
      <c r="C114" s="570"/>
      <c r="D114" s="569" t="s">
        <v>1120</v>
      </c>
      <c r="E114" s="570"/>
      <c r="F114" s="570"/>
      <c r="G114" s="571"/>
    </row>
    <row r="115" spans="2:8" ht="16.2" thickBot="1" x14ac:dyDescent="0.35">
      <c r="B115" s="17" t="s">
        <v>142</v>
      </c>
      <c r="C115" s="572">
        <f>$C$978</f>
        <v>0</v>
      </c>
      <c r="D115" s="572"/>
      <c r="E115" s="572"/>
      <c r="F115" s="572"/>
      <c r="G115" s="572"/>
    </row>
    <row r="116" spans="2:8" ht="16.2" thickBot="1" x14ac:dyDescent="0.35">
      <c r="B116" s="573" t="s">
        <v>143</v>
      </c>
      <c r="C116" s="573"/>
      <c r="D116" s="573"/>
      <c r="E116" s="573"/>
      <c r="F116" s="573"/>
      <c r="G116" s="573"/>
      <c r="H116" s="6"/>
    </row>
    <row r="117" spans="2:8" x14ac:dyDescent="0.3">
      <c r="B117" s="574" t="s">
        <v>2</v>
      </c>
      <c r="C117" s="575"/>
      <c r="D117" s="564" t="s">
        <v>86</v>
      </c>
      <c r="E117" s="564" t="s">
        <v>144</v>
      </c>
      <c r="F117" s="564" t="s">
        <v>150</v>
      </c>
      <c r="G117" s="565" t="s">
        <v>146</v>
      </c>
    </row>
    <row r="118" spans="2:8" x14ac:dyDescent="0.3">
      <c r="B118" s="576"/>
      <c r="C118" s="552"/>
      <c r="D118" s="551"/>
      <c r="E118" s="551"/>
      <c r="F118" s="551"/>
      <c r="G118" s="555"/>
    </row>
    <row r="119" spans="2:8" ht="15" x14ac:dyDescent="0.3">
      <c r="B119" s="577" t="s">
        <v>147</v>
      </c>
      <c r="C119" s="578"/>
      <c r="D119" s="18" t="s">
        <v>148</v>
      </c>
      <c r="E119" s="19"/>
      <c r="F119" s="20">
        <v>0.03</v>
      </c>
      <c r="G119" s="21">
        <f>G132*F119</f>
        <v>1839.33</v>
      </c>
    </row>
    <row r="120" spans="2:8" ht="55.2" customHeight="1" thickBot="1" x14ac:dyDescent="0.35">
      <c r="B120" s="559" t="s">
        <v>14</v>
      </c>
      <c r="C120" s="560"/>
      <c r="D120" s="560"/>
      <c r="E120" s="560"/>
      <c r="F120" s="561"/>
      <c r="G120" s="22">
        <f>SUM(G119:G119)</f>
        <v>1839.33</v>
      </c>
    </row>
    <row r="121" spans="2:8" ht="16.2" thickBot="1" x14ac:dyDescent="0.35">
      <c r="B121" s="566" t="s">
        <v>149</v>
      </c>
      <c r="C121" s="567"/>
      <c r="D121" s="567"/>
      <c r="E121" s="567"/>
      <c r="F121" s="567"/>
      <c r="G121" s="568"/>
    </row>
    <row r="122" spans="2:8" x14ac:dyDescent="0.3">
      <c r="B122" s="574" t="s">
        <v>2</v>
      </c>
      <c r="C122" s="575"/>
      <c r="D122" s="564" t="s">
        <v>86</v>
      </c>
      <c r="E122" s="564" t="s">
        <v>144</v>
      </c>
      <c r="F122" s="564" t="s">
        <v>150</v>
      </c>
      <c r="G122" s="565" t="s">
        <v>146</v>
      </c>
    </row>
    <row r="123" spans="2:8" x14ac:dyDescent="0.3">
      <c r="B123" s="576"/>
      <c r="C123" s="552"/>
      <c r="D123" s="551"/>
      <c r="E123" s="551"/>
      <c r="F123" s="551"/>
      <c r="G123" s="555"/>
    </row>
    <row r="124" spans="2:8" ht="15" x14ac:dyDescent="0.3">
      <c r="B124" s="543" t="str">
        <f>+INSUMOS!B933</f>
        <v>MORTERO 1:3</v>
      </c>
      <c r="C124" s="544"/>
      <c r="D124" s="9" t="str">
        <f>+INSUMOS!C933</f>
        <v>M3</v>
      </c>
      <c r="E124" s="33">
        <f>+INSUMOS!D933</f>
        <v>511454</v>
      </c>
      <c r="F124" s="34">
        <v>0.5</v>
      </c>
      <c r="G124" s="21">
        <f>E124*F124</f>
        <v>255727</v>
      </c>
    </row>
    <row r="125" spans="2:8" ht="15" x14ac:dyDescent="0.3">
      <c r="B125" s="543" t="str">
        <f>+INSUMOS!B954</f>
        <v>SIKA -32</v>
      </c>
      <c r="C125" s="544"/>
      <c r="D125" s="9" t="str">
        <f>+INSUMOS!C954</f>
        <v>KG</v>
      </c>
      <c r="E125" s="33">
        <f>+INSUMOS!D954</f>
        <v>204000</v>
      </c>
      <c r="F125" s="34">
        <v>0.5</v>
      </c>
      <c r="G125" s="21">
        <f>E125*F125</f>
        <v>102000</v>
      </c>
    </row>
    <row r="126" spans="2:8" ht="15" x14ac:dyDescent="0.3">
      <c r="B126" s="543" t="s">
        <v>151</v>
      </c>
      <c r="C126" s="544"/>
      <c r="D126" s="9" t="s">
        <v>152</v>
      </c>
      <c r="E126" s="33"/>
      <c r="F126" s="34">
        <v>0.05</v>
      </c>
      <c r="G126" s="21">
        <f>G124*F126</f>
        <v>12786.35</v>
      </c>
    </row>
    <row r="127" spans="2:8" ht="16.2" thickBot="1" x14ac:dyDescent="0.35">
      <c r="B127" s="559" t="s">
        <v>14</v>
      </c>
      <c r="C127" s="560"/>
      <c r="D127" s="560"/>
      <c r="E127" s="560"/>
      <c r="F127" s="561"/>
      <c r="G127" s="22">
        <f>SUM(G124:G126)</f>
        <v>370513.35</v>
      </c>
    </row>
    <row r="128" spans="2:8" ht="16.2" thickBot="1" x14ac:dyDescent="0.35">
      <c r="B128" s="566" t="s">
        <v>153</v>
      </c>
      <c r="C128" s="567"/>
      <c r="D128" s="567"/>
      <c r="E128" s="567"/>
      <c r="F128" s="567"/>
      <c r="G128" s="568"/>
    </row>
    <row r="129" spans="2:7" x14ac:dyDescent="0.3">
      <c r="B129" s="562" t="s">
        <v>154</v>
      </c>
      <c r="C129" s="549" t="s">
        <v>86</v>
      </c>
      <c r="D129" s="550"/>
      <c r="E129" s="553" t="s">
        <v>155</v>
      </c>
      <c r="F129" s="553" t="s">
        <v>156</v>
      </c>
      <c r="G129" s="555" t="s">
        <v>146</v>
      </c>
    </row>
    <row r="130" spans="2:7" x14ac:dyDescent="0.3">
      <c r="B130" s="563"/>
      <c r="C130" s="551"/>
      <c r="D130" s="552"/>
      <c r="E130" s="554"/>
      <c r="F130" s="554"/>
      <c r="G130" s="556"/>
    </row>
    <row r="131" spans="2:7" ht="30" x14ac:dyDescent="0.25">
      <c r="B131" s="10" t="str">
        <f>+INSUMOS!B914</f>
        <v>CUADRILLA AA - ALBAÑILERIA</v>
      </c>
      <c r="C131" s="557" t="str">
        <f>+INSUMOS!C914</f>
        <v>HC</v>
      </c>
      <c r="D131" s="558"/>
      <c r="E131" s="33">
        <f>+INSUMOS!D914</f>
        <v>40874</v>
      </c>
      <c r="F131" s="34">
        <v>1.5</v>
      </c>
      <c r="G131" s="21">
        <f>E131*F131</f>
        <v>61311</v>
      </c>
    </row>
    <row r="132" spans="2:7" ht="16.2" thickBot="1" x14ac:dyDescent="0.35">
      <c r="B132" s="559" t="s">
        <v>14</v>
      </c>
      <c r="C132" s="560"/>
      <c r="D132" s="560"/>
      <c r="E132" s="560"/>
      <c r="F132" s="561"/>
      <c r="G132" s="22">
        <f>SUM(G131:G131)</f>
        <v>61311</v>
      </c>
    </row>
    <row r="133" spans="2:7" ht="16.2" thickBot="1" x14ac:dyDescent="0.35">
      <c r="B133" s="566" t="s">
        <v>157</v>
      </c>
      <c r="C133" s="567"/>
      <c r="D133" s="567"/>
      <c r="E133" s="567"/>
      <c r="F133" s="567"/>
      <c r="G133" s="568"/>
    </row>
    <row r="134" spans="2:7" x14ac:dyDescent="0.3">
      <c r="B134" s="562" t="s">
        <v>2</v>
      </c>
      <c r="C134" s="553" t="s">
        <v>86</v>
      </c>
      <c r="D134" s="564" t="s">
        <v>159</v>
      </c>
      <c r="E134" s="564" t="s">
        <v>163</v>
      </c>
      <c r="F134" s="564" t="s">
        <v>161</v>
      </c>
      <c r="G134" s="565" t="s">
        <v>146</v>
      </c>
    </row>
    <row r="135" spans="2:7" x14ac:dyDescent="0.3">
      <c r="B135" s="563"/>
      <c r="C135" s="554"/>
      <c r="D135" s="551"/>
      <c r="E135" s="551"/>
      <c r="F135" s="551"/>
      <c r="G135" s="555"/>
    </row>
    <row r="136" spans="2:7" ht="30" x14ac:dyDescent="0.3">
      <c r="B136" s="5" t="str">
        <f>+INSUMOS!B937</f>
        <v>ACARREO EN CARRETILLA DISTANCIA MAX. 100 ML</v>
      </c>
      <c r="C136" s="28" t="str">
        <f>+INSUMOS!C937</f>
        <v>M3</v>
      </c>
      <c r="D136" s="29">
        <v>0.1</v>
      </c>
      <c r="E136" s="30">
        <v>0.1</v>
      </c>
      <c r="F136" s="31">
        <f>+INSUMOS!D937</f>
        <v>19313</v>
      </c>
      <c r="G136" s="21">
        <f>E136*F136</f>
        <v>1931.3000000000002</v>
      </c>
    </row>
    <row r="137" spans="2:7" ht="16.2" thickBot="1" x14ac:dyDescent="0.35">
      <c r="B137" s="559" t="s">
        <v>14</v>
      </c>
      <c r="C137" s="560"/>
      <c r="D137" s="560"/>
      <c r="E137" s="560"/>
      <c r="F137" s="561"/>
      <c r="G137" s="22">
        <f>G136</f>
        <v>1931.3000000000002</v>
      </c>
    </row>
    <row r="138" spans="2:7" ht="16.2" thickBot="1" x14ac:dyDescent="0.35">
      <c r="B138" s="579" t="s">
        <v>162</v>
      </c>
      <c r="C138" s="580"/>
      <c r="D138" s="580"/>
      <c r="E138" s="580"/>
      <c r="F138" s="581"/>
      <c r="G138" s="32">
        <f>ROUND(G137+G132+G127+G120,0)</f>
        <v>435595</v>
      </c>
    </row>
    <row r="139" spans="2:7" ht="16.2" thickBot="1" x14ac:dyDescent="0.35">
      <c r="B139" s="546" t="s">
        <v>138</v>
      </c>
      <c r="C139" s="547"/>
      <c r="D139" s="547"/>
      <c r="E139" s="547"/>
      <c r="F139" s="547"/>
      <c r="G139" s="548"/>
    </row>
    <row r="140" spans="2:7" ht="16.2" thickBot="1" x14ac:dyDescent="0.35">
      <c r="B140" s="528" t="s">
        <v>139</v>
      </c>
      <c r="C140" s="530"/>
      <c r="D140" s="35">
        <v>6</v>
      </c>
      <c r="E140" s="528" t="s">
        <v>140</v>
      </c>
      <c r="F140" s="530"/>
      <c r="G140" s="36" t="s">
        <v>3</v>
      </c>
    </row>
    <row r="141" spans="2:7" ht="45.6" customHeight="1" thickBot="1" x14ac:dyDescent="0.35">
      <c r="B141" s="531" t="s">
        <v>141</v>
      </c>
      <c r="C141" s="532"/>
      <c r="D141" s="531" t="s">
        <v>1123</v>
      </c>
      <c r="E141" s="532"/>
      <c r="F141" s="532"/>
      <c r="G141" s="533"/>
    </row>
    <row r="142" spans="2:7" ht="16.2" thickBot="1" x14ac:dyDescent="0.35">
      <c r="B142" s="37" t="s">
        <v>142</v>
      </c>
      <c r="C142" s="545"/>
      <c r="D142" s="545"/>
      <c r="E142" s="545"/>
      <c r="F142" s="545"/>
      <c r="G142" s="545"/>
    </row>
    <row r="143" spans="2:7" ht="16.2" thickBot="1" x14ac:dyDescent="0.35">
      <c r="B143" s="524" t="s">
        <v>143</v>
      </c>
      <c r="C143" s="524"/>
      <c r="D143" s="524"/>
      <c r="E143" s="524"/>
      <c r="F143" s="524"/>
      <c r="G143" s="524"/>
    </row>
    <row r="144" spans="2:7" x14ac:dyDescent="0.3">
      <c r="B144" s="516" t="s">
        <v>2</v>
      </c>
      <c r="C144" s="517"/>
      <c r="D144" s="520" t="s">
        <v>86</v>
      </c>
      <c r="E144" s="520" t="s">
        <v>144</v>
      </c>
      <c r="F144" s="520" t="s">
        <v>145</v>
      </c>
      <c r="G144" s="522" t="s">
        <v>146</v>
      </c>
    </row>
    <row r="145" spans="2:7" x14ac:dyDescent="0.3">
      <c r="B145" s="518"/>
      <c r="C145" s="519"/>
      <c r="D145" s="521"/>
      <c r="E145" s="521"/>
      <c r="F145" s="521"/>
      <c r="G145" s="523"/>
    </row>
    <row r="146" spans="2:7" ht="15" x14ac:dyDescent="0.3">
      <c r="B146" s="509" t="str">
        <f>+INSUMOS!B923</f>
        <v>ALQUILER EQUIPO DE SOLDADURA 225 AMP</v>
      </c>
      <c r="C146" s="510"/>
      <c r="D146" s="38" t="str">
        <f>+INSUMOS!C923</f>
        <v>DIA</v>
      </c>
      <c r="E146" s="39">
        <f>+INSUMOS!D923</f>
        <v>90000</v>
      </c>
      <c r="F146" s="40">
        <v>0.3</v>
      </c>
      <c r="G146" s="41">
        <f>G159*F146</f>
        <v>8997.7571160000007</v>
      </c>
    </row>
    <row r="147" spans="2:7" ht="15" x14ac:dyDescent="0.3">
      <c r="B147" s="511" t="s">
        <v>147</v>
      </c>
      <c r="C147" s="512"/>
      <c r="D147" s="38" t="s">
        <v>148</v>
      </c>
      <c r="E147" s="39"/>
      <c r="F147" s="42">
        <v>0.03</v>
      </c>
      <c r="G147" s="41">
        <f>G160*F147</f>
        <v>899.77571160000002</v>
      </c>
    </row>
    <row r="148" spans="2:7" ht="16.2" thickBot="1" x14ac:dyDescent="0.35">
      <c r="B148" s="525" t="s">
        <v>14</v>
      </c>
      <c r="C148" s="526"/>
      <c r="D148" s="526"/>
      <c r="E148" s="526"/>
      <c r="F148" s="527"/>
      <c r="G148" s="43">
        <f>SUM(G146:G147)</f>
        <v>9897.5328276</v>
      </c>
    </row>
    <row r="149" spans="2:7" ht="16.2" thickBot="1" x14ac:dyDescent="0.35">
      <c r="B149" s="513" t="s">
        <v>149</v>
      </c>
      <c r="C149" s="514"/>
      <c r="D149" s="514"/>
      <c r="E149" s="514"/>
      <c r="F149" s="514"/>
      <c r="G149" s="515"/>
    </row>
    <row r="150" spans="2:7" x14ac:dyDescent="0.3">
      <c r="B150" s="516" t="s">
        <v>2</v>
      </c>
      <c r="C150" s="517"/>
      <c r="D150" s="520" t="s">
        <v>86</v>
      </c>
      <c r="E150" s="520" t="s">
        <v>144</v>
      </c>
      <c r="F150" s="520" t="s">
        <v>150</v>
      </c>
      <c r="G150" s="522" t="s">
        <v>146</v>
      </c>
    </row>
    <row r="151" spans="2:7" x14ac:dyDescent="0.3">
      <c r="B151" s="518"/>
      <c r="C151" s="519"/>
      <c r="D151" s="521"/>
      <c r="E151" s="521"/>
      <c r="F151" s="521"/>
      <c r="G151" s="523"/>
    </row>
    <row r="152" spans="2:7" ht="54.6" customHeight="1" x14ac:dyDescent="0.3">
      <c r="B152" s="543" t="str">
        <f>+INSUMOS!B911</f>
        <v>SOLDADURA 60-11</v>
      </c>
      <c r="C152" s="544"/>
      <c r="D152" s="9" t="str">
        <f>+INSUMOS!C911</f>
        <v>KG</v>
      </c>
      <c r="E152" s="44">
        <f>+INSUMOS!D911</f>
        <v>27489</v>
      </c>
      <c r="F152" s="45">
        <v>0.08</v>
      </c>
      <c r="G152" s="41">
        <f t="shared" ref="G152:G154" si="3">IF(F152=0,"",F152*E152)</f>
        <v>2199.12</v>
      </c>
    </row>
    <row r="153" spans="2:7" ht="15" x14ac:dyDescent="0.3">
      <c r="B153" s="543" t="str">
        <f>+INSUMOS!B907</f>
        <v>PINTURA ANTICORROSIVA CORROTEC O SIMILAR</v>
      </c>
      <c r="C153" s="544"/>
      <c r="D153" s="9" t="str">
        <f>+INSUMOS!C907</f>
        <v>GAL</v>
      </c>
      <c r="E153" s="44">
        <f>+INSUMOS!D907</f>
        <v>72900</v>
      </c>
      <c r="F153" s="46">
        <v>1</v>
      </c>
      <c r="G153" s="41">
        <f t="shared" si="3"/>
        <v>72900</v>
      </c>
    </row>
    <row r="154" spans="2:7" ht="15" x14ac:dyDescent="0.3">
      <c r="B154" s="543" t="str">
        <f>+INSUMOS!B925</f>
        <v>BROCHA 3"</v>
      </c>
      <c r="C154" s="544"/>
      <c r="D154" s="9" t="str">
        <f>+INSUMOS!C925</f>
        <v>UND</v>
      </c>
      <c r="E154" s="44">
        <f>+INSUMOS!D925</f>
        <v>8000</v>
      </c>
      <c r="F154" s="45">
        <v>1</v>
      </c>
      <c r="G154" s="41">
        <f t="shared" si="3"/>
        <v>8000</v>
      </c>
    </row>
    <row r="155" spans="2:7" ht="16.2" thickBot="1" x14ac:dyDescent="0.35">
      <c r="B155" s="525" t="s">
        <v>14</v>
      </c>
      <c r="C155" s="526"/>
      <c r="D155" s="526"/>
      <c r="E155" s="526"/>
      <c r="F155" s="527"/>
      <c r="G155" s="43">
        <f>SUM(G152:G154)</f>
        <v>83099.12</v>
      </c>
    </row>
    <row r="156" spans="2:7" ht="16.2" thickBot="1" x14ac:dyDescent="0.35">
      <c r="B156" s="513" t="s">
        <v>153</v>
      </c>
      <c r="C156" s="514"/>
      <c r="D156" s="514"/>
      <c r="E156" s="514"/>
      <c r="F156" s="514"/>
      <c r="G156" s="515"/>
    </row>
    <row r="157" spans="2:7" x14ac:dyDescent="0.3">
      <c r="B157" s="536" t="s">
        <v>154</v>
      </c>
      <c r="C157" s="540" t="s">
        <v>86</v>
      </c>
      <c r="D157" s="541"/>
      <c r="E157" s="538" t="s">
        <v>155</v>
      </c>
      <c r="F157" s="538" t="s">
        <v>156</v>
      </c>
      <c r="G157" s="523" t="s">
        <v>146</v>
      </c>
    </row>
    <row r="158" spans="2:7" x14ac:dyDescent="0.3">
      <c r="B158" s="537"/>
      <c r="C158" s="521"/>
      <c r="D158" s="519"/>
      <c r="E158" s="539"/>
      <c r="F158" s="539"/>
      <c r="G158" s="542"/>
    </row>
    <row r="159" spans="2:7" ht="30" x14ac:dyDescent="0.25">
      <c r="B159" s="47" t="str">
        <f>[112]INSUMOS!$B$11</f>
        <v>CUADRILLA AA - ALBAÑILERIA</v>
      </c>
      <c r="C159" s="534" t="str">
        <f>[112]INSUMOS!$C$11</f>
        <v>HC</v>
      </c>
      <c r="D159" s="535"/>
      <c r="E159" s="44">
        <f>[112]INSUMOS!$D$11</f>
        <v>40874</v>
      </c>
      <c r="F159" s="45">
        <v>0.73377999999999999</v>
      </c>
      <c r="G159" s="41">
        <f>E159*F159</f>
        <v>29992.523720000001</v>
      </c>
    </row>
    <row r="160" spans="2:7" ht="16.2" thickBot="1" x14ac:dyDescent="0.35">
      <c r="B160" s="525" t="s">
        <v>14</v>
      </c>
      <c r="C160" s="526"/>
      <c r="D160" s="526"/>
      <c r="E160" s="526"/>
      <c r="F160" s="527"/>
      <c r="G160" s="43">
        <f>SUM(G159:G159)</f>
        <v>29992.523720000001</v>
      </c>
    </row>
    <row r="161" spans="2:7" ht="16.2" thickBot="1" x14ac:dyDescent="0.35">
      <c r="B161" s="513" t="s">
        <v>157</v>
      </c>
      <c r="C161" s="514"/>
      <c r="D161" s="514"/>
      <c r="E161" s="514"/>
      <c r="F161" s="514"/>
      <c r="G161" s="515"/>
    </row>
    <row r="162" spans="2:7" x14ac:dyDescent="0.3">
      <c r="B162" s="536" t="s">
        <v>2</v>
      </c>
      <c r="C162" s="538" t="s">
        <v>158</v>
      </c>
      <c r="D162" s="520" t="s">
        <v>159</v>
      </c>
      <c r="E162" s="520" t="s">
        <v>160</v>
      </c>
      <c r="F162" s="520" t="s">
        <v>161</v>
      </c>
      <c r="G162" s="522" t="s">
        <v>146</v>
      </c>
    </row>
    <row r="163" spans="2:7" x14ac:dyDescent="0.3">
      <c r="B163" s="537"/>
      <c r="C163" s="539"/>
      <c r="D163" s="521"/>
      <c r="E163" s="521"/>
      <c r="F163" s="521"/>
      <c r="G163" s="523"/>
    </row>
    <row r="164" spans="2:7" ht="30" x14ac:dyDescent="0.3">
      <c r="B164" s="11" t="s">
        <v>116</v>
      </c>
      <c r="C164" s="48" t="s">
        <v>152</v>
      </c>
      <c r="D164" s="49"/>
      <c r="E164" s="50"/>
      <c r="F164" s="51">
        <v>0.03</v>
      </c>
      <c r="G164" s="41">
        <f>G155*F164</f>
        <v>2492.9735999999998</v>
      </c>
    </row>
    <row r="165" spans="2:7" ht="16.2" thickBot="1" x14ac:dyDescent="0.35">
      <c r="B165" s="525" t="s">
        <v>14</v>
      </c>
      <c r="C165" s="526"/>
      <c r="D165" s="526"/>
      <c r="E165" s="526"/>
      <c r="F165" s="527"/>
      <c r="G165" s="43">
        <f>G164</f>
        <v>2492.9735999999998</v>
      </c>
    </row>
    <row r="166" spans="2:7" ht="16.2" thickBot="1" x14ac:dyDescent="0.35">
      <c r="B166" s="528" t="s">
        <v>162</v>
      </c>
      <c r="C166" s="529"/>
      <c r="D166" s="529"/>
      <c r="E166" s="529"/>
      <c r="F166" s="530"/>
      <c r="G166" s="52">
        <f>ROUND(G165+G160+G155+G148,0)</f>
        <v>125482</v>
      </c>
    </row>
    <row r="167" spans="2:7" ht="16.2" thickBot="1" x14ac:dyDescent="0.35">
      <c r="B167" s="546" t="s">
        <v>138</v>
      </c>
      <c r="C167" s="547"/>
      <c r="D167" s="547"/>
      <c r="E167" s="547"/>
      <c r="F167" s="547"/>
      <c r="G167" s="548"/>
    </row>
    <row r="168" spans="2:7" ht="16.2" thickBot="1" x14ac:dyDescent="0.35">
      <c r="B168" s="528" t="s">
        <v>139</v>
      </c>
      <c r="C168" s="530"/>
      <c r="D168" s="35">
        <v>7</v>
      </c>
      <c r="E168" s="528" t="s">
        <v>140</v>
      </c>
      <c r="F168" s="530"/>
      <c r="G168" s="36" t="s">
        <v>3</v>
      </c>
    </row>
    <row r="169" spans="2:7" ht="43.8" customHeight="1" thickBot="1" x14ac:dyDescent="0.35">
      <c r="B169" s="531" t="s">
        <v>141</v>
      </c>
      <c r="C169" s="532"/>
      <c r="D169" s="592" t="s">
        <v>1126</v>
      </c>
      <c r="E169" s="593"/>
      <c r="F169" s="593"/>
      <c r="G169" s="594"/>
    </row>
    <row r="170" spans="2:7" ht="16.2" thickBot="1" x14ac:dyDescent="0.35">
      <c r="B170" s="37" t="s">
        <v>142</v>
      </c>
      <c r="C170" s="545"/>
      <c r="D170" s="545"/>
      <c r="E170" s="545"/>
      <c r="F170" s="545"/>
      <c r="G170" s="545"/>
    </row>
    <row r="171" spans="2:7" ht="16.2" thickBot="1" x14ac:dyDescent="0.35">
      <c r="B171" s="524" t="s">
        <v>143</v>
      </c>
      <c r="C171" s="524"/>
      <c r="D171" s="524"/>
      <c r="E171" s="524"/>
      <c r="F171" s="524"/>
      <c r="G171" s="524"/>
    </row>
    <row r="172" spans="2:7" x14ac:dyDescent="0.3">
      <c r="B172" s="516" t="s">
        <v>2</v>
      </c>
      <c r="C172" s="517"/>
      <c r="D172" s="520" t="s">
        <v>86</v>
      </c>
      <c r="E172" s="520" t="s">
        <v>144</v>
      </c>
      <c r="F172" s="520" t="s">
        <v>145</v>
      </c>
      <c r="G172" s="522" t="s">
        <v>146</v>
      </c>
    </row>
    <row r="173" spans="2:7" x14ac:dyDescent="0.3">
      <c r="B173" s="518"/>
      <c r="C173" s="519"/>
      <c r="D173" s="521"/>
      <c r="E173" s="521"/>
      <c r="F173" s="521"/>
      <c r="G173" s="523"/>
    </row>
    <row r="174" spans="2:7" ht="15" x14ac:dyDescent="0.3">
      <c r="B174" s="509" t="str">
        <f>+INSUMOS!B923</f>
        <v>ALQUILER EQUIPO DE SOLDADURA 225 AMP</v>
      </c>
      <c r="C174" s="510"/>
      <c r="D174" s="38" t="str">
        <f>+INSUMOS!C923</f>
        <v>DIA</v>
      </c>
      <c r="E174" s="39">
        <f>+INSUMOS!D923</f>
        <v>90000</v>
      </c>
      <c r="F174" s="40">
        <v>0.3</v>
      </c>
      <c r="G174" s="41">
        <f>G188*F174</f>
        <v>8997.7571160000007</v>
      </c>
    </row>
    <row r="175" spans="2:7" ht="15" x14ac:dyDescent="0.3">
      <c r="B175" s="511" t="s">
        <v>147</v>
      </c>
      <c r="C175" s="512"/>
      <c r="D175" s="38" t="s">
        <v>148</v>
      </c>
      <c r="E175" s="39"/>
      <c r="F175" s="42">
        <v>0.03</v>
      </c>
      <c r="G175" s="41">
        <f>G189*F175</f>
        <v>899.77571160000002</v>
      </c>
    </row>
    <row r="176" spans="2:7" ht="16.2" thickBot="1" x14ac:dyDescent="0.35">
      <c r="B176" s="525" t="s">
        <v>14</v>
      </c>
      <c r="C176" s="526"/>
      <c r="D176" s="526"/>
      <c r="E176" s="526"/>
      <c r="F176" s="527"/>
      <c r="G176" s="43">
        <f>SUM(G174:G175)</f>
        <v>9897.5328276</v>
      </c>
    </row>
    <row r="177" spans="2:7" ht="16.2" thickBot="1" x14ac:dyDescent="0.35">
      <c r="B177" s="513" t="s">
        <v>149</v>
      </c>
      <c r="C177" s="514"/>
      <c r="D177" s="514"/>
      <c r="E177" s="514"/>
      <c r="F177" s="514"/>
      <c r="G177" s="515"/>
    </row>
    <row r="178" spans="2:7" x14ac:dyDescent="0.3">
      <c r="B178" s="516" t="s">
        <v>2</v>
      </c>
      <c r="C178" s="517"/>
      <c r="D178" s="520" t="s">
        <v>86</v>
      </c>
      <c r="E178" s="520" t="s">
        <v>144</v>
      </c>
      <c r="F178" s="520" t="s">
        <v>150</v>
      </c>
      <c r="G178" s="522" t="s">
        <v>146</v>
      </c>
    </row>
    <row r="179" spans="2:7" x14ac:dyDescent="0.3">
      <c r="B179" s="518"/>
      <c r="C179" s="519"/>
      <c r="D179" s="521"/>
      <c r="E179" s="521"/>
      <c r="F179" s="521"/>
      <c r="G179" s="523"/>
    </row>
    <row r="180" spans="2:7" ht="54.6" customHeight="1" x14ac:dyDescent="0.3">
      <c r="B180" s="543" t="str">
        <f>+INSUMOS!B911</f>
        <v>SOLDADURA 60-11</v>
      </c>
      <c r="C180" s="544"/>
      <c r="D180" s="9" t="str">
        <f>+INSUMOS!C911</f>
        <v>KG</v>
      </c>
      <c r="E180" s="44">
        <f>+INSUMOS!D911</f>
        <v>27489</v>
      </c>
      <c r="F180" s="45">
        <v>0.08</v>
      </c>
      <c r="G180" s="41">
        <f t="shared" ref="G180:G183" si="4">IF(F180=0,"",F180*E180)</f>
        <v>2199.12</v>
      </c>
    </row>
    <row r="181" spans="2:7" ht="15" x14ac:dyDescent="0.3">
      <c r="B181" s="543" t="str">
        <f>+INSUMOS!B907</f>
        <v>PINTURA ANTICORROSIVA CORROTEC O SIMILAR</v>
      </c>
      <c r="C181" s="544"/>
      <c r="D181" s="9" t="str">
        <f>+INSUMOS!C907</f>
        <v>GAL</v>
      </c>
      <c r="E181" s="44">
        <f>+INSUMOS!D907</f>
        <v>72900</v>
      </c>
      <c r="F181" s="45">
        <v>1</v>
      </c>
      <c r="G181" s="41">
        <f t="shared" si="4"/>
        <v>72900</v>
      </c>
    </row>
    <row r="182" spans="2:7" ht="15" x14ac:dyDescent="0.3">
      <c r="B182" s="543" t="str">
        <f>+INSUMOS!B925</f>
        <v>BROCHA 3"</v>
      </c>
      <c r="C182" s="544"/>
      <c r="D182" s="9" t="str">
        <f>+INSUMOS!C925</f>
        <v>UND</v>
      </c>
      <c r="E182" s="44">
        <f>+INSUMOS!D925</f>
        <v>8000</v>
      </c>
      <c r="F182" s="45">
        <v>1</v>
      </c>
      <c r="G182" s="41">
        <f t="shared" si="4"/>
        <v>8000</v>
      </c>
    </row>
    <row r="183" spans="2:7" ht="15" x14ac:dyDescent="0.3">
      <c r="B183" s="543" t="str">
        <f>+INSUMOS!B955</f>
        <v>PORTERÍA MULTIFUNCIONAL</v>
      </c>
      <c r="C183" s="544"/>
      <c r="D183" s="13" t="str">
        <f>+INSUMOS!C955</f>
        <v>UN</v>
      </c>
      <c r="E183" s="53">
        <f>+INSUMOS!D955</f>
        <v>2100000</v>
      </c>
      <c r="F183" s="54">
        <v>1</v>
      </c>
      <c r="G183" s="41">
        <f t="shared" si="4"/>
        <v>2100000</v>
      </c>
    </row>
    <row r="184" spans="2:7" ht="16.2" thickBot="1" x14ac:dyDescent="0.35">
      <c r="B184" s="525" t="s">
        <v>14</v>
      </c>
      <c r="C184" s="526"/>
      <c r="D184" s="526"/>
      <c r="E184" s="526"/>
      <c r="F184" s="527"/>
      <c r="G184" s="43">
        <f>SUM(G180:G183)</f>
        <v>2183099.12</v>
      </c>
    </row>
    <row r="185" spans="2:7" ht="16.2" thickBot="1" x14ac:dyDescent="0.35">
      <c r="B185" s="513" t="s">
        <v>153</v>
      </c>
      <c r="C185" s="514"/>
      <c r="D185" s="514"/>
      <c r="E185" s="514"/>
      <c r="F185" s="514"/>
      <c r="G185" s="515"/>
    </row>
    <row r="186" spans="2:7" x14ac:dyDescent="0.3">
      <c r="B186" s="536" t="s">
        <v>154</v>
      </c>
      <c r="C186" s="540" t="s">
        <v>86</v>
      </c>
      <c r="D186" s="541"/>
      <c r="E186" s="538" t="s">
        <v>155</v>
      </c>
      <c r="F186" s="538" t="s">
        <v>156</v>
      </c>
      <c r="G186" s="523" t="s">
        <v>146</v>
      </c>
    </row>
    <row r="187" spans="2:7" x14ac:dyDescent="0.3">
      <c r="B187" s="537"/>
      <c r="C187" s="521"/>
      <c r="D187" s="519"/>
      <c r="E187" s="539"/>
      <c r="F187" s="539"/>
      <c r="G187" s="542"/>
    </row>
    <row r="188" spans="2:7" ht="30" x14ac:dyDescent="0.25">
      <c r="B188" s="47" t="str">
        <f>+INSUMOS!B914</f>
        <v>CUADRILLA AA - ALBAÑILERIA</v>
      </c>
      <c r="C188" s="534" t="str">
        <f>+INSUMOS!C914</f>
        <v>HC</v>
      </c>
      <c r="D188" s="535"/>
      <c r="E188" s="44">
        <f>+INSUMOS!D914</f>
        <v>40874</v>
      </c>
      <c r="F188" s="45">
        <v>0.73377999999999999</v>
      </c>
      <c r="G188" s="41">
        <f>E188*F188</f>
        <v>29992.523720000001</v>
      </c>
    </row>
    <row r="189" spans="2:7" ht="16.2" thickBot="1" x14ac:dyDescent="0.35">
      <c r="B189" s="525" t="s">
        <v>14</v>
      </c>
      <c r="C189" s="526"/>
      <c r="D189" s="526"/>
      <c r="E189" s="526"/>
      <c r="F189" s="527"/>
      <c r="G189" s="43">
        <f>SUM(G188:G188)</f>
        <v>29992.523720000001</v>
      </c>
    </row>
    <row r="190" spans="2:7" ht="16.2" thickBot="1" x14ac:dyDescent="0.35">
      <c r="B190" s="513" t="s">
        <v>157</v>
      </c>
      <c r="C190" s="514"/>
      <c r="D190" s="514"/>
      <c r="E190" s="514"/>
      <c r="F190" s="514"/>
      <c r="G190" s="515"/>
    </row>
    <row r="191" spans="2:7" x14ac:dyDescent="0.3">
      <c r="B191" s="536" t="s">
        <v>2</v>
      </c>
      <c r="C191" s="538" t="s">
        <v>158</v>
      </c>
      <c r="D191" s="520" t="s">
        <v>159</v>
      </c>
      <c r="E191" s="520" t="s">
        <v>160</v>
      </c>
      <c r="F191" s="520" t="s">
        <v>161</v>
      </c>
      <c r="G191" s="522" t="s">
        <v>146</v>
      </c>
    </row>
    <row r="192" spans="2:7" x14ac:dyDescent="0.3">
      <c r="B192" s="537"/>
      <c r="C192" s="539"/>
      <c r="D192" s="521"/>
      <c r="E192" s="521"/>
      <c r="F192" s="521"/>
      <c r="G192" s="523"/>
    </row>
    <row r="193" spans="2:7" ht="30" x14ac:dyDescent="0.3">
      <c r="B193" s="11" t="s">
        <v>116</v>
      </c>
      <c r="C193" s="48" t="s">
        <v>152</v>
      </c>
      <c r="D193" s="49"/>
      <c r="E193" s="50"/>
      <c r="F193" s="51">
        <v>0.03</v>
      </c>
      <c r="G193" s="41">
        <f>G184*F193</f>
        <v>65492.973599999998</v>
      </c>
    </row>
    <row r="194" spans="2:7" ht="16.2" thickBot="1" x14ac:dyDescent="0.35">
      <c r="B194" s="525" t="s">
        <v>14</v>
      </c>
      <c r="C194" s="526"/>
      <c r="D194" s="526"/>
      <c r="E194" s="526"/>
      <c r="F194" s="527"/>
      <c r="G194" s="43">
        <f>G193</f>
        <v>65492.973599999998</v>
      </c>
    </row>
    <row r="195" spans="2:7" ht="16.2" thickBot="1" x14ac:dyDescent="0.35">
      <c r="B195" s="528" t="s">
        <v>162</v>
      </c>
      <c r="C195" s="529"/>
      <c r="D195" s="529"/>
      <c r="E195" s="529"/>
      <c r="F195" s="530"/>
      <c r="G195" s="52">
        <f>ROUND(G194+G189+G184+G176,0)</f>
        <v>2288482</v>
      </c>
    </row>
    <row r="196" spans="2:7" ht="16.2" thickBot="1" x14ac:dyDescent="0.35">
      <c r="B196" s="546" t="s">
        <v>138</v>
      </c>
      <c r="C196" s="547"/>
      <c r="D196" s="547"/>
      <c r="E196" s="547"/>
      <c r="F196" s="547"/>
      <c r="G196" s="548"/>
    </row>
    <row r="197" spans="2:7" ht="16.2" thickBot="1" x14ac:dyDescent="0.35">
      <c r="B197" s="528" t="s">
        <v>139</v>
      </c>
      <c r="C197" s="530"/>
      <c r="D197" s="35">
        <v>8</v>
      </c>
      <c r="E197" s="528" t="s">
        <v>140</v>
      </c>
      <c r="F197" s="530"/>
      <c r="G197" s="36" t="s">
        <v>3</v>
      </c>
    </row>
    <row r="198" spans="2:7" ht="39" customHeight="1" thickBot="1" x14ac:dyDescent="0.35">
      <c r="B198" s="531" t="s">
        <v>141</v>
      </c>
      <c r="C198" s="532"/>
      <c r="D198" s="531" t="s">
        <v>1127</v>
      </c>
      <c r="E198" s="532"/>
      <c r="F198" s="532"/>
      <c r="G198" s="533"/>
    </row>
    <row r="199" spans="2:7" ht="16.2" thickBot="1" x14ac:dyDescent="0.35">
      <c r="B199" s="37" t="s">
        <v>142</v>
      </c>
      <c r="C199" s="545"/>
      <c r="D199" s="545"/>
      <c r="E199" s="545"/>
      <c r="F199" s="545"/>
      <c r="G199" s="545"/>
    </row>
    <row r="200" spans="2:7" ht="16.2" thickBot="1" x14ac:dyDescent="0.35">
      <c r="B200" s="524" t="s">
        <v>143</v>
      </c>
      <c r="C200" s="524"/>
      <c r="D200" s="524"/>
      <c r="E200" s="524"/>
      <c r="F200" s="524"/>
      <c r="G200" s="524"/>
    </row>
    <row r="201" spans="2:7" x14ac:dyDescent="0.3">
      <c r="B201" s="516" t="s">
        <v>2</v>
      </c>
      <c r="C201" s="517"/>
      <c r="D201" s="520" t="s">
        <v>86</v>
      </c>
      <c r="E201" s="520" t="s">
        <v>144</v>
      </c>
      <c r="F201" s="520" t="s">
        <v>145</v>
      </c>
      <c r="G201" s="522" t="s">
        <v>146</v>
      </c>
    </row>
    <row r="202" spans="2:7" x14ac:dyDescent="0.3">
      <c r="B202" s="518"/>
      <c r="C202" s="519"/>
      <c r="D202" s="521"/>
      <c r="E202" s="521"/>
      <c r="F202" s="521"/>
      <c r="G202" s="523"/>
    </row>
    <row r="203" spans="2:7" ht="15" x14ac:dyDescent="0.3">
      <c r="B203" s="509" t="str">
        <f>+INSUMOS!B923</f>
        <v>ALQUILER EQUIPO DE SOLDADURA 225 AMP</v>
      </c>
      <c r="C203" s="510"/>
      <c r="D203" s="38" t="str">
        <f>+INSUMOS!C923</f>
        <v>DIA</v>
      </c>
      <c r="E203" s="39">
        <f>+INSUMOS!D923</f>
        <v>90000</v>
      </c>
      <c r="F203" s="40">
        <v>0.1</v>
      </c>
      <c r="G203" s="41">
        <f>G215*F203</f>
        <v>3599.117522</v>
      </c>
    </row>
    <row r="204" spans="2:7" ht="15" x14ac:dyDescent="0.3">
      <c r="B204" s="511" t="s">
        <v>147</v>
      </c>
      <c r="C204" s="512"/>
      <c r="D204" s="38" t="s">
        <v>148</v>
      </c>
      <c r="E204" s="39"/>
      <c r="F204" s="42">
        <v>0.03</v>
      </c>
      <c r="G204" s="41">
        <f>G216*F204</f>
        <v>1079.7352566</v>
      </c>
    </row>
    <row r="205" spans="2:7" ht="16.2" thickBot="1" x14ac:dyDescent="0.35">
      <c r="B205" s="525" t="s">
        <v>14</v>
      </c>
      <c r="C205" s="526"/>
      <c r="D205" s="526"/>
      <c r="E205" s="526"/>
      <c r="F205" s="527"/>
      <c r="G205" s="43">
        <f>SUM(G203:G204)</f>
        <v>4678.8527785999995</v>
      </c>
    </row>
    <row r="206" spans="2:7" ht="16.2" thickBot="1" x14ac:dyDescent="0.35">
      <c r="B206" s="513" t="s">
        <v>149</v>
      </c>
      <c r="C206" s="514"/>
      <c r="D206" s="514"/>
      <c r="E206" s="514"/>
      <c r="F206" s="514"/>
      <c r="G206" s="515"/>
    </row>
    <row r="207" spans="2:7" x14ac:dyDescent="0.3">
      <c r="B207" s="516" t="s">
        <v>2</v>
      </c>
      <c r="C207" s="517"/>
      <c r="D207" s="520" t="s">
        <v>86</v>
      </c>
      <c r="E207" s="520" t="s">
        <v>144</v>
      </c>
      <c r="F207" s="520" t="s">
        <v>150</v>
      </c>
      <c r="G207" s="522" t="s">
        <v>146</v>
      </c>
    </row>
    <row r="208" spans="2:7" x14ac:dyDescent="0.3">
      <c r="B208" s="518"/>
      <c r="C208" s="519"/>
      <c r="D208" s="521"/>
      <c r="E208" s="521"/>
      <c r="F208" s="521"/>
      <c r="G208" s="523"/>
    </row>
    <row r="209" spans="2:7" ht="37.950000000000003" customHeight="1" x14ac:dyDescent="0.3">
      <c r="B209" s="543" t="str">
        <f>+INSUMOS!B911</f>
        <v>SOLDADURA 60-11</v>
      </c>
      <c r="C209" s="544"/>
      <c r="D209" s="9" t="str">
        <f>+INSUMOS!C911</f>
        <v>KG</v>
      </c>
      <c r="E209" s="44">
        <f>+INSUMOS!D911</f>
        <v>27489</v>
      </c>
      <c r="F209" s="45">
        <v>0.08</v>
      </c>
      <c r="G209" s="41">
        <f t="shared" ref="G209:G210" si="5">IF(F209=0,"",F209*E209)</f>
        <v>2199.12</v>
      </c>
    </row>
    <row r="210" spans="2:7" ht="60.6" customHeight="1" x14ac:dyDescent="0.3">
      <c r="B210" s="543" t="str">
        <f>+INSUMOS!B956</f>
        <v>MALLA ESLABONADA  GALVANIZADA 6mm</v>
      </c>
      <c r="C210" s="544"/>
      <c r="D210" s="9" t="str">
        <f>+INSUMOS!C956</f>
        <v>ML</v>
      </c>
      <c r="E210" s="44">
        <f>+INSUMOS!D956</f>
        <v>280000</v>
      </c>
      <c r="F210" s="45">
        <v>0.18</v>
      </c>
      <c r="G210" s="41">
        <f t="shared" si="5"/>
        <v>50400</v>
      </c>
    </row>
    <row r="211" spans="2:7" ht="16.2" thickBot="1" x14ac:dyDescent="0.35">
      <c r="B211" s="525" t="s">
        <v>14</v>
      </c>
      <c r="C211" s="526"/>
      <c r="D211" s="526"/>
      <c r="E211" s="526"/>
      <c r="F211" s="527"/>
      <c r="G211" s="43">
        <f>SUM(G209:G210)</f>
        <v>52599.12</v>
      </c>
    </row>
    <row r="212" spans="2:7" ht="16.2" thickBot="1" x14ac:dyDescent="0.35">
      <c r="B212" s="513" t="s">
        <v>153</v>
      </c>
      <c r="C212" s="514"/>
      <c r="D212" s="514"/>
      <c r="E212" s="514"/>
      <c r="F212" s="514"/>
      <c r="G212" s="515"/>
    </row>
    <row r="213" spans="2:7" x14ac:dyDescent="0.3">
      <c r="B213" s="536" t="s">
        <v>154</v>
      </c>
      <c r="C213" s="540" t="s">
        <v>86</v>
      </c>
      <c r="D213" s="541"/>
      <c r="E213" s="538" t="s">
        <v>155</v>
      </c>
      <c r="F213" s="538" t="s">
        <v>156</v>
      </c>
      <c r="G213" s="523" t="s">
        <v>146</v>
      </c>
    </row>
    <row r="214" spans="2:7" ht="23.4" customHeight="1" x14ac:dyDescent="0.3">
      <c r="B214" s="537"/>
      <c r="C214" s="521"/>
      <c r="D214" s="519"/>
      <c r="E214" s="539"/>
      <c r="F214" s="539"/>
      <c r="G214" s="542"/>
    </row>
    <row r="215" spans="2:7" ht="30" x14ac:dyDescent="0.25">
      <c r="B215" s="47" t="str">
        <f>+INSUMOS!B917</f>
        <v>CUADRILLA DD - CARPINTERÍA</v>
      </c>
      <c r="C215" s="534" t="str">
        <f>+INSUMOS!C917</f>
        <v>HC</v>
      </c>
      <c r="D215" s="535"/>
      <c r="E215" s="44">
        <f>+INSUMOS!D917</f>
        <v>49049</v>
      </c>
      <c r="F215" s="45">
        <v>0.73377999999999999</v>
      </c>
      <c r="G215" s="41">
        <f>E215*F215</f>
        <v>35991.175219999997</v>
      </c>
    </row>
    <row r="216" spans="2:7" ht="16.2" thickBot="1" x14ac:dyDescent="0.35">
      <c r="B216" s="525" t="s">
        <v>14</v>
      </c>
      <c r="C216" s="526"/>
      <c r="D216" s="526"/>
      <c r="E216" s="526"/>
      <c r="F216" s="527"/>
      <c r="G216" s="43">
        <f>SUM(G215:G215)</f>
        <v>35991.175219999997</v>
      </c>
    </row>
    <row r="217" spans="2:7" ht="16.2" thickBot="1" x14ac:dyDescent="0.35">
      <c r="B217" s="513" t="s">
        <v>157</v>
      </c>
      <c r="C217" s="514"/>
      <c r="D217" s="514"/>
      <c r="E217" s="514"/>
      <c r="F217" s="514"/>
      <c r="G217" s="515"/>
    </row>
    <row r="218" spans="2:7" x14ac:dyDescent="0.3">
      <c r="B218" s="536" t="s">
        <v>2</v>
      </c>
      <c r="C218" s="538" t="s">
        <v>158</v>
      </c>
      <c r="D218" s="520" t="s">
        <v>159</v>
      </c>
      <c r="E218" s="520" t="s">
        <v>160</v>
      </c>
      <c r="F218" s="520" t="s">
        <v>161</v>
      </c>
      <c r="G218" s="522" t="s">
        <v>146</v>
      </c>
    </row>
    <row r="219" spans="2:7" x14ac:dyDescent="0.3">
      <c r="B219" s="537"/>
      <c r="C219" s="539"/>
      <c r="D219" s="521"/>
      <c r="E219" s="521"/>
      <c r="F219" s="521"/>
      <c r="G219" s="523"/>
    </row>
    <row r="220" spans="2:7" ht="30" x14ac:dyDescent="0.3">
      <c r="B220" s="11" t="s">
        <v>116</v>
      </c>
      <c r="C220" s="48" t="s">
        <v>152</v>
      </c>
      <c r="D220" s="49"/>
      <c r="E220" s="50"/>
      <c r="F220" s="51">
        <v>0.03</v>
      </c>
      <c r="G220" s="41">
        <f>G211*F220</f>
        <v>1577.9736</v>
      </c>
    </row>
    <row r="221" spans="2:7" ht="16.2" thickBot="1" x14ac:dyDescent="0.35">
      <c r="B221" s="525" t="s">
        <v>14</v>
      </c>
      <c r="C221" s="526"/>
      <c r="D221" s="526"/>
      <c r="E221" s="526"/>
      <c r="F221" s="527"/>
      <c r="G221" s="43">
        <f>G220</f>
        <v>1577.9736</v>
      </c>
    </row>
    <row r="222" spans="2:7" ht="16.2" thickBot="1" x14ac:dyDescent="0.35">
      <c r="B222" s="528" t="s">
        <v>162</v>
      </c>
      <c r="C222" s="529"/>
      <c r="D222" s="529"/>
      <c r="E222" s="529"/>
      <c r="F222" s="530"/>
      <c r="G222" s="52">
        <f>ROUND(G221+G216+G211+G205,0)</f>
        <v>94847</v>
      </c>
    </row>
    <row r="223" spans="2:7" ht="16.2" thickBot="1" x14ac:dyDescent="0.35">
      <c r="B223" s="546" t="s">
        <v>138</v>
      </c>
      <c r="C223" s="547"/>
      <c r="D223" s="547"/>
      <c r="E223" s="547"/>
      <c r="F223" s="547"/>
      <c r="G223" s="548"/>
    </row>
    <row r="224" spans="2:7" ht="16.2" thickBot="1" x14ac:dyDescent="0.35">
      <c r="B224" s="528" t="s">
        <v>139</v>
      </c>
      <c r="C224" s="530"/>
      <c r="D224" s="35">
        <v>8</v>
      </c>
      <c r="E224" s="528" t="s">
        <v>140</v>
      </c>
      <c r="F224" s="530"/>
      <c r="G224" s="36" t="s">
        <v>3</v>
      </c>
    </row>
    <row r="225" spans="2:7" ht="44.4" customHeight="1" thickBot="1" x14ac:dyDescent="0.35">
      <c r="B225" s="531" t="s">
        <v>141</v>
      </c>
      <c r="C225" s="532"/>
      <c r="D225" s="531" t="s">
        <v>1124</v>
      </c>
      <c r="E225" s="532"/>
      <c r="F225" s="532"/>
      <c r="G225" s="533"/>
    </row>
    <row r="226" spans="2:7" ht="16.2" thickBot="1" x14ac:dyDescent="0.35">
      <c r="B226" s="37" t="s">
        <v>142</v>
      </c>
      <c r="C226" s="545"/>
      <c r="D226" s="545"/>
      <c r="E226" s="545"/>
      <c r="F226" s="545"/>
      <c r="G226" s="545"/>
    </row>
    <row r="227" spans="2:7" ht="16.2" thickBot="1" x14ac:dyDescent="0.35">
      <c r="B227" s="524" t="s">
        <v>143</v>
      </c>
      <c r="C227" s="524"/>
      <c r="D227" s="524"/>
      <c r="E227" s="524"/>
      <c r="F227" s="524"/>
      <c r="G227" s="524"/>
    </row>
    <row r="228" spans="2:7" x14ac:dyDescent="0.3">
      <c r="B228" s="516" t="s">
        <v>2</v>
      </c>
      <c r="C228" s="517"/>
      <c r="D228" s="520" t="s">
        <v>86</v>
      </c>
      <c r="E228" s="520" t="s">
        <v>144</v>
      </c>
      <c r="F228" s="520" t="s">
        <v>145</v>
      </c>
      <c r="G228" s="522" t="s">
        <v>146</v>
      </c>
    </row>
    <row r="229" spans="2:7" x14ac:dyDescent="0.3">
      <c r="B229" s="518"/>
      <c r="C229" s="519"/>
      <c r="D229" s="521"/>
      <c r="E229" s="521"/>
      <c r="F229" s="521"/>
      <c r="G229" s="523"/>
    </row>
    <row r="230" spans="2:7" ht="15" x14ac:dyDescent="0.3">
      <c r="B230" s="509" t="str">
        <f>+INSUMOS!B923</f>
        <v>ALQUILER EQUIPO DE SOLDADURA 225 AMP</v>
      </c>
      <c r="C230" s="510"/>
      <c r="D230" s="38" t="str">
        <f>+INSUMOS!C923</f>
        <v>DIA</v>
      </c>
      <c r="E230" s="39">
        <f>+INSUMOS!D923</f>
        <v>90000</v>
      </c>
      <c r="F230" s="40">
        <v>0.1</v>
      </c>
      <c r="G230" s="41">
        <f>G242*F230</f>
        <v>2599.5970000000002</v>
      </c>
    </row>
    <row r="231" spans="2:7" ht="15" x14ac:dyDescent="0.3">
      <c r="B231" s="511" t="s">
        <v>147</v>
      </c>
      <c r="C231" s="512"/>
      <c r="D231" s="38" t="s">
        <v>148</v>
      </c>
      <c r="E231" s="39"/>
      <c r="F231" s="42">
        <v>0.03</v>
      </c>
      <c r="G231" s="41">
        <f>G243*F231</f>
        <v>779.87909999999999</v>
      </c>
    </row>
    <row r="232" spans="2:7" ht="16.2" thickBot="1" x14ac:dyDescent="0.35">
      <c r="B232" s="525" t="s">
        <v>14</v>
      </c>
      <c r="C232" s="526"/>
      <c r="D232" s="526"/>
      <c r="E232" s="526"/>
      <c r="F232" s="527"/>
      <c r="G232" s="43">
        <f>SUM(G230:G231)</f>
        <v>3379.4761000000003</v>
      </c>
    </row>
    <row r="233" spans="2:7" ht="16.2" thickBot="1" x14ac:dyDescent="0.35">
      <c r="B233" s="513" t="s">
        <v>149</v>
      </c>
      <c r="C233" s="514"/>
      <c r="D233" s="514"/>
      <c r="E233" s="514"/>
      <c r="F233" s="514"/>
      <c r="G233" s="515"/>
    </row>
    <row r="234" spans="2:7" x14ac:dyDescent="0.3">
      <c r="B234" s="516" t="s">
        <v>2</v>
      </c>
      <c r="C234" s="517"/>
      <c r="D234" s="520" t="s">
        <v>86</v>
      </c>
      <c r="E234" s="520" t="s">
        <v>144</v>
      </c>
      <c r="F234" s="520" t="s">
        <v>150</v>
      </c>
      <c r="G234" s="522" t="s">
        <v>146</v>
      </c>
    </row>
    <row r="235" spans="2:7" x14ac:dyDescent="0.3">
      <c r="B235" s="518"/>
      <c r="C235" s="519"/>
      <c r="D235" s="521"/>
      <c r="E235" s="521"/>
      <c r="F235" s="521"/>
      <c r="G235" s="523"/>
    </row>
    <row r="236" spans="2:7" ht="15" x14ac:dyDescent="0.3">
      <c r="B236" s="543" t="str">
        <f>+INSUMOS!B911</f>
        <v>SOLDADURA 60-11</v>
      </c>
      <c r="C236" s="544"/>
      <c r="D236" s="9" t="str">
        <f>+INSUMOS!C911</f>
        <v>KG</v>
      </c>
      <c r="E236" s="44">
        <f>+INSUMOS!D911</f>
        <v>27489</v>
      </c>
      <c r="F236" s="45">
        <v>0.08</v>
      </c>
      <c r="G236" s="41">
        <f t="shared" ref="G236:G237" si="6">IF(F236=0,"",F236*E236)</f>
        <v>2199.12</v>
      </c>
    </row>
    <row r="237" spans="2:7" ht="49.95" customHeight="1" x14ac:dyDescent="0.3">
      <c r="B237" s="543" t="str">
        <f>+INSUMOS!B957</f>
        <v>TABLERO ACRILICO 1.22X2.44 m</v>
      </c>
      <c r="C237" s="544"/>
      <c r="D237" s="9" t="str">
        <f>+INSUMOS!C957</f>
        <v>UND</v>
      </c>
      <c r="E237" s="44">
        <f>+INSUMOS!D957</f>
        <v>512000</v>
      </c>
      <c r="F237" s="45">
        <v>0.5</v>
      </c>
      <c r="G237" s="41">
        <f t="shared" si="6"/>
        <v>256000</v>
      </c>
    </row>
    <row r="238" spans="2:7" ht="16.2" thickBot="1" x14ac:dyDescent="0.35">
      <c r="B238" s="525" t="s">
        <v>14</v>
      </c>
      <c r="C238" s="526"/>
      <c r="D238" s="526"/>
      <c r="E238" s="526"/>
      <c r="F238" s="527"/>
      <c r="G238" s="43">
        <f>SUM(G236:G237)</f>
        <v>258199.12</v>
      </c>
    </row>
    <row r="239" spans="2:7" ht="16.2" thickBot="1" x14ac:dyDescent="0.35">
      <c r="B239" s="513" t="s">
        <v>153</v>
      </c>
      <c r="C239" s="514"/>
      <c r="D239" s="514"/>
      <c r="E239" s="514"/>
      <c r="F239" s="514"/>
      <c r="G239" s="515"/>
    </row>
    <row r="240" spans="2:7" x14ac:dyDescent="0.3">
      <c r="B240" s="536" t="s">
        <v>154</v>
      </c>
      <c r="C240" s="540" t="s">
        <v>86</v>
      </c>
      <c r="D240" s="541"/>
      <c r="E240" s="538" t="s">
        <v>155</v>
      </c>
      <c r="F240" s="538" t="s">
        <v>156</v>
      </c>
      <c r="G240" s="523" t="s">
        <v>146</v>
      </c>
    </row>
    <row r="241" spans="2:7" x14ac:dyDescent="0.3">
      <c r="B241" s="537"/>
      <c r="C241" s="521"/>
      <c r="D241" s="519"/>
      <c r="E241" s="539"/>
      <c r="F241" s="539"/>
      <c r="G241" s="542"/>
    </row>
    <row r="242" spans="2:7" ht="30" x14ac:dyDescent="0.25">
      <c r="B242" s="47" t="str">
        <f>+INSUMOS!B917</f>
        <v>CUADRILLA DD - CARPINTERÍA</v>
      </c>
      <c r="C242" s="534" t="str">
        <f>+INSUMOS!C917</f>
        <v>HC</v>
      </c>
      <c r="D242" s="535"/>
      <c r="E242" s="44">
        <f>+INSUMOS!D917</f>
        <v>49049</v>
      </c>
      <c r="F242" s="45">
        <v>0.53</v>
      </c>
      <c r="G242" s="41">
        <f>E242*F242</f>
        <v>25995.97</v>
      </c>
    </row>
    <row r="243" spans="2:7" ht="16.2" thickBot="1" x14ac:dyDescent="0.35">
      <c r="B243" s="525" t="s">
        <v>14</v>
      </c>
      <c r="C243" s="526"/>
      <c r="D243" s="526"/>
      <c r="E243" s="526"/>
      <c r="F243" s="527"/>
      <c r="G243" s="43">
        <f>SUM(G242:G242)</f>
        <v>25995.97</v>
      </c>
    </row>
    <row r="244" spans="2:7" ht="16.2" thickBot="1" x14ac:dyDescent="0.35">
      <c r="B244" s="513" t="s">
        <v>157</v>
      </c>
      <c r="C244" s="514"/>
      <c r="D244" s="514"/>
      <c r="E244" s="514"/>
      <c r="F244" s="514"/>
      <c r="G244" s="515"/>
    </row>
    <row r="245" spans="2:7" x14ac:dyDescent="0.3">
      <c r="B245" s="536" t="s">
        <v>2</v>
      </c>
      <c r="C245" s="538" t="s">
        <v>158</v>
      </c>
      <c r="D245" s="520" t="s">
        <v>159</v>
      </c>
      <c r="E245" s="520" t="s">
        <v>160</v>
      </c>
      <c r="F245" s="520" t="s">
        <v>161</v>
      </c>
      <c r="G245" s="522" t="s">
        <v>146</v>
      </c>
    </row>
    <row r="246" spans="2:7" x14ac:dyDescent="0.3">
      <c r="B246" s="537"/>
      <c r="C246" s="539"/>
      <c r="D246" s="521"/>
      <c r="E246" s="521"/>
      <c r="F246" s="521"/>
      <c r="G246" s="523"/>
    </row>
    <row r="247" spans="2:7" ht="30" x14ac:dyDescent="0.3">
      <c r="B247" s="11" t="s">
        <v>116</v>
      </c>
      <c r="C247" s="48" t="s">
        <v>152</v>
      </c>
      <c r="D247" s="49"/>
      <c r="E247" s="50"/>
      <c r="F247" s="51">
        <v>0.03</v>
      </c>
      <c r="G247" s="41">
        <f>G238*F247</f>
        <v>7745.9735999999994</v>
      </c>
    </row>
    <row r="248" spans="2:7" ht="16.2" thickBot="1" x14ac:dyDescent="0.35">
      <c r="B248" s="525" t="s">
        <v>14</v>
      </c>
      <c r="C248" s="526"/>
      <c r="D248" s="526"/>
      <c r="E248" s="526"/>
      <c r="F248" s="527"/>
      <c r="G248" s="43">
        <f>G247</f>
        <v>7745.9735999999994</v>
      </c>
    </row>
    <row r="249" spans="2:7" ht="16.2" thickBot="1" x14ac:dyDescent="0.35">
      <c r="B249" s="589" t="s">
        <v>162</v>
      </c>
      <c r="C249" s="590"/>
      <c r="D249" s="590"/>
      <c r="E249" s="590"/>
      <c r="F249" s="591"/>
      <c r="G249" s="12">
        <f>ROUND(G248+G243+G238+G232,0)</f>
        <v>295321</v>
      </c>
    </row>
    <row r="268" ht="51" customHeight="1" x14ac:dyDescent="0.3"/>
    <row r="296" ht="45" customHeight="1" x14ac:dyDescent="0.3"/>
    <row r="325" ht="52.95" customHeight="1" x14ac:dyDescent="0.3"/>
    <row r="337" ht="15" customHeight="1" x14ac:dyDescent="0.3"/>
    <row r="338" ht="15" customHeight="1" x14ac:dyDescent="0.3"/>
    <row r="339" ht="15" customHeight="1" x14ac:dyDescent="0.3"/>
    <row r="353" spans="8:8" x14ac:dyDescent="0.3">
      <c r="H353" s="6"/>
    </row>
    <row r="355" spans="8:8" x14ac:dyDescent="0.3">
      <c r="H355" s="6"/>
    </row>
    <row r="358" spans="8:8" ht="39" customHeight="1" x14ac:dyDescent="0.3"/>
    <row r="359" spans="8:8" ht="52.95" customHeight="1" x14ac:dyDescent="0.3"/>
    <row r="388" ht="58.95" customHeight="1" x14ac:dyDescent="0.3"/>
    <row r="419" ht="49.2" customHeight="1" x14ac:dyDescent="0.3"/>
    <row r="447" ht="44.4" customHeight="1" x14ac:dyDescent="0.3"/>
    <row r="475" ht="32.4" customHeight="1" x14ac:dyDescent="0.3"/>
    <row r="476" ht="52.95" customHeight="1" x14ac:dyDescent="0.3"/>
    <row r="488" ht="15" customHeight="1" x14ac:dyDescent="0.3"/>
    <row r="489" ht="15" customHeight="1" x14ac:dyDescent="0.3"/>
    <row r="490" ht="15" customHeight="1" x14ac:dyDescent="0.3"/>
    <row r="505" spans="8:8" x14ac:dyDescent="0.3">
      <c r="H505" s="6"/>
    </row>
    <row r="508" spans="8:8" ht="33.6" customHeight="1" x14ac:dyDescent="0.3"/>
    <row r="509" spans="8:8" ht="49.95" customHeight="1" x14ac:dyDescent="0.3"/>
    <row r="538" ht="43.95" customHeight="1" x14ac:dyDescent="0.3"/>
    <row r="569" ht="49.95" customHeight="1" x14ac:dyDescent="0.3"/>
    <row r="597" ht="52.2" customHeight="1" x14ac:dyDescent="0.3"/>
    <row r="625" ht="36" customHeight="1" x14ac:dyDescent="0.3"/>
    <row r="626" ht="45.6" customHeight="1" x14ac:dyDescent="0.3"/>
    <row r="655" ht="43.95" customHeight="1" x14ac:dyDescent="0.3"/>
    <row r="686" ht="49.95" customHeight="1" x14ac:dyDescent="0.3"/>
    <row r="714" ht="52.2" customHeight="1" x14ac:dyDescent="0.3"/>
    <row r="742" ht="36" customHeight="1" x14ac:dyDescent="0.3"/>
    <row r="743" ht="45.6" customHeight="1" x14ac:dyDescent="0.3"/>
    <row r="772" ht="43.95" customHeight="1" x14ac:dyDescent="0.3"/>
    <row r="803" ht="49.95" customHeight="1" x14ac:dyDescent="0.3"/>
    <row r="831" ht="52.2" customHeight="1" x14ac:dyDescent="0.3"/>
    <row r="859" ht="36" customHeight="1" x14ac:dyDescent="0.3"/>
    <row r="860" ht="45.6" customHeight="1" x14ac:dyDescent="0.3"/>
    <row r="889" ht="43.95" customHeight="1" x14ac:dyDescent="0.3"/>
    <row r="920" ht="49.95" customHeight="1" x14ac:dyDescent="0.3"/>
    <row r="948" ht="52.2" customHeight="1" x14ac:dyDescent="0.3"/>
    <row r="976" ht="36" customHeight="1" x14ac:dyDescent="0.3"/>
    <row r="977" ht="45.6" customHeight="1" x14ac:dyDescent="0.3"/>
    <row r="1006" ht="45.6" customHeight="1" x14ac:dyDescent="0.3"/>
    <row r="1034" ht="33.6" customHeight="1" x14ac:dyDescent="0.3"/>
    <row r="1035" ht="45.6" customHeight="1" x14ac:dyDescent="0.3"/>
    <row r="1064" ht="45.6" customHeight="1" x14ac:dyDescent="0.3"/>
    <row r="1093" ht="45.6" customHeight="1" x14ac:dyDescent="0.3"/>
    <row r="1103" ht="30.6" customHeight="1" x14ac:dyDescent="0.3"/>
    <row r="1122" ht="45.6" customHeight="1" x14ac:dyDescent="0.3"/>
    <row r="1150" ht="45.6" customHeight="1" x14ac:dyDescent="0.3"/>
    <row r="1179" ht="45.6" customHeight="1" x14ac:dyDescent="0.3"/>
    <row r="1188" ht="33" customHeight="1" x14ac:dyDescent="0.3"/>
    <row r="1193" ht="18.600000000000001" customHeight="1" x14ac:dyDescent="0.3"/>
    <row r="1197" ht="13.2" customHeight="1" x14ac:dyDescent="0.3"/>
    <row r="1198" ht="19.2" customHeight="1" x14ac:dyDescent="0.3"/>
    <row r="1199" ht="35.4" customHeight="1" x14ac:dyDescent="0.3"/>
    <row r="1206" ht="45.6" customHeight="1" x14ac:dyDescent="0.3"/>
    <row r="1215" ht="33" customHeight="1" x14ac:dyDescent="0.3"/>
    <row r="1223" ht="18.600000000000001" customHeight="1" x14ac:dyDescent="0.3"/>
    <row r="1227" ht="13.2" customHeight="1" x14ac:dyDescent="0.3"/>
    <row r="1228" ht="19.2" customHeight="1" x14ac:dyDescent="0.3"/>
    <row r="1229" ht="35.4" customHeight="1" x14ac:dyDescent="0.3"/>
    <row r="1236" ht="45.6" customHeight="1" x14ac:dyDescent="0.3"/>
    <row r="1251" ht="18.600000000000001" customHeight="1" x14ac:dyDescent="0.3"/>
    <row r="1255" ht="13.2" customHeight="1" x14ac:dyDescent="0.3"/>
    <row r="1256" ht="19.2" customHeight="1" x14ac:dyDescent="0.3"/>
    <row r="1264" ht="45.6" customHeight="1" x14ac:dyDescent="0.3"/>
    <row r="1276" ht="37.200000000000003" customHeight="1" x14ac:dyDescent="0.3"/>
    <row r="1281" ht="18.600000000000001" customHeight="1" x14ac:dyDescent="0.3"/>
    <row r="1286" ht="13.2" customHeight="1" x14ac:dyDescent="0.3"/>
    <row r="1287" ht="19.2" customHeight="1" x14ac:dyDescent="0.3"/>
    <row r="1288" ht="36.6" customHeight="1" x14ac:dyDescent="0.3"/>
    <row r="1295" ht="45.6" customHeight="1" x14ac:dyDescent="0.3"/>
    <row r="1306" ht="37.200000000000003" customHeight="1" x14ac:dyDescent="0.3"/>
    <row r="1311" ht="18.600000000000001" customHeight="1" x14ac:dyDescent="0.3"/>
    <row r="1315" ht="13.2" customHeight="1" x14ac:dyDescent="0.3"/>
    <row r="1316" ht="19.2" customHeight="1" x14ac:dyDescent="0.3"/>
    <row r="1317" ht="36.6" customHeight="1" x14ac:dyDescent="0.3"/>
    <row r="1323" ht="34.200000000000003" customHeight="1" x14ac:dyDescent="0.3"/>
    <row r="1324" ht="45.6" customHeight="1" x14ac:dyDescent="0.3"/>
    <row r="1340" ht="18.600000000000001" customHeight="1" x14ac:dyDescent="0.3"/>
    <row r="1344" ht="13.2" customHeight="1" x14ac:dyDescent="0.3"/>
    <row r="1345" ht="19.2" customHeight="1" x14ac:dyDescent="0.3"/>
    <row r="1352" ht="34.200000000000003" customHeight="1" x14ac:dyDescent="0.3"/>
    <row r="1353" ht="45.6" customHeight="1" x14ac:dyDescent="0.3"/>
    <row r="1369" ht="18.600000000000001" customHeight="1" x14ac:dyDescent="0.3"/>
    <row r="1373" ht="13.2" customHeight="1" x14ac:dyDescent="0.3"/>
    <row r="1374" ht="19.2" customHeight="1" x14ac:dyDescent="0.3"/>
    <row r="1381" ht="34.200000000000003" customHeight="1" x14ac:dyDescent="0.3"/>
    <row r="1382" ht="45.6" customHeight="1" x14ac:dyDescent="0.3"/>
    <row r="1398" ht="18.600000000000001" customHeight="1" x14ac:dyDescent="0.3"/>
    <row r="1402" ht="13.2" customHeight="1" x14ac:dyDescent="0.3"/>
    <row r="1403" ht="19.2" customHeight="1" x14ac:dyDescent="0.3"/>
    <row r="1410" ht="34.200000000000003" customHeight="1" x14ac:dyDescent="0.3"/>
    <row r="1411" ht="45.6" customHeight="1" x14ac:dyDescent="0.3"/>
    <row r="1426" ht="18.600000000000001" customHeight="1" x14ac:dyDescent="0.3"/>
    <row r="1430" ht="13.2" customHeight="1" x14ac:dyDescent="0.3"/>
    <row r="1431" ht="19.2" customHeight="1" x14ac:dyDescent="0.3"/>
    <row r="1438" ht="36" customHeight="1" x14ac:dyDescent="0.3"/>
    <row r="1439" ht="45.6" customHeight="1" x14ac:dyDescent="0.3"/>
    <row r="1455" ht="18.600000000000001" customHeight="1" x14ac:dyDescent="0.3"/>
    <row r="1459" ht="13.2" customHeight="1" x14ac:dyDescent="0.3"/>
    <row r="1460" ht="19.2" customHeight="1" x14ac:dyDescent="0.3"/>
  </sheetData>
  <mergeCells count="374">
    <mergeCell ref="D35:D36"/>
    <mergeCell ref="E35:E36"/>
    <mergeCell ref="F35:F36"/>
    <mergeCell ref="G35:G36"/>
    <mergeCell ref="C77:D77"/>
    <mergeCell ref="B70:C70"/>
    <mergeCell ref="B71:C71"/>
    <mergeCell ref="B63:C64"/>
    <mergeCell ref="D63:D64"/>
    <mergeCell ref="E63:E64"/>
    <mergeCell ref="C61:G61"/>
    <mergeCell ref="B62:G62"/>
    <mergeCell ref="F63:F64"/>
    <mergeCell ref="B44:C44"/>
    <mergeCell ref="B46:F46"/>
    <mergeCell ref="B47:G47"/>
    <mergeCell ref="B48:B49"/>
    <mergeCell ref="C48:D49"/>
    <mergeCell ref="E48:E49"/>
    <mergeCell ref="F48:F49"/>
    <mergeCell ref="G48:G49"/>
    <mergeCell ref="B37:C37"/>
    <mergeCell ref="B38:F38"/>
    <mergeCell ref="B39:G39"/>
    <mergeCell ref="B92:C92"/>
    <mergeCell ref="B87:C87"/>
    <mergeCell ref="D87:G87"/>
    <mergeCell ref="C88:G88"/>
    <mergeCell ref="B80:B81"/>
    <mergeCell ref="C80:C81"/>
    <mergeCell ref="B78:F78"/>
    <mergeCell ref="B79:G79"/>
    <mergeCell ref="D80:D81"/>
    <mergeCell ref="E80:E81"/>
    <mergeCell ref="B89:G89"/>
    <mergeCell ref="B90:C91"/>
    <mergeCell ref="D90:D91"/>
    <mergeCell ref="E90:E91"/>
    <mergeCell ref="F90:F91"/>
    <mergeCell ref="G90:G91"/>
    <mergeCell ref="F80:F81"/>
    <mergeCell ref="G80:G81"/>
    <mergeCell ref="B83:F83"/>
    <mergeCell ref="B84:F84"/>
    <mergeCell ref="B85:G85"/>
    <mergeCell ref="B86:C86"/>
    <mergeCell ref="E86:F86"/>
    <mergeCell ref="B97:C97"/>
    <mergeCell ref="B98:C98"/>
    <mergeCell ref="B94:G94"/>
    <mergeCell ref="B95:C96"/>
    <mergeCell ref="D95:D96"/>
    <mergeCell ref="E95:E96"/>
    <mergeCell ref="F95:F96"/>
    <mergeCell ref="G95:G96"/>
    <mergeCell ref="B93:F93"/>
    <mergeCell ref="B149:G149"/>
    <mergeCell ref="B146:C146"/>
    <mergeCell ref="B147:C147"/>
    <mergeCell ref="B148:F148"/>
    <mergeCell ref="B140:C140"/>
    <mergeCell ref="B137:F137"/>
    <mergeCell ref="B133:G133"/>
    <mergeCell ref="B134:B135"/>
    <mergeCell ref="C134:C135"/>
    <mergeCell ref="D134:D135"/>
    <mergeCell ref="E134:E135"/>
    <mergeCell ref="F134:F135"/>
    <mergeCell ref="G134:G135"/>
    <mergeCell ref="B138:F138"/>
    <mergeCell ref="B139:G139"/>
    <mergeCell ref="C142:G142"/>
    <mergeCell ref="B143:G143"/>
    <mergeCell ref="B144:C145"/>
    <mergeCell ref="D144:D145"/>
    <mergeCell ref="E144:E145"/>
    <mergeCell ref="F144:F145"/>
    <mergeCell ref="G144:G145"/>
    <mergeCell ref="B177:G177"/>
    <mergeCell ref="B174:C174"/>
    <mergeCell ref="B175:C175"/>
    <mergeCell ref="B176:F176"/>
    <mergeCell ref="B169:C169"/>
    <mergeCell ref="B156:G156"/>
    <mergeCell ref="B157:B158"/>
    <mergeCell ref="B153:C153"/>
    <mergeCell ref="B154:C154"/>
    <mergeCell ref="B155:F155"/>
    <mergeCell ref="C157:D158"/>
    <mergeCell ref="E157:E158"/>
    <mergeCell ref="F157:F158"/>
    <mergeCell ref="G157:G158"/>
    <mergeCell ref="C159:D159"/>
    <mergeCell ref="B160:F160"/>
    <mergeCell ref="D169:G169"/>
    <mergeCell ref="C170:G170"/>
    <mergeCell ref="B171:G171"/>
    <mergeCell ref="B172:C173"/>
    <mergeCell ref="D172:D173"/>
    <mergeCell ref="E172:E173"/>
    <mergeCell ref="F172:F173"/>
    <mergeCell ref="G172:G173"/>
    <mergeCell ref="B249:F249"/>
    <mergeCell ref="C242:D242"/>
    <mergeCell ref="B239:G239"/>
    <mergeCell ref="E240:E241"/>
    <mergeCell ref="F240:F241"/>
    <mergeCell ref="G240:G241"/>
    <mergeCell ref="B238:F238"/>
    <mergeCell ref="B240:B241"/>
    <mergeCell ref="C240:D241"/>
    <mergeCell ref="B243:F243"/>
    <mergeCell ref="B244:G244"/>
    <mergeCell ref="B245:B246"/>
    <mergeCell ref="C245:C246"/>
    <mergeCell ref="D245:D246"/>
    <mergeCell ref="E245:E246"/>
    <mergeCell ref="F245:F246"/>
    <mergeCell ref="G245:G246"/>
    <mergeCell ref="B2:G2"/>
    <mergeCell ref="B3:C3"/>
    <mergeCell ref="E3:F3"/>
    <mergeCell ref="B4:C4"/>
    <mergeCell ref="D4:G4"/>
    <mergeCell ref="C33:G33"/>
    <mergeCell ref="B34:G34"/>
    <mergeCell ref="B35:C36"/>
    <mergeCell ref="B248:F248"/>
    <mergeCell ref="B232:F232"/>
    <mergeCell ref="B236:C236"/>
    <mergeCell ref="B237:C237"/>
    <mergeCell ref="C226:G226"/>
    <mergeCell ref="B223:G223"/>
    <mergeCell ref="B211:F211"/>
    <mergeCell ref="B210:C210"/>
    <mergeCell ref="B206:G206"/>
    <mergeCell ref="B203:C203"/>
    <mergeCell ref="B204:C204"/>
    <mergeCell ref="B205:F205"/>
    <mergeCell ref="B198:C198"/>
    <mergeCell ref="D198:G198"/>
    <mergeCell ref="B197:C197"/>
    <mergeCell ref="E197:F197"/>
    <mergeCell ref="B9:C9"/>
    <mergeCell ref="B10:F10"/>
    <mergeCell ref="B11:G11"/>
    <mergeCell ref="B12:C13"/>
    <mergeCell ref="D12:D13"/>
    <mergeCell ref="E12:E13"/>
    <mergeCell ref="F12:F13"/>
    <mergeCell ref="G12:G13"/>
    <mergeCell ref="C5:G5"/>
    <mergeCell ref="B6:G6"/>
    <mergeCell ref="B7:C8"/>
    <mergeCell ref="D7:D8"/>
    <mergeCell ref="E7:E8"/>
    <mergeCell ref="F7:F8"/>
    <mergeCell ref="G7:G8"/>
    <mergeCell ref="B20:B21"/>
    <mergeCell ref="C20:D21"/>
    <mergeCell ref="E20:E21"/>
    <mergeCell ref="F20:F21"/>
    <mergeCell ref="G20:G21"/>
    <mergeCell ref="C22:D22"/>
    <mergeCell ref="B14:C14"/>
    <mergeCell ref="B15:C15"/>
    <mergeCell ref="B16:C16"/>
    <mergeCell ref="B17:C17"/>
    <mergeCell ref="B18:F18"/>
    <mergeCell ref="B19:G19"/>
    <mergeCell ref="B28:F28"/>
    <mergeCell ref="B29:F29"/>
    <mergeCell ref="B30:G30"/>
    <mergeCell ref="B31:C31"/>
    <mergeCell ref="E31:F31"/>
    <mergeCell ref="B32:C32"/>
    <mergeCell ref="D32:G32"/>
    <mergeCell ref="B23:F23"/>
    <mergeCell ref="B24:G24"/>
    <mergeCell ref="B25:B26"/>
    <mergeCell ref="C25:C26"/>
    <mergeCell ref="D25:D26"/>
    <mergeCell ref="E25:E26"/>
    <mergeCell ref="F25:F26"/>
    <mergeCell ref="G25:G26"/>
    <mergeCell ref="B40:C41"/>
    <mergeCell ref="D40:D41"/>
    <mergeCell ref="E40:E41"/>
    <mergeCell ref="F40:F41"/>
    <mergeCell ref="G40:G41"/>
    <mergeCell ref="B45:C45"/>
    <mergeCell ref="B42:C42"/>
    <mergeCell ref="B43:C43"/>
    <mergeCell ref="B57:F57"/>
    <mergeCell ref="B58:G58"/>
    <mergeCell ref="B59:C59"/>
    <mergeCell ref="E59:F59"/>
    <mergeCell ref="B60:C60"/>
    <mergeCell ref="D60:G60"/>
    <mergeCell ref="C50:D50"/>
    <mergeCell ref="B51:F51"/>
    <mergeCell ref="B52:G52"/>
    <mergeCell ref="B53:B54"/>
    <mergeCell ref="C53:C54"/>
    <mergeCell ref="D53:D54"/>
    <mergeCell ref="E53:E54"/>
    <mergeCell ref="F53:F54"/>
    <mergeCell ref="G53:G54"/>
    <mergeCell ref="B56:F56"/>
    <mergeCell ref="B73:F73"/>
    <mergeCell ref="B74:G74"/>
    <mergeCell ref="B75:B76"/>
    <mergeCell ref="C75:D76"/>
    <mergeCell ref="E75:E76"/>
    <mergeCell ref="F75:F76"/>
    <mergeCell ref="G75:G76"/>
    <mergeCell ref="G63:G64"/>
    <mergeCell ref="B65:C65"/>
    <mergeCell ref="B66:F66"/>
    <mergeCell ref="B67:G67"/>
    <mergeCell ref="B68:C69"/>
    <mergeCell ref="D68:D69"/>
    <mergeCell ref="E68:E69"/>
    <mergeCell ref="F68:F69"/>
    <mergeCell ref="G68:G69"/>
    <mergeCell ref="B72:C72"/>
    <mergeCell ref="C104:D104"/>
    <mergeCell ref="C107:C108"/>
    <mergeCell ref="D107:D108"/>
    <mergeCell ref="B111:F111"/>
    <mergeCell ref="B112:G112"/>
    <mergeCell ref="B113:C113"/>
    <mergeCell ref="E113:F113"/>
    <mergeCell ref="B99:C99"/>
    <mergeCell ref="B100:F100"/>
    <mergeCell ref="B101:G101"/>
    <mergeCell ref="B102:B103"/>
    <mergeCell ref="C102:D103"/>
    <mergeCell ref="E102:E103"/>
    <mergeCell ref="F102:F103"/>
    <mergeCell ref="G102:G103"/>
    <mergeCell ref="B110:F110"/>
    <mergeCell ref="B105:F105"/>
    <mergeCell ref="B106:G106"/>
    <mergeCell ref="B107:B108"/>
    <mergeCell ref="E107:E108"/>
    <mergeCell ref="F107:F108"/>
    <mergeCell ref="G107:G108"/>
    <mergeCell ref="E122:E123"/>
    <mergeCell ref="F122:F123"/>
    <mergeCell ref="G122:G123"/>
    <mergeCell ref="B124:C124"/>
    <mergeCell ref="B127:F127"/>
    <mergeCell ref="B128:G128"/>
    <mergeCell ref="B114:C114"/>
    <mergeCell ref="D114:G114"/>
    <mergeCell ref="C115:G115"/>
    <mergeCell ref="B116:G116"/>
    <mergeCell ref="B117:C118"/>
    <mergeCell ref="D117:D118"/>
    <mergeCell ref="E117:E118"/>
    <mergeCell ref="F117:F118"/>
    <mergeCell ref="G117:G118"/>
    <mergeCell ref="B126:C126"/>
    <mergeCell ref="B121:G121"/>
    <mergeCell ref="B122:C123"/>
    <mergeCell ref="D122:D123"/>
    <mergeCell ref="B119:C119"/>
    <mergeCell ref="B120:F120"/>
    <mergeCell ref="B125:C125"/>
    <mergeCell ref="C129:D130"/>
    <mergeCell ref="E129:E130"/>
    <mergeCell ref="F129:F130"/>
    <mergeCell ref="G129:G130"/>
    <mergeCell ref="C131:D131"/>
    <mergeCell ref="B132:F132"/>
    <mergeCell ref="B129:B130"/>
    <mergeCell ref="E140:F140"/>
    <mergeCell ref="B141:C141"/>
    <mergeCell ref="D141:G141"/>
    <mergeCell ref="B150:C151"/>
    <mergeCell ref="D150:D151"/>
    <mergeCell ref="E150:E151"/>
    <mergeCell ref="F150:F151"/>
    <mergeCell ref="G150:G151"/>
    <mergeCell ref="B152:C152"/>
    <mergeCell ref="B165:F165"/>
    <mergeCell ref="B166:F166"/>
    <mergeCell ref="B161:G161"/>
    <mergeCell ref="B162:B163"/>
    <mergeCell ref="C162:C163"/>
    <mergeCell ref="D162:D163"/>
    <mergeCell ref="E162:E163"/>
    <mergeCell ref="F162:F163"/>
    <mergeCell ref="G162:G163"/>
    <mergeCell ref="B167:G167"/>
    <mergeCell ref="B168:C168"/>
    <mergeCell ref="E168:F168"/>
    <mergeCell ref="B183:C183"/>
    <mergeCell ref="B196:G196"/>
    <mergeCell ref="C186:D187"/>
    <mergeCell ref="E186:E187"/>
    <mergeCell ref="F186:F187"/>
    <mergeCell ref="G186:G187"/>
    <mergeCell ref="C188:D188"/>
    <mergeCell ref="B189:F189"/>
    <mergeCell ref="B178:C179"/>
    <mergeCell ref="D178:D179"/>
    <mergeCell ref="E178:E179"/>
    <mergeCell ref="F178:F179"/>
    <mergeCell ref="G178:G179"/>
    <mergeCell ref="B180:C180"/>
    <mergeCell ref="B194:F194"/>
    <mergeCell ref="B190:G190"/>
    <mergeCell ref="B191:B192"/>
    <mergeCell ref="C191:C192"/>
    <mergeCell ref="D191:D192"/>
    <mergeCell ref="B185:G185"/>
    <mergeCell ref="B186:B187"/>
    <mergeCell ref="B181:C181"/>
    <mergeCell ref="B182:C182"/>
    <mergeCell ref="B184:F184"/>
    <mergeCell ref="C199:G199"/>
    <mergeCell ref="B200:G200"/>
    <mergeCell ref="B201:C202"/>
    <mergeCell ref="D201:D202"/>
    <mergeCell ref="E201:E202"/>
    <mergeCell ref="F201:F202"/>
    <mergeCell ref="G201:G202"/>
    <mergeCell ref="E191:E192"/>
    <mergeCell ref="F191:F192"/>
    <mergeCell ref="G191:G192"/>
    <mergeCell ref="B195:F195"/>
    <mergeCell ref="B212:G212"/>
    <mergeCell ref="B213:B214"/>
    <mergeCell ref="C213:D214"/>
    <mergeCell ref="E213:E214"/>
    <mergeCell ref="F213:F214"/>
    <mergeCell ref="G213:G214"/>
    <mergeCell ref="B207:C208"/>
    <mergeCell ref="D207:D208"/>
    <mergeCell ref="E207:E208"/>
    <mergeCell ref="F207:F208"/>
    <mergeCell ref="G207:G208"/>
    <mergeCell ref="B209:C209"/>
    <mergeCell ref="B221:F221"/>
    <mergeCell ref="B222:F222"/>
    <mergeCell ref="B224:C224"/>
    <mergeCell ref="E224:F224"/>
    <mergeCell ref="B225:C225"/>
    <mergeCell ref="D225:G225"/>
    <mergeCell ref="C215:D215"/>
    <mergeCell ref="B216:F216"/>
    <mergeCell ref="B217:G217"/>
    <mergeCell ref="B218:B219"/>
    <mergeCell ref="C218:C219"/>
    <mergeCell ref="D218:D219"/>
    <mergeCell ref="E218:E219"/>
    <mergeCell ref="F218:F219"/>
    <mergeCell ref="G218:G219"/>
    <mergeCell ref="B230:C230"/>
    <mergeCell ref="B231:C231"/>
    <mergeCell ref="B233:G233"/>
    <mergeCell ref="B234:C235"/>
    <mergeCell ref="D234:D235"/>
    <mergeCell ref="E234:E235"/>
    <mergeCell ref="F234:F235"/>
    <mergeCell ref="G234:G235"/>
    <mergeCell ref="B227:G227"/>
    <mergeCell ref="B228:C229"/>
    <mergeCell ref="D228:D229"/>
    <mergeCell ref="E228:E229"/>
    <mergeCell ref="F228:F229"/>
    <mergeCell ref="G228:G22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282"/>
  <sheetViews>
    <sheetView showGridLines="0" zoomScale="72" zoomScaleNormal="72" zoomScaleSheetLayoutView="100" workbookViewId="0">
      <selection activeCell="H13" sqref="H13"/>
    </sheetView>
  </sheetViews>
  <sheetFormatPr baseColWidth="10" defaultColWidth="11.44140625" defaultRowHeight="15.6" x14ac:dyDescent="0.3"/>
  <cols>
    <col min="1" max="1" width="8.6640625" style="71" bestFit="1" customWidth="1"/>
    <col min="2" max="2" width="65.6640625" style="70" customWidth="1"/>
    <col min="3" max="3" width="6.33203125" style="69" customWidth="1"/>
    <col min="4" max="4" width="19.88671875" style="188" bestFit="1" customWidth="1"/>
    <col min="5" max="5" width="20.109375" style="67" customWidth="1"/>
    <col min="6" max="6" width="24.6640625" style="56" customWidth="1"/>
    <col min="7" max="7" width="20.33203125" style="55" bestFit="1" customWidth="1"/>
    <col min="8" max="8" width="11.33203125" style="66" bestFit="1" customWidth="1"/>
    <col min="9" max="9" width="17.44140625" style="66" bestFit="1" customWidth="1"/>
    <col min="10" max="10" width="19.109375" style="66" bestFit="1" customWidth="1"/>
    <col min="11" max="11" width="11.5546875" style="55" bestFit="1" customWidth="1"/>
    <col min="12" max="12" width="13.109375" style="55" bestFit="1" customWidth="1"/>
    <col min="13" max="16384" width="11.44140625" style="55"/>
  </cols>
  <sheetData>
    <row r="1" spans="1:7" ht="21" x14ac:dyDescent="0.3">
      <c r="A1" s="596" t="s">
        <v>182</v>
      </c>
      <c r="B1" s="596"/>
      <c r="C1" s="595"/>
      <c r="D1" s="595"/>
    </row>
    <row r="2" spans="1:7" ht="18" x14ac:dyDescent="0.3">
      <c r="A2" s="597" t="s">
        <v>181</v>
      </c>
      <c r="B2" s="597"/>
      <c r="C2" s="595"/>
      <c r="D2" s="595"/>
    </row>
    <row r="3" spans="1:7" x14ac:dyDescent="0.3">
      <c r="A3" s="598" t="s">
        <v>180</v>
      </c>
      <c r="B3" s="598"/>
      <c r="C3" s="595"/>
      <c r="D3" s="595"/>
    </row>
    <row r="4" spans="1:7" x14ac:dyDescent="0.3">
      <c r="A4" s="65"/>
      <c r="B4" s="65" t="s">
        <v>1118</v>
      </c>
      <c r="C4" s="595"/>
      <c r="D4" s="595"/>
    </row>
    <row r="5" spans="1:7" x14ac:dyDescent="0.3">
      <c r="A5" s="598" t="s">
        <v>179</v>
      </c>
      <c r="B5" s="598"/>
      <c r="C5" s="595"/>
      <c r="D5" s="595"/>
    </row>
    <row r="6" spans="1:7" x14ac:dyDescent="0.3">
      <c r="A6" s="598" t="s">
        <v>1128</v>
      </c>
      <c r="B6" s="598"/>
      <c r="C6" s="595"/>
      <c r="D6" s="595"/>
    </row>
    <row r="7" spans="1:7" x14ac:dyDescent="0.3">
      <c r="A7" s="180" t="s">
        <v>178</v>
      </c>
      <c r="B7" s="179" t="s">
        <v>1117</v>
      </c>
      <c r="C7" s="178" t="s">
        <v>171</v>
      </c>
      <c r="D7" s="191" t="s">
        <v>1116</v>
      </c>
    </row>
    <row r="8" spans="1:7" ht="14.25" customHeight="1" x14ac:dyDescent="0.3">
      <c r="B8" s="57" t="s">
        <v>1115</v>
      </c>
      <c r="C8" s="78" t="s">
        <v>231</v>
      </c>
      <c r="D8" s="185">
        <v>3500</v>
      </c>
      <c r="E8" s="177" t="s">
        <v>1111</v>
      </c>
      <c r="F8" s="84"/>
    </row>
    <row r="9" spans="1:7" x14ac:dyDescent="0.3">
      <c r="B9" s="57" t="s">
        <v>1114</v>
      </c>
      <c r="C9" s="78" t="s">
        <v>171</v>
      </c>
      <c r="D9" s="185">
        <v>59500</v>
      </c>
      <c r="E9" s="177" t="s">
        <v>1111</v>
      </c>
      <c r="F9" s="170"/>
    </row>
    <row r="10" spans="1:7" x14ac:dyDescent="0.3">
      <c r="B10" s="57" t="s">
        <v>1113</v>
      </c>
      <c r="C10" s="78" t="s">
        <v>171</v>
      </c>
      <c r="D10" s="192">
        <v>17325</v>
      </c>
      <c r="E10" s="177" t="s">
        <v>1111</v>
      </c>
      <c r="F10" s="84"/>
      <c r="G10" s="139"/>
    </row>
    <row r="11" spans="1:7" x14ac:dyDescent="0.3">
      <c r="B11" s="57" t="s">
        <v>1112</v>
      </c>
      <c r="C11" s="78" t="s">
        <v>171</v>
      </c>
      <c r="D11" s="185">
        <v>10531</v>
      </c>
      <c r="E11" s="177" t="s">
        <v>1111</v>
      </c>
      <c r="F11" s="84"/>
      <c r="G11" s="139"/>
    </row>
    <row r="12" spans="1:7" x14ac:dyDescent="0.3">
      <c r="B12" s="57" t="s">
        <v>1110</v>
      </c>
      <c r="C12" s="78" t="s">
        <v>171</v>
      </c>
      <c r="D12" s="185">
        <v>60690</v>
      </c>
      <c r="E12" s="177" t="s">
        <v>1107</v>
      </c>
      <c r="F12" s="84"/>
    </row>
    <row r="13" spans="1:7" x14ac:dyDescent="0.3">
      <c r="B13" s="57" t="s">
        <v>1109</v>
      </c>
      <c r="C13" s="78" t="s">
        <v>171</v>
      </c>
      <c r="D13" s="185">
        <v>56000</v>
      </c>
      <c r="E13" s="177" t="s">
        <v>1107</v>
      </c>
      <c r="F13" s="84"/>
    </row>
    <row r="14" spans="1:7" x14ac:dyDescent="0.3">
      <c r="B14" s="57" t="s">
        <v>1108</v>
      </c>
      <c r="C14" s="78" t="s">
        <v>171</v>
      </c>
      <c r="D14" s="185">
        <v>30801</v>
      </c>
      <c r="E14" s="177" t="s">
        <v>1107</v>
      </c>
      <c r="F14" s="84"/>
    </row>
    <row r="15" spans="1:7" x14ac:dyDescent="0.3">
      <c r="B15" s="57" t="s">
        <v>1106</v>
      </c>
      <c r="C15" s="78" t="s">
        <v>171</v>
      </c>
      <c r="D15" s="185">
        <v>15750</v>
      </c>
      <c r="E15" s="177" t="s">
        <v>1105</v>
      </c>
      <c r="F15" s="84"/>
    </row>
    <row r="16" spans="1:7" x14ac:dyDescent="0.3">
      <c r="A16" s="176"/>
      <c r="B16" s="57" t="s">
        <v>1104</v>
      </c>
      <c r="C16" s="78" t="s">
        <v>1098</v>
      </c>
      <c r="D16" s="184">
        <v>2000</v>
      </c>
      <c r="E16" s="175">
        <v>2021</v>
      </c>
      <c r="F16" s="174"/>
    </row>
    <row r="17" spans="2:6" x14ac:dyDescent="0.3">
      <c r="B17" s="57" t="s">
        <v>1103</v>
      </c>
      <c r="C17" s="78" t="s">
        <v>1098</v>
      </c>
      <c r="D17" s="185">
        <v>5000</v>
      </c>
      <c r="E17" s="173">
        <v>2021</v>
      </c>
      <c r="F17" s="84"/>
    </row>
    <row r="18" spans="2:6" x14ac:dyDescent="0.3">
      <c r="B18" s="57" t="s">
        <v>1102</v>
      </c>
      <c r="C18" s="78" t="s">
        <v>1098</v>
      </c>
      <c r="D18" s="185">
        <v>5000</v>
      </c>
      <c r="E18" s="173">
        <v>2021</v>
      </c>
      <c r="F18" s="84"/>
    </row>
    <row r="19" spans="2:6" x14ac:dyDescent="0.3">
      <c r="B19" s="57" t="s">
        <v>1101</v>
      </c>
      <c r="C19" s="78" t="s">
        <v>1098</v>
      </c>
      <c r="D19" s="185">
        <v>5000</v>
      </c>
      <c r="E19" s="173">
        <v>2021</v>
      </c>
      <c r="F19" s="84"/>
    </row>
    <row r="20" spans="2:6" x14ac:dyDescent="0.3">
      <c r="B20" s="57" t="s">
        <v>1100</v>
      </c>
      <c r="C20" s="78" t="s">
        <v>1098</v>
      </c>
      <c r="D20" s="185">
        <v>5000</v>
      </c>
      <c r="E20" s="173">
        <v>2021</v>
      </c>
      <c r="F20" s="84"/>
    </row>
    <row r="21" spans="2:6" x14ac:dyDescent="0.3">
      <c r="B21" s="57" t="s">
        <v>1099</v>
      </c>
      <c r="C21" s="78" t="s">
        <v>1098</v>
      </c>
      <c r="D21" s="185"/>
      <c r="E21" s="164"/>
      <c r="F21" s="84"/>
    </row>
    <row r="22" spans="2:6" ht="46.8" x14ac:dyDescent="0.3">
      <c r="B22" s="57" t="s">
        <v>1097</v>
      </c>
      <c r="C22" s="78" t="s">
        <v>603</v>
      </c>
      <c r="D22" s="186">
        <v>3149760</v>
      </c>
      <c r="E22" s="127">
        <f>13124*8*30</f>
        <v>3149760</v>
      </c>
      <c r="F22" s="84">
        <v>2022</v>
      </c>
    </row>
    <row r="23" spans="2:6" ht="27.6" x14ac:dyDescent="0.3">
      <c r="B23" s="57" t="s">
        <v>1096</v>
      </c>
      <c r="C23" s="78" t="s">
        <v>603</v>
      </c>
      <c r="D23" s="185">
        <v>1801000</v>
      </c>
      <c r="E23" s="172" t="s">
        <v>1093</v>
      </c>
      <c r="F23" s="170"/>
    </row>
    <row r="24" spans="2:6" ht="27.6" x14ac:dyDescent="0.3">
      <c r="B24" s="57" t="s">
        <v>1095</v>
      </c>
      <c r="C24" s="78" t="s">
        <v>603</v>
      </c>
      <c r="D24" s="185">
        <v>1562000</v>
      </c>
      <c r="E24" s="172" t="s">
        <v>1093</v>
      </c>
      <c r="F24" s="170"/>
    </row>
    <row r="25" spans="2:6" ht="27.6" x14ac:dyDescent="0.3">
      <c r="B25" s="57" t="s">
        <v>1094</v>
      </c>
      <c r="C25" s="78" t="s">
        <v>603</v>
      </c>
      <c r="D25" s="185">
        <v>6655000</v>
      </c>
      <c r="E25" s="172" t="s">
        <v>1093</v>
      </c>
      <c r="F25" s="170"/>
    </row>
    <row r="26" spans="2:6" x14ac:dyDescent="0.3">
      <c r="B26" s="57" t="s">
        <v>1092</v>
      </c>
      <c r="C26" s="78" t="s">
        <v>102</v>
      </c>
      <c r="D26" s="185">
        <f>D25/30</f>
        <v>221833.33333333334</v>
      </c>
      <c r="E26" s="91"/>
      <c r="F26" s="170"/>
    </row>
    <row r="27" spans="2:6" x14ac:dyDescent="0.3">
      <c r="B27" s="57" t="s">
        <v>1091</v>
      </c>
      <c r="C27" s="61" t="s">
        <v>117</v>
      </c>
      <c r="D27" s="185">
        <v>1300</v>
      </c>
      <c r="E27" s="171"/>
      <c r="F27" s="170"/>
    </row>
    <row r="28" spans="2:6" x14ac:dyDescent="0.3">
      <c r="B28" s="60"/>
      <c r="C28" s="94" t="s">
        <v>114</v>
      </c>
      <c r="D28" s="185"/>
      <c r="E28" s="81"/>
      <c r="F28" s="171"/>
    </row>
    <row r="29" spans="2:6" x14ac:dyDescent="0.3">
      <c r="B29" s="60" t="s">
        <v>1090</v>
      </c>
      <c r="C29" s="94" t="s">
        <v>114</v>
      </c>
      <c r="D29" s="185">
        <v>1300</v>
      </c>
      <c r="E29" s="91"/>
      <c r="F29" s="170"/>
    </row>
    <row r="30" spans="2:6" x14ac:dyDescent="0.3">
      <c r="B30" s="60" t="s">
        <v>1089</v>
      </c>
      <c r="C30" s="94" t="s">
        <v>1070</v>
      </c>
      <c r="D30" s="185">
        <v>112400</v>
      </c>
      <c r="E30" s="91"/>
      <c r="F30" s="84"/>
    </row>
    <row r="31" spans="2:6" x14ac:dyDescent="0.3">
      <c r="B31" s="60" t="s">
        <v>1088</v>
      </c>
      <c r="C31" s="94" t="s">
        <v>72</v>
      </c>
      <c r="D31" s="185">
        <f>11276/100</f>
        <v>112.76</v>
      </c>
      <c r="E31" s="91"/>
      <c r="F31" s="81"/>
    </row>
    <row r="32" spans="2:6" x14ac:dyDescent="0.3">
      <c r="B32" s="113" t="s">
        <v>1087</v>
      </c>
      <c r="C32" s="94" t="s">
        <v>171</v>
      </c>
      <c r="D32" s="185">
        <v>56050</v>
      </c>
      <c r="E32" s="86" t="s">
        <v>1085</v>
      </c>
      <c r="F32" s="84"/>
    </row>
    <row r="33" spans="1:13" x14ac:dyDescent="0.3">
      <c r="B33" s="57" t="s">
        <v>1086</v>
      </c>
      <c r="C33" s="78" t="s">
        <v>72</v>
      </c>
      <c r="D33" s="185">
        <v>2856</v>
      </c>
      <c r="E33" s="86" t="s">
        <v>1085</v>
      </c>
      <c r="F33" s="84"/>
    </row>
    <row r="34" spans="1:13" x14ac:dyDescent="0.3">
      <c r="B34" s="57" t="s">
        <v>1084</v>
      </c>
      <c r="C34" s="78" t="s">
        <v>1083</v>
      </c>
      <c r="D34" s="185">
        <v>90000</v>
      </c>
      <c r="E34" s="91"/>
      <c r="F34" s="84"/>
    </row>
    <row r="35" spans="1:13" ht="31.2" x14ac:dyDescent="0.3">
      <c r="B35" s="57" t="s">
        <v>218</v>
      </c>
      <c r="C35" s="78" t="s">
        <v>1070</v>
      </c>
      <c r="D35" s="185">
        <v>240932</v>
      </c>
      <c r="E35" s="166">
        <v>2022</v>
      </c>
      <c r="F35" s="81" t="s">
        <v>1069</v>
      </c>
      <c r="G35" s="55">
        <v>240932.29241913729</v>
      </c>
    </row>
    <row r="36" spans="1:13" x14ac:dyDescent="0.3">
      <c r="B36" s="57" t="s">
        <v>1082</v>
      </c>
      <c r="C36" s="78" t="s">
        <v>1070</v>
      </c>
      <c r="D36" s="185">
        <v>240932</v>
      </c>
      <c r="E36" s="166">
        <v>2022</v>
      </c>
      <c r="F36" s="84"/>
    </row>
    <row r="37" spans="1:13" ht="27.6" x14ac:dyDescent="0.3">
      <c r="B37" s="57" t="s">
        <v>1081</v>
      </c>
      <c r="C37" s="169" t="s">
        <v>1080</v>
      </c>
      <c r="D37" s="185">
        <v>1152</v>
      </c>
      <c r="E37" s="168" t="s">
        <v>1079</v>
      </c>
      <c r="F37" s="78"/>
      <c r="G37" s="77">
        <v>100000</v>
      </c>
    </row>
    <row r="38" spans="1:13" ht="31.2" x14ac:dyDescent="0.3">
      <c r="B38" s="57" t="s">
        <v>1078</v>
      </c>
      <c r="C38" s="78" t="s">
        <v>1070</v>
      </c>
      <c r="D38" s="185">
        <v>161971</v>
      </c>
      <c r="E38" s="166">
        <v>2022</v>
      </c>
      <c r="F38" s="81" t="s">
        <v>1069</v>
      </c>
      <c r="G38" s="167"/>
    </row>
    <row r="39" spans="1:13" ht="31.2" x14ac:dyDescent="0.3">
      <c r="B39" s="57" t="s">
        <v>1077</v>
      </c>
      <c r="C39" s="78" t="s">
        <v>1070</v>
      </c>
      <c r="D39" s="185">
        <v>161971</v>
      </c>
      <c r="E39" s="166">
        <v>2022</v>
      </c>
      <c r="F39" s="81" t="s">
        <v>1069</v>
      </c>
      <c r="G39" s="167"/>
    </row>
    <row r="40" spans="1:13" s="66" customFormat="1" ht="27" customHeight="1" x14ac:dyDescent="0.3">
      <c r="A40" s="71"/>
      <c r="B40" s="57" t="s">
        <v>1076</v>
      </c>
      <c r="C40" s="78" t="s">
        <v>1070</v>
      </c>
      <c r="D40" s="185">
        <v>205185</v>
      </c>
      <c r="E40" s="166">
        <v>2022</v>
      </c>
      <c r="F40" s="81" t="s">
        <v>1069</v>
      </c>
      <c r="G40" s="55"/>
      <c r="K40" s="55"/>
      <c r="L40" s="55"/>
      <c r="M40" s="55"/>
    </row>
    <row r="41" spans="1:13" s="66" customFormat="1" x14ac:dyDescent="0.3">
      <c r="A41" s="71"/>
      <c r="B41" s="57" t="s">
        <v>306</v>
      </c>
      <c r="C41" s="78" t="s">
        <v>1070</v>
      </c>
      <c r="D41" s="185">
        <v>119000</v>
      </c>
      <c r="E41" s="166">
        <v>2023</v>
      </c>
      <c r="F41" s="81" t="s">
        <v>1075</v>
      </c>
      <c r="G41" s="55"/>
      <c r="K41" s="55"/>
      <c r="L41" s="55"/>
      <c r="M41" s="55"/>
    </row>
    <row r="42" spans="1:13" s="66" customFormat="1" x14ac:dyDescent="0.3">
      <c r="A42" s="71"/>
      <c r="B42" s="57" t="s">
        <v>1074</v>
      </c>
      <c r="C42" s="78" t="s">
        <v>1073</v>
      </c>
      <c r="D42" s="185">
        <v>91</v>
      </c>
      <c r="E42" s="166">
        <v>2022</v>
      </c>
      <c r="F42" s="81" t="s">
        <v>1069</v>
      </c>
      <c r="G42" s="55"/>
      <c r="K42" s="55"/>
      <c r="L42" s="55"/>
      <c r="M42" s="55"/>
    </row>
    <row r="43" spans="1:13" s="66" customFormat="1" ht="26.25" customHeight="1" x14ac:dyDescent="0.3">
      <c r="A43" s="71"/>
      <c r="B43" s="57" t="s">
        <v>1072</v>
      </c>
      <c r="C43" s="78" t="s">
        <v>1070</v>
      </c>
      <c r="D43" s="185">
        <v>138863</v>
      </c>
      <c r="E43" s="166">
        <v>2022</v>
      </c>
      <c r="F43" s="81" t="s">
        <v>1069</v>
      </c>
      <c r="G43" s="55"/>
      <c r="K43" s="55"/>
      <c r="L43" s="55"/>
      <c r="M43" s="55"/>
    </row>
    <row r="44" spans="1:13" s="66" customFormat="1" x14ac:dyDescent="0.3">
      <c r="A44" s="71"/>
      <c r="B44" s="57" t="s">
        <v>1071</v>
      </c>
      <c r="C44" s="78" t="s">
        <v>1070</v>
      </c>
      <c r="D44" s="185">
        <v>72550</v>
      </c>
      <c r="E44" s="166">
        <v>2022</v>
      </c>
      <c r="F44" s="81" t="s">
        <v>1069</v>
      </c>
      <c r="H44" s="55"/>
      <c r="K44" s="55"/>
      <c r="L44" s="55"/>
      <c r="M44" s="55"/>
    </row>
    <row r="45" spans="1:13" s="66" customFormat="1" x14ac:dyDescent="0.3">
      <c r="A45" s="71"/>
      <c r="B45" s="57" t="s">
        <v>115</v>
      </c>
      <c r="C45" s="78" t="s">
        <v>1068</v>
      </c>
      <c r="D45" s="185">
        <v>116620</v>
      </c>
      <c r="E45" s="85"/>
      <c r="F45" s="92"/>
      <c r="G45" s="131">
        <f>8099*8</f>
        <v>64792</v>
      </c>
      <c r="H45" s="131"/>
      <c r="K45" s="55"/>
      <c r="L45" s="55"/>
      <c r="M45" s="55"/>
    </row>
    <row r="46" spans="1:13" s="66" customFormat="1" x14ac:dyDescent="0.3">
      <c r="A46" s="71"/>
      <c r="B46" s="57" t="s">
        <v>1067</v>
      </c>
      <c r="C46" s="78" t="s">
        <v>125</v>
      </c>
      <c r="D46" s="185">
        <v>5415</v>
      </c>
      <c r="E46" s="107" t="s">
        <v>1066</v>
      </c>
      <c r="F46" s="92">
        <f>2255*1.16</f>
        <v>2615.7999999999997</v>
      </c>
      <c r="G46" s="161"/>
      <c r="K46" s="55"/>
      <c r="L46" s="55"/>
      <c r="M46" s="55"/>
    </row>
    <row r="47" spans="1:13" s="66" customFormat="1" x14ac:dyDescent="0.3">
      <c r="A47" s="71"/>
      <c r="B47" s="57" t="s">
        <v>124</v>
      </c>
      <c r="C47" s="78" t="s">
        <v>1063</v>
      </c>
      <c r="D47" s="185">
        <v>5415</v>
      </c>
      <c r="E47" s="107" t="s">
        <v>1066</v>
      </c>
      <c r="F47" s="92"/>
      <c r="G47" s="161"/>
      <c r="K47" s="55"/>
      <c r="L47" s="55"/>
      <c r="M47" s="55"/>
    </row>
    <row r="48" spans="1:13" s="66" customFormat="1" x14ac:dyDescent="0.3">
      <c r="A48" s="71"/>
      <c r="B48" s="57" t="s">
        <v>1065</v>
      </c>
      <c r="C48" s="78" t="s">
        <v>1063</v>
      </c>
      <c r="D48" s="185">
        <v>3502.5967999999998</v>
      </c>
      <c r="E48" s="91"/>
      <c r="F48" s="92">
        <f>2842*1.16</f>
        <v>3296.72</v>
      </c>
      <c r="G48" s="161"/>
      <c r="K48" s="55"/>
      <c r="L48" s="55"/>
      <c r="M48" s="55"/>
    </row>
    <row r="49" spans="1:13" s="66" customFormat="1" x14ac:dyDescent="0.3">
      <c r="A49" s="71"/>
      <c r="B49" s="57" t="s">
        <v>1064</v>
      </c>
      <c r="C49" s="78" t="s">
        <v>1063</v>
      </c>
      <c r="D49" s="185">
        <f>+F49</f>
        <v>2691.2</v>
      </c>
      <c r="E49" s="91"/>
      <c r="F49" s="92">
        <v>2691.2</v>
      </c>
      <c r="G49" s="161"/>
      <c r="K49" s="55"/>
      <c r="L49" s="55"/>
      <c r="M49" s="55"/>
    </row>
    <row r="50" spans="1:13" x14ac:dyDescent="0.3">
      <c r="B50" s="57" t="s">
        <v>1062</v>
      </c>
      <c r="C50" s="78" t="s">
        <v>335</v>
      </c>
      <c r="D50" s="185">
        <v>9305.7999999999993</v>
      </c>
      <c r="E50" s="144" t="s">
        <v>993</v>
      </c>
      <c r="F50" s="143"/>
      <c r="G50" s="161"/>
    </row>
    <row r="51" spans="1:13" x14ac:dyDescent="0.3">
      <c r="B51" s="76" t="s">
        <v>1061</v>
      </c>
      <c r="C51" s="135" t="s">
        <v>335</v>
      </c>
      <c r="D51" s="185">
        <v>4866</v>
      </c>
      <c r="E51" s="144" t="s">
        <v>172</v>
      </c>
      <c r="F51" s="92"/>
    </row>
    <row r="52" spans="1:13" ht="34.5" customHeight="1" x14ac:dyDescent="0.3">
      <c r="B52" s="76" t="s">
        <v>120</v>
      </c>
      <c r="C52" s="135" t="s">
        <v>335</v>
      </c>
      <c r="D52" s="192">
        <v>5800</v>
      </c>
      <c r="E52" s="165" t="s">
        <v>1060</v>
      </c>
      <c r="F52" s="144" t="s">
        <v>993</v>
      </c>
      <c r="G52" s="161"/>
    </row>
    <row r="53" spans="1:13" x14ac:dyDescent="0.3">
      <c r="B53" s="57" t="s">
        <v>1059</v>
      </c>
      <c r="C53" s="78" t="s">
        <v>231</v>
      </c>
      <c r="D53" s="187">
        <v>1884</v>
      </c>
      <c r="E53" s="107" t="s">
        <v>1048</v>
      </c>
      <c r="F53" s="144" t="s">
        <v>993</v>
      </c>
      <c r="G53" s="92"/>
    </row>
    <row r="54" spans="1:13" x14ac:dyDescent="0.3">
      <c r="B54" s="57" t="s">
        <v>1058</v>
      </c>
      <c r="C54" s="78" t="s">
        <v>335</v>
      </c>
      <c r="D54" s="185"/>
      <c r="E54" s="86"/>
      <c r="F54" s="92"/>
      <c r="G54" s="161"/>
      <c r="I54" s="66">
        <f>1138*0.25</f>
        <v>284.5</v>
      </c>
    </row>
    <row r="55" spans="1:13" s="66" customFormat="1" x14ac:dyDescent="0.3">
      <c r="A55" s="110"/>
      <c r="B55" s="57" t="s">
        <v>1057</v>
      </c>
      <c r="C55" s="78" t="s">
        <v>231</v>
      </c>
      <c r="D55" s="192">
        <v>4034</v>
      </c>
      <c r="E55" s="107" t="s">
        <v>1048</v>
      </c>
      <c r="F55" s="144" t="s">
        <v>993</v>
      </c>
      <c r="G55" s="161"/>
      <c r="K55" s="55"/>
      <c r="L55" s="55"/>
      <c r="M55" s="55"/>
    </row>
    <row r="56" spans="1:13" s="66" customFormat="1" x14ac:dyDescent="0.3">
      <c r="A56" s="110"/>
      <c r="B56" s="57" t="s">
        <v>1057</v>
      </c>
      <c r="C56" s="78" t="s">
        <v>335</v>
      </c>
      <c r="D56" s="187"/>
      <c r="E56" s="107"/>
      <c r="F56" s="142"/>
      <c r="G56" s="161"/>
      <c r="K56" s="55"/>
      <c r="L56" s="55"/>
      <c r="M56" s="55"/>
    </row>
    <row r="57" spans="1:13" s="66" customFormat="1" x14ac:dyDescent="0.3">
      <c r="A57" s="71"/>
      <c r="B57" s="57" t="s">
        <v>1056</v>
      </c>
      <c r="C57" s="78" t="s">
        <v>231</v>
      </c>
      <c r="D57" s="192">
        <v>7191</v>
      </c>
      <c r="E57" s="107" t="s">
        <v>1048</v>
      </c>
      <c r="F57" s="144" t="s">
        <v>993</v>
      </c>
      <c r="G57" s="161"/>
      <c r="K57" s="55"/>
      <c r="L57" s="55"/>
      <c r="M57" s="55"/>
    </row>
    <row r="58" spans="1:13" s="66" customFormat="1" x14ac:dyDescent="0.3">
      <c r="A58" s="71"/>
      <c r="B58" s="57" t="s">
        <v>1056</v>
      </c>
      <c r="C58" s="78" t="s">
        <v>335</v>
      </c>
      <c r="D58" s="192">
        <v>7191</v>
      </c>
      <c r="E58" s="164"/>
      <c r="F58" s="143"/>
      <c r="G58" s="161"/>
      <c r="K58" s="55"/>
      <c r="L58" s="55"/>
      <c r="M58" s="55"/>
    </row>
    <row r="59" spans="1:13" s="67" customFormat="1" x14ac:dyDescent="0.3">
      <c r="A59" s="71"/>
      <c r="B59" s="57" t="s">
        <v>1055</v>
      </c>
      <c r="C59" s="78" t="s">
        <v>231</v>
      </c>
      <c r="D59" s="192">
        <v>11176</v>
      </c>
      <c r="E59" s="107" t="s">
        <v>1048</v>
      </c>
      <c r="F59" s="144" t="s">
        <v>993</v>
      </c>
      <c r="G59" s="92"/>
      <c r="H59" s="66"/>
      <c r="I59" s="66"/>
      <c r="J59" s="66"/>
      <c r="K59" s="55"/>
      <c r="L59" s="55"/>
      <c r="M59" s="55"/>
    </row>
    <row r="60" spans="1:13" s="67" customFormat="1" x14ac:dyDescent="0.3">
      <c r="A60" s="71"/>
      <c r="B60" s="57" t="s">
        <v>1055</v>
      </c>
      <c r="C60" s="78" t="s">
        <v>335</v>
      </c>
      <c r="D60" s="185"/>
      <c r="E60" s="86"/>
      <c r="F60" s="143"/>
      <c r="G60" s="161"/>
      <c r="H60" s="66"/>
      <c r="I60" s="66"/>
      <c r="J60" s="66"/>
      <c r="K60" s="55"/>
      <c r="L60" s="55"/>
      <c r="M60" s="55"/>
    </row>
    <row r="61" spans="1:13" s="67" customFormat="1" x14ac:dyDescent="0.3">
      <c r="A61" s="71"/>
      <c r="B61" s="57" t="s">
        <v>1054</v>
      </c>
      <c r="C61" s="78" t="s">
        <v>231</v>
      </c>
      <c r="D61" s="192">
        <v>11176</v>
      </c>
      <c r="E61" s="107" t="s">
        <v>1048</v>
      </c>
      <c r="F61" s="144" t="s">
        <v>993</v>
      </c>
      <c r="G61" s="92"/>
      <c r="H61" s="66"/>
      <c r="I61" s="66"/>
      <c r="J61" s="66"/>
      <c r="K61" s="55"/>
      <c r="L61" s="55"/>
      <c r="M61" s="55"/>
    </row>
    <row r="62" spans="1:13" s="67" customFormat="1" x14ac:dyDescent="0.3">
      <c r="A62" s="71"/>
      <c r="B62" s="57" t="s">
        <v>1054</v>
      </c>
      <c r="C62" s="78" t="s">
        <v>335</v>
      </c>
      <c r="D62" s="185">
        <v>6562</v>
      </c>
      <c r="E62" s="86"/>
      <c r="F62" s="92"/>
      <c r="G62" s="161"/>
      <c r="H62" s="66"/>
      <c r="I62" s="66"/>
      <c r="J62" s="66"/>
      <c r="K62" s="55"/>
      <c r="L62" s="55"/>
      <c r="M62" s="55"/>
    </row>
    <row r="63" spans="1:13" s="67" customFormat="1" x14ac:dyDescent="0.3">
      <c r="A63" s="71"/>
      <c r="B63" s="57" t="s">
        <v>1053</v>
      </c>
      <c r="C63" s="78" t="s">
        <v>335</v>
      </c>
      <c r="D63" s="185"/>
      <c r="E63" s="86"/>
      <c r="F63" s="92">
        <v>130890.48</v>
      </c>
      <c r="G63" s="163">
        <f>F63/6</f>
        <v>21815.079999999998</v>
      </c>
      <c r="H63" s="66"/>
      <c r="I63" s="66"/>
      <c r="J63" s="66"/>
      <c r="K63" s="55"/>
      <c r="L63" s="55"/>
      <c r="M63" s="55"/>
    </row>
    <row r="64" spans="1:13" s="67" customFormat="1" x14ac:dyDescent="0.3">
      <c r="A64" s="71"/>
      <c r="B64" s="57" t="s">
        <v>1052</v>
      </c>
      <c r="C64" s="78" t="s">
        <v>335</v>
      </c>
      <c r="D64" s="185"/>
      <c r="E64" s="86"/>
      <c r="F64" s="143"/>
      <c r="G64" s="161"/>
      <c r="H64" s="66"/>
      <c r="I64" s="66"/>
      <c r="J64" s="66"/>
      <c r="K64" s="55"/>
      <c r="L64" s="55"/>
      <c r="M64" s="55"/>
    </row>
    <row r="65" spans="1:13" s="66" customFormat="1" x14ac:dyDescent="0.3">
      <c r="A65" s="71"/>
      <c r="B65" s="60" t="s">
        <v>1051</v>
      </c>
      <c r="C65" s="78" t="s">
        <v>535</v>
      </c>
      <c r="D65" s="185">
        <v>44083</v>
      </c>
      <c r="E65" s="162" t="s">
        <v>1048</v>
      </c>
      <c r="F65" s="144" t="s">
        <v>993</v>
      </c>
      <c r="G65" s="161"/>
      <c r="K65" s="55"/>
      <c r="L65" s="55"/>
      <c r="M65" s="55"/>
    </row>
    <row r="66" spans="1:13" s="66" customFormat="1" x14ac:dyDescent="0.3">
      <c r="A66" s="71"/>
      <c r="B66" s="60" t="s">
        <v>1050</v>
      </c>
      <c r="C66" s="78" t="s">
        <v>535</v>
      </c>
      <c r="D66" s="185">
        <v>33998</v>
      </c>
      <c r="E66" s="162" t="s">
        <v>1048</v>
      </c>
      <c r="F66" s="144" t="s">
        <v>993</v>
      </c>
      <c r="K66" s="55"/>
      <c r="L66" s="55"/>
      <c r="M66" s="55"/>
    </row>
    <row r="67" spans="1:13" s="66" customFormat="1" x14ac:dyDescent="0.3">
      <c r="A67" s="71"/>
      <c r="B67" s="60" t="s">
        <v>1049</v>
      </c>
      <c r="C67" s="78" t="s">
        <v>535</v>
      </c>
      <c r="D67" s="185">
        <v>10755</v>
      </c>
      <c r="E67" s="162" t="s">
        <v>1048</v>
      </c>
      <c r="F67" s="144" t="s">
        <v>993</v>
      </c>
      <c r="K67" s="55"/>
      <c r="L67" s="55"/>
      <c r="M67" s="55"/>
    </row>
    <row r="68" spans="1:13" x14ac:dyDescent="0.3">
      <c r="B68" s="57" t="s">
        <v>1047</v>
      </c>
      <c r="C68" s="78" t="s">
        <v>72</v>
      </c>
      <c r="D68" s="185">
        <v>12456</v>
      </c>
      <c r="E68" s="144" t="s">
        <v>993</v>
      </c>
      <c r="F68" s="92"/>
    </row>
    <row r="69" spans="1:13" x14ac:dyDescent="0.3">
      <c r="B69" s="57" t="s">
        <v>1046</v>
      </c>
      <c r="C69" s="78" t="s">
        <v>83</v>
      </c>
      <c r="D69" s="185">
        <v>9996</v>
      </c>
      <c r="E69" s="144" t="s">
        <v>993</v>
      </c>
      <c r="F69" s="92"/>
      <c r="G69" s="59"/>
    </row>
    <row r="70" spans="1:13" x14ac:dyDescent="0.3">
      <c r="B70" s="57" t="s">
        <v>1045</v>
      </c>
      <c r="C70" s="78" t="s">
        <v>171</v>
      </c>
      <c r="D70" s="185">
        <v>86751</v>
      </c>
      <c r="E70" s="144" t="s">
        <v>993</v>
      </c>
      <c r="F70" s="92"/>
      <c r="G70" s="161"/>
    </row>
    <row r="71" spans="1:13" x14ac:dyDescent="0.3">
      <c r="B71" s="57" t="s">
        <v>1044</v>
      </c>
      <c r="C71" s="78" t="s">
        <v>171</v>
      </c>
      <c r="D71" s="185">
        <v>4701</v>
      </c>
      <c r="E71" s="144" t="s">
        <v>982</v>
      </c>
      <c r="F71" s="92"/>
    </row>
    <row r="72" spans="1:13" x14ac:dyDescent="0.3">
      <c r="B72" s="73"/>
      <c r="C72" s="114"/>
      <c r="D72" s="185"/>
      <c r="E72" s="91"/>
      <c r="F72" s="84"/>
    </row>
    <row r="73" spans="1:13" x14ac:dyDescent="0.3">
      <c r="B73" s="57" t="s">
        <v>1043</v>
      </c>
      <c r="C73" s="78" t="s">
        <v>171</v>
      </c>
      <c r="D73" s="187">
        <v>4282</v>
      </c>
      <c r="E73" s="143"/>
      <c r="F73" s="84"/>
    </row>
    <row r="74" spans="1:13" s="66" customFormat="1" x14ac:dyDescent="0.3">
      <c r="A74" s="71"/>
      <c r="B74" s="57" t="s">
        <v>1042</v>
      </c>
      <c r="C74" s="78" t="s">
        <v>171</v>
      </c>
      <c r="D74" s="187">
        <v>21324</v>
      </c>
      <c r="E74" s="143">
        <v>2020</v>
      </c>
      <c r="F74" s="84"/>
      <c r="G74" s="55"/>
      <c r="K74" s="55"/>
      <c r="L74" s="55"/>
      <c r="M74" s="55"/>
    </row>
    <row r="75" spans="1:13" s="66" customFormat="1" x14ac:dyDescent="0.3">
      <c r="A75" s="71"/>
      <c r="B75" s="57" t="s">
        <v>1041</v>
      </c>
      <c r="C75" s="78" t="s">
        <v>72</v>
      </c>
      <c r="D75" s="187">
        <v>23716</v>
      </c>
      <c r="E75" s="143">
        <v>2020</v>
      </c>
      <c r="F75" s="158"/>
      <c r="G75" s="55"/>
      <c r="K75" s="55"/>
      <c r="L75" s="55"/>
      <c r="M75" s="55"/>
    </row>
    <row r="76" spans="1:13" s="66" customFormat="1" x14ac:dyDescent="0.3">
      <c r="A76" s="71"/>
      <c r="B76" s="57" t="s">
        <v>1040</v>
      </c>
      <c r="C76" s="78" t="s">
        <v>171</v>
      </c>
      <c r="D76" s="187">
        <v>12202</v>
      </c>
      <c r="E76" s="143">
        <v>2020</v>
      </c>
      <c r="F76" s="84"/>
      <c r="G76" s="55"/>
      <c r="K76" s="55"/>
      <c r="L76" s="55"/>
      <c r="M76" s="55"/>
    </row>
    <row r="77" spans="1:13" s="66" customFormat="1" x14ac:dyDescent="0.3">
      <c r="A77" s="71"/>
      <c r="B77" s="57" t="s">
        <v>1039</v>
      </c>
      <c r="C77" s="78" t="s">
        <v>171</v>
      </c>
      <c r="D77" s="187">
        <v>15375</v>
      </c>
      <c r="E77" s="138">
        <v>2021</v>
      </c>
      <c r="F77" s="84"/>
      <c r="G77" s="55"/>
      <c r="K77" s="55"/>
      <c r="L77" s="55"/>
      <c r="M77" s="55"/>
    </row>
    <row r="78" spans="1:13" s="66" customFormat="1" x14ac:dyDescent="0.3">
      <c r="A78" s="71"/>
      <c r="B78" s="57" t="s">
        <v>1038</v>
      </c>
      <c r="C78" s="78" t="s">
        <v>171</v>
      </c>
      <c r="D78" s="187">
        <v>7962</v>
      </c>
      <c r="E78" s="138">
        <v>2021</v>
      </c>
      <c r="F78" s="84"/>
      <c r="G78" s="55"/>
      <c r="K78" s="55"/>
      <c r="L78" s="55"/>
      <c r="M78" s="55"/>
    </row>
    <row r="79" spans="1:13" s="66" customFormat="1" x14ac:dyDescent="0.3">
      <c r="A79" s="71"/>
      <c r="B79" s="57" t="s">
        <v>1037</v>
      </c>
      <c r="C79" s="78" t="s">
        <v>72</v>
      </c>
      <c r="D79" s="187">
        <v>18846</v>
      </c>
      <c r="E79" s="138">
        <v>2021</v>
      </c>
      <c r="F79" s="158"/>
      <c r="G79" s="55"/>
      <c r="K79" s="55"/>
      <c r="L79" s="55"/>
      <c r="M79" s="55"/>
    </row>
    <row r="80" spans="1:13" s="66" customFormat="1" x14ac:dyDescent="0.3">
      <c r="A80" s="71"/>
      <c r="B80" s="57" t="s">
        <v>1036</v>
      </c>
      <c r="C80" s="78" t="s">
        <v>171</v>
      </c>
      <c r="D80" s="187">
        <v>47276</v>
      </c>
      <c r="E80" s="142">
        <v>2021</v>
      </c>
      <c r="F80" s="84"/>
      <c r="G80" s="55"/>
      <c r="K80" s="55"/>
      <c r="L80" s="55"/>
      <c r="M80" s="55"/>
    </row>
    <row r="81" spans="1:13" s="66" customFormat="1" x14ac:dyDescent="0.3">
      <c r="A81" s="71"/>
      <c r="B81" s="57" t="s">
        <v>1035</v>
      </c>
      <c r="C81" s="78" t="s">
        <v>171</v>
      </c>
      <c r="D81" s="187">
        <v>50901</v>
      </c>
      <c r="E81" s="142">
        <v>2021</v>
      </c>
      <c r="F81" s="84"/>
      <c r="G81" s="55"/>
      <c r="K81" s="55"/>
      <c r="L81" s="55"/>
      <c r="M81" s="55"/>
    </row>
    <row r="82" spans="1:13" s="66" customFormat="1" x14ac:dyDescent="0.3">
      <c r="A82" s="71"/>
      <c r="B82" s="57" t="s">
        <v>1034</v>
      </c>
      <c r="C82" s="78" t="s">
        <v>72</v>
      </c>
      <c r="D82" s="187">
        <v>12748</v>
      </c>
      <c r="E82" s="142">
        <v>2021</v>
      </c>
      <c r="F82" s="158"/>
      <c r="G82" s="55"/>
      <c r="K82" s="55"/>
      <c r="L82" s="55"/>
      <c r="M82" s="55"/>
    </row>
    <row r="83" spans="1:13" s="66" customFormat="1" x14ac:dyDescent="0.3">
      <c r="A83" s="71"/>
      <c r="B83" s="57" t="s">
        <v>1033</v>
      </c>
      <c r="C83" s="78" t="s">
        <v>171</v>
      </c>
      <c r="D83" s="187">
        <v>8206</v>
      </c>
      <c r="E83" s="128"/>
      <c r="F83" s="84"/>
      <c r="G83" s="55"/>
      <c r="K83" s="55"/>
      <c r="L83" s="55"/>
      <c r="M83" s="55"/>
    </row>
    <row r="84" spans="1:13" s="66" customFormat="1" x14ac:dyDescent="0.3">
      <c r="A84" s="71"/>
      <c r="B84" s="57" t="s">
        <v>1032</v>
      </c>
      <c r="C84" s="78" t="s">
        <v>171</v>
      </c>
      <c r="D84" s="187">
        <v>2885</v>
      </c>
      <c r="E84" s="128"/>
      <c r="F84" s="84"/>
      <c r="G84" s="55"/>
      <c r="K84" s="55"/>
      <c r="L84" s="55"/>
      <c r="M84" s="55"/>
    </row>
    <row r="85" spans="1:13" s="66" customFormat="1" x14ac:dyDescent="0.3">
      <c r="A85" s="71"/>
      <c r="B85" s="57" t="s">
        <v>1031</v>
      </c>
      <c r="C85" s="78" t="s">
        <v>171</v>
      </c>
      <c r="D85" s="187">
        <v>4981</v>
      </c>
      <c r="E85" s="128"/>
      <c r="F85" s="84"/>
      <c r="G85" s="55"/>
      <c r="K85" s="55"/>
      <c r="L85" s="55"/>
      <c r="M85" s="55"/>
    </row>
    <row r="86" spans="1:13" s="66" customFormat="1" x14ac:dyDescent="0.3">
      <c r="A86" s="71"/>
      <c r="B86" s="57" t="s">
        <v>1030</v>
      </c>
      <c r="C86" s="78" t="s">
        <v>72</v>
      </c>
      <c r="D86" s="187">
        <v>8711</v>
      </c>
      <c r="E86" s="128"/>
      <c r="F86" s="158"/>
      <c r="G86" s="55"/>
      <c r="K86" s="55"/>
      <c r="L86" s="55"/>
      <c r="M86" s="55"/>
    </row>
    <row r="87" spans="1:13" s="67" customFormat="1" x14ac:dyDescent="0.3">
      <c r="A87" s="71"/>
      <c r="B87" s="57" t="s">
        <v>1029</v>
      </c>
      <c r="C87" s="78" t="s">
        <v>171</v>
      </c>
      <c r="D87" s="187">
        <v>4165</v>
      </c>
      <c r="E87" s="128"/>
      <c r="F87" s="84"/>
      <c r="G87" s="55"/>
      <c r="H87" s="66"/>
      <c r="I87" s="66"/>
      <c r="J87" s="66"/>
      <c r="K87" s="55"/>
      <c r="L87" s="55"/>
      <c r="M87" s="55"/>
    </row>
    <row r="88" spans="1:13" s="67" customFormat="1" x14ac:dyDescent="0.3">
      <c r="A88" s="71"/>
      <c r="B88" s="57" t="s">
        <v>1028</v>
      </c>
      <c r="C88" s="78" t="s">
        <v>171</v>
      </c>
      <c r="D88" s="187">
        <v>2234</v>
      </c>
      <c r="E88" s="128"/>
      <c r="F88" s="84"/>
      <c r="G88" s="55"/>
      <c r="H88" s="66"/>
      <c r="I88" s="66"/>
      <c r="J88" s="66"/>
      <c r="K88" s="55"/>
      <c r="L88" s="55"/>
      <c r="M88" s="55"/>
    </row>
    <row r="89" spans="1:13" s="67" customFormat="1" x14ac:dyDescent="0.3">
      <c r="A89" s="71"/>
      <c r="B89" s="57" t="s">
        <v>1027</v>
      </c>
      <c r="C89" s="78" t="s">
        <v>171</v>
      </c>
      <c r="D89" s="187">
        <v>4183</v>
      </c>
      <c r="E89" s="128"/>
      <c r="F89" s="84"/>
      <c r="G89" s="55"/>
      <c r="H89" s="66"/>
      <c r="I89" s="66"/>
      <c r="J89" s="66"/>
      <c r="K89" s="55"/>
      <c r="L89" s="55"/>
      <c r="M89" s="55"/>
    </row>
    <row r="90" spans="1:13" s="67" customFormat="1" x14ac:dyDescent="0.3">
      <c r="A90" s="71"/>
      <c r="B90" s="57" t="s">
        <v>1026</v>
      </c>
      <c r="C90" s="78" t="s">
        <v>72</v>
      </c>
      <c r="D90" s="187">
        <v>9503</v>
      </c>
      <c r="E90" s="128"/>
      <c r="F90" s="158"/>
      <c r="G90" s="55"/>
      <c r="H90" s="66"/>
      <c r="I90" s="66"/>
      <c r="J90" s="66"/>
      <c r="K90" s="55"/>
      <c r="L90" s="55"/>
      <c r="M90" s="55"/>
    </row>
    <row r="91" spans="1:13" s="67" customFormat="1" x14ac:dyDescent="0.3">
      <c r="A91" s="71"/>
      <c r="B91" s="57" t="s">
        <v>1025</v>
      </c>
      <c r="C91" s="78" t="s">
        <v>171</v>
      </c>
      <c r="D91" s="187">
        <v>8286</v>
      </c>
      <c r="E91" s="128"/>
      <c r="F91" s="84"/>
      <c r="G91" s="55"/>
      <c r="H91" s="66"/>
      <c r="I91" s="66"/>
      <c r="J91" s="66"/>
      <c r="K91" s="55"/>
      <c r="L91" s="55"/>
      <c r="M91" s="55"/>
    </row>
    <row r="92" spans="1:13" s="67" customFormat="1" x14ac:dyDescent="0.3">
      <c r="A92" s="71"/>
      <c r="B92" s="57" t="s">
        <v>1024</v>
      </c>
      <c r="C92" s="78" t="s">
        <v>72</v>
      </c>
      <c r="D92" s="187">
        <v>19859</v>
      </c>
      <c r="E92" s="142">
        <v>2021</v>
      </c>
      <c r="F92" s="158"/>
      <c r="G92" s="55"/>
      <c r="H92" s="66"/>
      <c r="I92" s="66"/>
      <c r="J92" s="66"/>
      <c r="K92" s="55"/>
      <c r="L92" s="55"/>
      <c r="M92" s="55"/>
    </row>
    <row r="93" spans="1:13" s="67" customFormat="1" x14ac:dyDescent="0.3">
      <c r="A93" s="71"/>
      <c r="B93" s="57" t="s">
        <v>1023</v>
      </c>
      <c r="C93" s="78" t="s">
        <v>171</v>
      </c>
      <c r="D93" s="187">
        <v>9203</v>
      </c>
      <c r="E93" s="128"/>
      <c r="F93" s="84"/>
      <c r="G93" s="55"/>
      <c r="H93" s="66"/>
      <c r="I93" s="66"/>
      <c r="J93" s="66"/>
      <c r="K93" s="55"/>
      <c r="L93" s="55"/>
      <c r="M93" s="55"/>
    </row>
    <row r="94" spans="1:13" s="67" customFormat="1" x14ac:dyDescent="0.3">
      <c r="A94" s="71"/>
      <c r="B94" s="57" t="s">
        <v>1022</v>
      </c>
      <c r="C94" s="78" t="s">
        <v>72</v>
      </c>
      <c r="D94" s="187">
        <v>11627</v>
      </c>
      <c r="E94" s="128"/>
      <c r="F94" s="84"/>
      <c r="G94" s="55"/>
      <c r="H94" s="66"/>
      <c r="I94" s="66"/>
      <c r="J94" s="66"/>
      <c r="K94" s="55"/>
      <c r="L94" s="55"/>
      <c r="M94" s="55"/>
    </row>
    <row r="95" spans="1:13" x14ac:dyDescent="0.3">
      <c r="B95" s="57" t="s">
        <v>1021</v>
      </c>
      <c r="C95" s="78" t="s">
        <v>72</v>
      </c>
      <c r="D95" s="187">
        <v>56193</v>
      </c>
      <c r="E95" s="159">
        <v>2021</v>
      </c>
      <c r="F95" s="160"/>
    </row>
    <row r="96" spans="1:13" x14ac:dyDescent="0.3">
      <c r="B96" s="57" t="s">
        <v>1020</v>
      </c>
      <c r="C96" s="78" t="s">
        <v>171</v>
      </c>
      <c r="D96" s="187">
        <v>56424</v>
      </c>
      <c r="E96" s="159">
        <v>2021</v>
      </c>
      <c r="F96" s="84"/>
    </row>
    <row r="97" spans="2:6" x14ac:dyDescent="0.3">
      <c r="B97" s="57" t="s">
        <v>1019</v>
      </c>
      <c r="C97" s="78" t="s">
        <v>171</v>
      </c>
      <c r="D97" s="187">
        <v>36463</v>
      </c>
      <c r="E97" s="128"/>
      <c r="F97" s="84"/>
    </row>
    <row r="98" spans="2:6" x14ac:dyDescent="0.3">
      <c r="B98" s="57" t="s">
        <v>1018</v>
      </c>
      <c r="C98" s="78" t="s">
        <v>72</v>
      </c>
      <c r="D98" s="193">
        <v>31812</v>
      </c>
      <c r="E98" s="128"/>
      <c r="F98" s="84"/>
    </row>
    <row r="99" spans="2:6" x14ac:dyDescent="0.3">
      <c r="B99" s="57" t="s">
        <v>1017</v>
      </c>
      <c r="C99" s="78" t="s">
        <v>72</v>
      </c>
      <c r="D99" s="193">
        <v>43445</v>
      </c>
      <c r="E99" s="128"/>
      <c r="F99" s="158"/>
    </row>
    <row r="100" spans="2:6" x14ac:dyDescent="0.3">
      <c r="B100" s="57" t="s">
        <v>1016</v>
      </c>
      <c r="C100" s="78" t="s">
        <v>72</v>
      </c>
      <c r="D100" s="193">
        <v>63454</v>
      </c>
      <c r="E100" s="128">
        <v>63454.171666666669</v>
      </c>
      <c r="F100" s="158"/>
    </row>
    <row r="101" spans="2:6" x14ac:dyDescent="0.3">
      <c r="B101" s="57" t="s">
        <v>1015</v>
      </c>
      <c r="C101" s="78" t="s">
        <v>72</v>
      </c>
      <c r="D101" s="187">
        <v>93819</v>
      </c>
      <c r="E101" s="128"/>
      <c r="F101" s="158"/>
    </row>
    <row r="102" spans="2:6" x14ac:dyDescent="0.3">
      <c r="B102" s="57" t="s">
        <v>1014</v>
      </c>
      <c r="C102" s="78" t="s">
        <v>72</v>
      </c>
      <c r="D102" s="187">
        <v>134434</v>
      </c>
      <c r="E102" s="128"/>
      <c r="F102" s="158"/>
    </row>
    <row r="103" spans="2:6" x14ac:dyDescent="0.3">
      <c r="B103" s="57" t="s">
        <v>1013</v>
      </c>
      <c r="C103" s="78" t="s">
        <v>72</v>
      </c>
      <c r="D103" s="187">
        <v>164428</v>
      </c>
      <c r="E103" s="128"/>
      <c r="F103" s="158"/>
    </row>
    <row r="104" spans="2:6" x14ac:dyDescent="0.3">
      <c r="B104" s="57" t="s">
        <v>1012</v>
      </c>
      <c r="C104" s="78" t="s">
        <v>72</v>
      </c>
      <c r="D104" s="187">
        <v>276853</v>
      </c>
      <c r="E104" s="128"/>
      <c r="F104" s="158"/>
    </row>
    <row r="105" spans="2:6" x14ac:dyDescent="0.3">
      <c r="B105" s="57" t="s">
        <v>1011</v>
      </c>
      <c r="C105" s="78" t="s">
        <v>72</v>
      </c>
      <c r="D105" s="187">
        <v>587433</v>
      </c>
      <c r="E105" s="128"/>
      <c r="F105" s="158"/>
    </row>
    <row r="106" spans="2:6" x14ac:dyDescent="0.3">
      <c r="B106" s="57" t="s">
        <v>1010</v>
      </c>
      <c r="C106" s="78" t="s">
        <v>72</v>
      </c>
      <c r="D106" s="187">
        <v>1610595</v>
      </c>
      <c r="E106" s="128">
        <f>10846869</f>
        <v>10846869</v>
      </c>
      <c r="F106" s="158">
        <f>E106/6.5</f>
        <v>1668749.076923077</v>
      </c>
    </row>
    <row r="107" spans="2:6" x14ac:dyDescent="0.3">
      <c r="B107" s="57" t="s">
        <v>1009</v>
      </c>
      <c r="C107" s="78" t="s">
        <v>72</v>
      </c>
      <c r="D107" s="187">
        <v>2641483</v>
      </c>
      <c r="E107" s="128"/>
      <c r="F107" s="158"/>
    </row>
    <row r="108" spans="2:6" x14ac:dyDescent="0.3">
      <c r="B108" s="57" t="s">
        <v>1008</v>
      </c>
      <c r="C108" s="78" t="s">
        <v>72</v>
      </c>
      <c r="D108" s="187">
        <v>3289209</v>
      </c>
      <c r="E108" s="128"/>
      <c r="F108" s="158"/>
    </row>
    <row r="109" spans="2:6" x14ac:dyDescent="0.3">
      <c r="B109" s="57" t="s">
        <v>1007</v>
      </c>
      <c r="C109" s="78" t="s">
        <v>171</v>
      </c>
      <c r="D109" s="187">
        <v>78005</v>
      </c>
      <c r="E109" s="128" t="s">
        <v>1005</v>
      </c>
      <c r="F109" s="84"/>
    </row>
    <row r="110" spans="2:6" x14ac:dyDescent="0.3">
      <c r="B110" s="57" t="s">
        <v>1006</v>
      </c>
      <c r="C110" s="78" t="s">
        <v>171</v>
      </c>
      <c r="D110" s="187">
        <v>96426</v>
      </c>
      <c r="E110" s="128" t="s">
        <v>1005</v>
      </c>
      <c r="F110" s="84"/>
    </row>
    <row r="111" spans="2:6" x14ac:dyDescent="0.3">
      <c r="B111" s="57" t="s">
        <v>1004</v>
      </c>
      <c r="C111" s="78" t="s">
        <v>72</v>
      </c>
      <c r="D111" s="187">
        <v>72592.799999999988</v>
      </c>
      <c r="E111" s="128"/>
      <c r="F111" s="157">
        <v>72592.799999999988</v>
      </c>
    </row>
    <row r="112" spans="2:6" x14ac:dyDescent="0.3">
      <c r="B112" s="57" t="s">
        <v>1003</v>
      </c>
      <c r="C112" s="78" t="s">
        <v>72</v>
      </c>
      <c r="D112" s="187">
        <v>177113</v>
      </c>
      <c r="E112" s="128"/>
      <c r="F112" s="84"/>
    </row>
    <row r="113" spans="1:13" x14ac:dyDescent="0.3">
      <c r="B113" s="57" t="s">
        <v>1002</v>
      </c>
      <c r="C113" s="78" t="s">
        <v>171</v>
      </c>
      <c r="D113" s="187">
        <v>190206</v>
      </c>
      <c r="E113" s="128">
        <v>2020</v>
      </c>
      <c r="F113" s="84"/>
    </row>
    <row r="114" spans="1:13" x14ac:dyDescent="0.3">
      <c r="B114" s="57" t="s">
        <v>1001</v>
      </c>
      <c r="C114" s="78" t="s">
        <v>171</v>
      </c>
      <c r="D114" s="187">
        <v>3100357</v>
      </c>
      <c r="E114" s="128">
        <v>2020</v>
      </c>
      <c r="F114" s="81" t="s">
        <v>1000</v>
      </c>
    </row>
    <row r="115" spans="1:13" s="67" customFormat="1" x14ac:dyDescent="0.3">
      <c r="A115" s="71"/>
      <c r="B115" s="57" t="s">
        <v>999</v>
      </c>
      <c r="C115" s="78" t="s">
        <v>171</v>
      </c>
      <c r="D115" s="185">
        <v>98580.495575221241</v>
      </c>
      <c r="E115" s="91"/>
      <c r="F115" s="84"/>
      <c r="G115" s="55"/>
      <c r="H115" s="66"/>
      <c r="I115" s="66"/>
      <c r="J115" s="66"/>
      <c r="K115" s="55"/>
      <c r="L115" s="55"/>
      <c r="M115" s="55"/>
    </row>
    <row r="116" spans="1:13" s="67" customFormat="1" x14ac:dyDescent="0.3">
      <c r="A116" s="71"/>
      <c r="B116" s="57" t="s">
        <v>998</v>
      </c>
      <c r="C116" s="78" t="s">
        <v>997</v>
      </c>
      <c r="D116" s="185">
        <v>10440</v>
      </c>
      <c r="E116" s="91"/>
      <c r="F116" s="84"/>
      <c r="G116" s="55"/>
      <c r="H116" s="66"/>
      <c r="I116" s="66"/>
      <c r="J116" s="66"/>
      <c r="K116" s="55"/>
      <c r="L116" s="55"/>
      <c r="M116" s="55"/>
    </row>
    <row r="117" spans="1:13" s="66" customFormat="1" ht="31.2" x14ac:dyDescent="0.3">
      <c r="A117" s="71"/>
      <c r="B117" s="57" t="s">
        <v>996</v>
      </c>
      <c r="C117" s="78" t="s">
        <v>171</v>
      </c>
      <c r="D117" s="187">
        <v>250000</v>
      </c>
      <c r="E117" s="91"/>
      <c r="F117" s="84"/>
      <c r="G117" s="55"/>
      <c r="H117" s="117"/>
      <c r="K117" s="55"/>
      <c r="L117" s="55"/>
      <c r="M117" s="55"/>
    </row>
    <row r="118" spans="1:13" s="66" customFormat="1" x14ac:dyDescent="0.3">
      <c r="A118" s="71"/>
      <c r="B118" s="57" t="s">
        <v>995</v>
      </c>
      <c r="C118" s="78" t="s">
        <v>171</v>
      </c>
      <c r="D118" s="187">
        <v>250000</v>
      </c>
      <c r="E118" s="92"/>
      <c r="F118" s="84"/>
      <c r="G118" s="55"/>
      <c r="H118" s="117"/>
      <c r="K118" s="55"/>
      <c r="L118" s="55"/>
      <c r="M118" s="55"/>
    </row>
    <row r="119" spans="1:13" s="67" customFormat="1" x14ac:dyDescent="0.3">
      <c r="A119" s="71"/>
      <c r="B119" s="57" t="s">
        <v>994</v>
      </c>
      <c r="C119" s="78" t="s">
        <v>171</v>
      </c>
      <c r="D119" s="187">
        <v>2000</v>
      </c>
      <c r="E119" s="144" t="s">
        <v>993</v>
      </c>
      <c r="F119" s="84"/>
      <c r="G119" s="55"/>
      <c r="H119" s="66"/>
      <c r="I119" s="66"/>
      <c r="J119" s="66"/>
      <c r="K119" s="55"/>
      <c r="L119" s="55"/>
      <c r="M119" s="55"/>
    </row>
    <row r="120" spans="1:13" s="67" customFormat="1" x14ac:dyDescent="0.3">
      <c r="A120" s="71"/>
      <c r="B120" s="57" t="s">
        <v>992</v>
      </c>
      <c r="C120" s="78" t="s">
        <v>171</v>
      </c>
      <c r="D120" s="187">
        <v>2230</v>
      </c>
      <c r="E120" s="144"/>
      <c r="F120" s="84"/>
      <c r="G120" s="55"/>
      <c r="H120" s="66"/>
      <c r="I120" s="66"/>
      <c r="J120" s="66"/>
      <c r="K120" s="55"/>
      <c r="L120" s="55"/>
      <c r="M120" s="55"/>
    </row>
    <row r="121" spans="1:13" s="67" customFormat="1" x14ac:dyDescent="0.3">
      <c r="A121" s="71"/>
      <c r="B121" s="57" t="s">
        <v>991</v>
      </c>
      <c r="C121" s="78" t="s">
        <v>171</v>
      </c>
      <c r="D121" s="187">
        <v>2900</v>
      </c>
      <c r="E121" s="92">
        <v>2313</v>
      </c>
      <c r="F121" s="84">
        <v>5753.5999999999995</v>
      </c>
      <c r="G121" s="55"/>
      <c r="H121" s="66"/>
      <c r="I121" s="66"/>
      <c r="J121" s="66"/>
      <c r="K121" s="55"/>
      <c r="L121" s="55"/>
      <c r="M121" s="55"/>
    </row>
    <row r="122" spans="1:13" s="67" customFormat="1" x14ac:dyDescent="0.3">
      <c r="A122" s="71"/>
      <c r="B122" s="57" t="s">
        <v>990</v>
      </c>
      <c r="C122" s="78" t="s">
        <v>171</v>
      </c>
      <c r="D122" s="185">
        <v>2500</v>
      </c>
      <c r="E122" s="91" t="s">
        <v>950</v>
      </c>
      <c r="F122" s="84"/>
      <c r="G122" s="55"/>
      <c r="H122" s="66"/>
      <c r="I122" s="66"/>
      <c r="J122" s="66"/>
      <c r="K122" s="55"/>
      <c r="L122" s="55"/>
      <c r="M122" s="55"/>
    </row>
    <row r="123" spans="1:13" x14ac:dyDescent="0.3">
      <c r="B123" s="57" t="s">
        <v>989</v>
      </c>
      <c r="C123" s="78" t="s">
        <v>171</v>
      </c>
      <c r="D123" s="185">
        <v>1000</v>
      </c>
      <c r="E123" s="90"/>
      <c r="F123" s="154"/>
      <c r="G123" s="153"/>
      <c r="H123" s="156"/>
    </row>
    <row r="124" spans="1:13" x14ac:dyDescent="0.3">
      <c r="B124" s="155" t="s">
        <v>988</v>
      </c>
      <c r="C124" s="78" t="s">
        <v>171</v>
      </c>
      <c r="D124" s="185">
        <v>4200</v>
      </c>
      <c r="E124" s="144" t="s">
        <v>982</v>
      </c>
      <c r="F124" s="154"/>
      <c r="G124" s="153"/>
      <c r="H124" s="130"/>
    </row>
    <row r="125" spans="1:13" x14ac:dyDescent="0.3">
      <c r="B125" s="155" t="s">
        <v>988</v>
      </c>
      <c r="C125" s="78" t="s">
        <v>171</v>
      </c>
      <c r="D125" s="185">
        <v>4200</v>
      </c>
      <c r="E125" s="144" t="s">
        <v>982</v>
      </c>
      <c r="F125" s="154"/>
      <c r="G125" s="153"/>
      <c r="H125" s="130"/>
    </row>
    <row r="126" spans="1:13" s="66" customFormat="1" ht="20.25" customHeight="1" x14ac:dyDescent="0.3">
      <c r="A126" s="71"/>
      <c r="B126" s="57" t="s">
        <v>987</v>
      </c>
      <c r="C126" s="78" t="s">
        <v>171</v>
      </c>
      <c r="D126" s="185">
        <v>3700</v>
      </c>
      <c r="E126" s="77"/>
      <c r="F126" s="84"/>
      <c r="G126" s="55"/>
      <c r="K126" s="55"/>
      <c r="L126" s="55"/>
      <c r="M126" s="55"/>
    </row>
    <row r="127" spans="1:13" s="66" customFormat="1" x14ac:dyDescent="0.3">
      <c r="A127" s="71"/>
      <c r="B127" s="57" t="s">
        <v>986</v>
      </c>
      <c r="C127" s="78" t="s">
        <v>171</v>
      </c>
      <c r="D127" s="185">
        <v>3700</v>
      </c>
      <c r="E127" s="77"/>
      <c r="F127" s="84"/>
      <c r="G127" s="55"/>
      <c r="K127" s="55"/>
      <c r="L127" s="55"/>
      <c r="M127" s="55"/>
    </row>
    <row r="128" spans="1:13" x14ac:dyDescent="0.3">
      <c r="B128" s="57" t="s">
        <v>985</v>
      </c>
      <c r="C128" s="78" t="s">
        <v>171</v>
      </c>
      <c r="D128" s="185">
        <v>3700</v>
      </c>
      <c r="E128" s="152"/>
      <c r="F128" s="84"/>
    </row>
    <row r="129" spans="1:13" x14ac:dyDescent="0.3">
      <c r="B129" s="57" t="s">
        <v>984</v>
      </c>
      <c r="C129" s="78" t="s">
        <v>171</v>
      </c>
      <c r="D129" s="185">
        <v>3700</v>
      </c>
      <c r="E129" s="77">
        <v>2181</v>
      </c>
      <c r="F129" s="84"/>
    </row>
    <row r="130" spans="1:13" x14ac:dyDescent="0.3">
      <c r="B130" s="57" t="s">
        <v>983</v>
      </c>
      <c r="C130" s="78" t="s">
        <v>171</v>
      </c>
      <c r="D130" s="187">
        <v>2600</v>
      </c>
      <c r="E130" s="144" t="s">
        <v>982</v>
      </c>
      <c r="F130" s="84"/>
    </row>
    <row r="131" spans="1:13" x14ac:dyDescent="0.3">
      <c r="B131" s="57" t="s">
        <v>981</v>
      </c>
      <c r="C131" s="78" t="s">
        <v>171</v>
      </c>
      <c r="D131" s="187">
        <f>+E131*1.16</f>
        <v>0</v>
      </c>
      <c r="E131" s="92"/>
      <c r="F131" s="84"/>
    </row>
    <row r="132" spans="1:13" x14ac:dyDescent="0.3">
      <c r="B132" s="57" t="s">
        <v>980</v>
      </c>
      <c r="C132" s="78" t="s">
        <v>171</v>
      </c>
      <c r="D132" s="187">
        <v>4400</v>
      </c>
      <c r="E132" s="92"/>
      <c r="F132" s="84"/>
    </row>
    <row r="133" spans="1:13" x14ac:dyDescent="0.3">
      <c r="B133" s="57" t="s">
        <v>979</v>
      </c>
      <c r="C133" s="78" t="s">
        <v>171</v>
      </c>
      <c r="D133" s="187">
        <v>4400</v>
      </c>
      <c r="E133" s="92"/>
      <c r="F133" s="84"/>
    </row>
    <row r="134" spans="1:13" x14ac:dyDescent="0.3">
      <c r="B134" s="57" t="s">
        <v>978</v>
      </c>
      <c r="C134" s="78" t="s">
        <v>171</v>
      </c>
      <c r="D134" s="187">
        <v>4500</v>
      </c>
      <c r="E134" s="92"/>
      <c r="F134" s="84"/>
    </row>
    <row r="135" spans="1:13" x14ac:dyDescent="0.3">
      <c r="B135" s="57" t="s">
        <v>348</v>
      </c>
      <c r="C135" s="78" t="s">
        <v>171</v>
      </c>
      <c r="D135" s="185">
        <f>23400*1.16</f>
        <v>27143.999999999996</v>
      </c>
      <c r="E135" s="91"/>
      <c r="F135" s="84"/>
    </row>
    <row r="136" spans="1:13" x14ac:dyDescent="0.3">
      <c r="B136" s="57" t="s">
        <v>977</v>
      </c>
      <c r="C136" s="78" t="s">
        <v>171</v>
      </c>
      <c r="D136" s="185">
        <v>120000</v>
      </c>
      <c r="E136" s="96"/>
      <c r="F136" s="84"/>
    </row>
    <row r="137" spans="1:13" s="67" customFormat="1" x14ac:dyDescent="0.3">
      <c r="A137" s="71"/>
      <c r="B137" s="57" t="s">
        <v>976</v>
      </c>
      <c r="C137" s="78" t="s">
        <v>129</v>
      </c>
      <c r="D137" s="187">
        <v>5534</v>
      </c>
      <c r="E137" s="144" t="s">
        <v>956</v>
      </c>
      <c r="F137" s="84"/>
      <c r="G137" s="55"/>
      <c r="H137" s="66"/>
      <c r="I137" s="66"/>
      <c r="J137" s="66"/>
      <c r="K137" s="55"/>
      <c r="L137" s="55"/>
      <c r="M137" s="55"/>
    </row>
    <row r="138" spans="1:13" s="67" customFormat="1" x14ac:dyDescent="0.3">
      <c r="A138" s="71"/>
      <c r="B138" s="57" t="s">
        <v>975</v>
      </c>
      <c r="C138" s="78" t="s">
        <v>171</v>
      </c>
      <c r="D138" s="185">
        <v>25228</v>
      </c>
      <c r="E138" s="144" t="s">
        <v>956</v>
      </c>
      <c r="F138" s="92"/>
      <c r="H138" s="66"/>
      <c r="I138" s="66"/>
      <c r="J138" s="66"/>
      <c r="K138" s="55"/>
      <c r="L138" s="55"/>
      <c r="M138" s="55"/>
    </row>
    <row r="139" spans="1:13" s="67" customFormat="1" x14ac:dyDescent="0.3">
      <c r="A139" s="71"/>
      <c r="B139" s="57" t="s">
        <v>974</v>
      </c>
      <c r="C139" s="78" t="s">
        <v>171</v>
      </c>
      <c r="D139" s="185">
        <v>25407</v>
      </c>
      <c r="E139" s="144" t="s">
        <v>956</v>
      </c>
      <c r="F139" s="92"/>
      <c r="H139" s="66"/>
      <c r="I139" s="66"/>
      <c r="J139" s="66"/>
      <c r="K139" s="55"/>
      <c r="L139" s="55"/>
      <c r="M139" s="55"/>
    </row>
    <row r="140" spans="1:13" s="67" customFormat="1" x14ac:dyDescent="0.3">
      <c r="A140" s="71"/>
      <c r="B140" s="57" t="s">
        <v>973</v>
      </c>
      <c r="C140" s="78" t="s">
        <v>171</v>
      </c>
      <c r="D140" s="185">
        <v>43340</v>
      </c>
      <c r="E140" s="144" t="s">
        <v>956</v>
      </c>
      <c r="F140" s="92"/>
      <c r="H140" s="66"/>
      <c r="I140" s="66"/>
      <c r="J140" s="66"/>
      <c r="K140" s="55"/>
      <c r="L140" s="55"/>
      <c r="M140" s="55"/>
    </row>
    <row r="141" spans="1:13" ht="31.2" x14ac:dyDescent="0.3">
      <c r="B141" s="57" t="s">
        <v>972</v>
      </c>
      <c r="C141" s="78" t="s">
        <v>171</v>
      </c>
      <c r="D141" s="185">
        <v>102102</v>
      </c>
      <c r="E141" s="144" t="s">
        <v>956</v>
      </c>
      <c r="F141" s="92"/>
    </row>
    <row r="142" spans="1:13" s="66" customFormat="1" x14ac:dyDescent="0.3">
      <c r="A142" s="71"/>
      <c r="B142" s="57" t="s">
        <v>971</v>
      </c>
      <c r="C142" s="78" t="s">
        <v>171</v>
      </c>
      <c r="D142" s="185">
        <v>564</v>
      </c>
      <c r="E142" s="91"/>
      <c r="F142" s="84"/>
      <c r="G142" s="55"/>
      <c r="K142" s="55"/>
      <c r="L142" s="55"/>
      <c r="M142" s="55"/>
    </row>
    <row r="143" spans="1:13" s="66" customFormat="1" x14ac:dyDescent="0.3">
      <c r="A143" s="71"/>
      <c r="B143" s="57" t="s">
        <v>970</v>
      </c>
      <c r="C143" s="78" t="s">
        <v>171</v>
      </c>
      <c r="D143" s="185">
        <v>530</v>
      </c>
      <c r="E143" s="91"/>
      <c r="F143" s="84"/>
      <c r="G143" s="55"/>
      <c r="K143" s="55"/>
      <c r="L143" s="55"/>
      <c r="M143" s="55"/>
    </row>
    <row r="144" spans="1:13" s="66" customFormat="1" ht="17.25" customHeight="1" x14ac:dyDescent="0.3">
      <c r="A144" s="71"/>
      <c r="B144" s="57" t="s">
        <v>968</v>
      </c>
      <c r="C144" s="78" t="s">
        <v>129</v>
      </c>
      <c r="D144" s="185">
        <f>F144</f>
        <v>28560</v>
      </c>
      <c r="E144" s="150"/>
      <c r="F144" s="82">
        <v>28560</v>
      </c>
      <c r="G144" s="55"/>
      <c r="K144" s="55"/>
      <c r="L144" s="55"/>
      <c r="M144" s="55"/>
    </row>
    <row r="145" spans="1:13" s="66" customFormat="1" x14ac:dyDescent="0.3">
      <c r="A145" s="71"/>
      <c r="B145" s="57" t="s">
        <v>969</v>
      </c>
      <c r="C145" s="78" t="s">
        <v>171</v>
      </c>
      <c r="D145" s="185">
        <v>51294</v>
      </c>
      <c r="E145" s="91" t="s">
        <v>950</v>
      </c>
      <c r="F145" s="92"/>
      <c r="G145" s="140"/>
      <c r="K145" s="55"/>
      <c r="L145" s="55"/>
      <c r="M145" s="55"/>
    </row>
    <row r="146" spans="1:13" ht="17.25" customHeight="1" x14ac:dyDescent="0.3">
      <c r="A146" s="151"/>
      <c r="B146" s="57" t="s">
        <v>968</v>
      </c>
      <c r="C146" s="78" t="s">
        <v>171</v>
      </c>
      <c r="D146" s="188">
        <f>+D144</f>
        <v>28560</v>
      </c>
      <c r="E146" s="150"/>
      <c r="F146" s="92"/>
    </row>
    <row r="147" spans="1:13" ht="31.2" x14ac:dyDescent="0.3">
      <c r="B147" s="57" t="s">
        <v>967</v>
      </c>
      <c r="C147" s="78" t="s">
        <v>171</v>
      </c>
      <c r="D147" s="188">
        <v>17035</v>
      </c>
      <c r="E147" s="134" t="s">
        <v>956</v>
      </c>
      <c r="F147" s="92"/>
    </row>
    <row r="148" spans="1:13" x14ac:dyDescent="0.3">
      <c r="B148" s="57" t="s">
        <v>966</v>
      </c>
      <c r="C148" s="78" t="s">
        <v>335</v>
      </c>
      <c r="D148" s="185">
        <v>27489</v>
      </c>
      <c r="E148" s="134" t="s">
        <v>956</v>
      </c>
      <c r="F148" s="77"/>
      <c r="G148" s="149">
        <v>27489</v>
      </c>
      <c r="I148" s="66">
        <f>E149/H149</f>
        <v>7943.8829787234035</v>
      </c>
    </row>
    <row r="149" spans="1:13" s="66" customFormat="1" ht="26.25" customHeight="1" x14ac:dyDescent="0.3">
      <c r="A149" s="110"/>
      <c r="B149" s="57" t="s">
        <v>965</v>
      </c>
      <c r="C149" s="78" t="s">
        <v>171</v>
      </c>
      <c r="D149" s="194">
        <v>149345</v>
      </c>
      <c r="E149" s="145">
        <v>149345</v>
      </c>
      <c r="F149" s="148" t="s">
        <v>959</v>
      </c>
      <c r="G149" s="55" t="s">
        <v>964</v>
      </c>
      <c r="H149" s="66">
        <v>18.8</v>
      </c>
      <c r="I149" s="66" t="s">
        <v>963</v>
      </c>
      <c r="K149" s="55"/>
      <c r="L149" s="55"/>
      <c r="M149" s="55"/>
    </row>
    <row r="150" spans="1:13" s="66" customFormat="1" x14ac:dyDescent="0.3">
      <c r="A150" s="71"/>
      <c r="B150" s="57" t="s">
        <v>962</v>
      </c>
      <c r="C150" s="78" t="s">
        <v>171</v>
      </c>
      <c r="D150" s="187">
        <v>376001</v>
      </c>
      <c r="E150" s="134" t="s">
        <v>956</v>
      </c>
      <c r="F150" s="92" t="s">
        <v>961</v>
      </c>
      <c r="G150" s="55">
        <v>6401.755319148936</v>
      </c>
      <c r="H150" s="146" t="e">
        <f>F150/6</f>
        <v>#VALUE!</v>
      </c>
      <c r="K150" s="55"/>
      <c r="L150" s="55"/>
      <c r="M150" s="55"/>
    </row>
    <row r="151" spans="1:13" s="66" customFormat="1" x14ac:dyDescent="0.3">
      <c r="A151" s="71"/>
      <c r="B151" s="57" t="s">
        <v>960</v>
      </c>
      <c r="C151" s="78" t="s">
        <v>83</v>
      </c>
      <c r="D151" s="185">
        <v>7943.88</v>
      </c>
      <c r="E151" s="134" t="s">
        <v>956</v>
      </c>
      <c r="F151" s="92"/>
      <c r="G151" s="147"/>
      <c r="H151" s="146"/>
      <c r="K151" s="55"/>
      <c r="L151" s="55"/>
      <c r="M151" s="55"/>
    </row>
    <row r="152" spans="1:13" s="66" customFormat="1" ht="21.75" customHeight="1" x14ac:dyDescent="0.3">
      <c r="A152" s="71"/>
      <c r="B152" s="57" t="s">
        <v>959</v>
      </c>
      <c r="C152" s="78" t="s">
        <v>171</v>
      </c>
      <c r="D152" s="194">
        <v>149345</v>
      </c>
      <c r="E152" s="134" t="s">
        <v>956</v>
      </c>
      <c r="F152" s="92"/>
      <c r="G152" s="55"/>
      <c r="K152" s="55"/>
      <c r="L152" s="55"/>
      <c r="M152" s="55"/>
    </row>
    <row r="153" spans="1:13" s="66" customFormat="1" x14ac:dyDescent="0.3">
      <c r="A153" s="71"/>
      <c r="B153" s="57" t="s">
        <v>958</v>
      </c>
      <c r="C153" s="78" t="s">
        <v>171</v>
      </c>
      <c r="D153" s="187">
        <v>8078.91</v>
      </c>
      <c r="E153" s="134" t="s">
        <v>956</v>
      </c>
      <c r="F153" s="92">
        <v>232</v>
      </c>
      <c r="G153" s="55"/>
      <c r="K153" s="55"/>
      <c r="L153" s="55"/>
      <c r="M153" s="55"/>
    </row>
    <row r="154" spans="1:13" s="66" customFormat="1" x14ac:dyDescent="0.3">
      <c r="A154" s="71"/>
      <c r="B154" s="57" t="s">
        <v>957</v>
      </c>
      <c r="C154" s="78" t="s">
        <v>171</v>
      </c>
      <c r="D154" s="187">
        <v>268</v>
      </c>
      <c r="E154" s="144" t="s">
        <v>956</v>
      </c>
      <c r="F154" s="92"/>
      <c r="G154" s="55"/>
      <c r="K154" s="55"/>
      <c r="L154" s="55"/>
      <c r="M154" s="55"/>
    </row>
    <row r="155" spans="1:13" s="66" customFormat="1" ht="31.2" x14ac:dyDescent="0.3">
      <c r="A155" s="71"/>
      <c r="B155" s="57" t="s">
        <v>955</v>
      </c>
      <c r="C155" s="78" t="s">
        <v>171</v>
      </c>
      <c r="D155" s="185">
        <f>+F155*1.16</f>
        <v>67658.159999999989</v>
      </c>
      <c r="E155" s="91"/>
      <c r="F155" s="92">
        <v>58326</v>
      </c>
      <c r="K155" s="55"/>
      <c r="L155" s="55"/>
      <c r="M155" s="55"/>
    </row>
    <row r="156" spans="1:13" ht="18" customHeight="1" x14ac:dyDescent="0.3">
      <c r="B156" s="57" t="s">
        <v>954</v>
      </c>
      <c r="C156" s="78" t="s">
        <v>171</v>
      </c>
      <c r="D156" s="185">
        <v>32753</v>
      </c>
      <c r="E156" s="91" t="s">
        <v>950</v>
      </c>
      <c r="F156" s="92"/>
    </row>
    <row r="157" spans="1:13" x14ac:dyDescent="0.3">
      <c r="B157" s="57" t="s">
        <v>953</v>
      </c>
      <c r="C157" s="78" t="s">
        <v>171</v>
      </c>
      <c r="D157" s="185">
        <v>359735</v>
      </c>
      <c r="E157" s="91" t="s">
        <v>950</v>
      </c>
      <c r="F157" s="84">
        <v>359734.62</v>
      </c>
    </row>
    <row r="158" spans="1:13" x14ac:dyDescent="0.3">
      <c r="B158" s="57" t="s">
        <v>952</v>
      </c>
      <c r="C158" s="78" t="s">
        <v>171</v>
      </c>
      <c r="D158" s="185">
        <v>3081</v>
      </c>
      <c r="E158" s="91" t="s">
        <v>950</v>
      </c>
      <c r="F158" s="92"/>
    </row>
    <row r="159" spans="1:13" x14ac:dyDescent="0.3">
      <c r="B159" s="57" t="s">
        <v>951</v>
      </c>
      <c r="C159" s="78" t="s">
        <v>171</v>
      </c>
      <c r="D159" s="185">
        <v>4278</v>
      </c>
      <c r="E159" s="91" t="s">
        <v>950</v>
      </c>
      <c r="F159" s="92"/>
    </row>
    <row r="160" spans="1:13" ht="18.75" customHeight="1" x14ac:dyDescent="0.3">
      <c r="B160" s="57" t="s">
        <v>949</v>
      </c>
      <c r="C160" s="78" t="s">
        <v>171</v>
      </c>
      <c r="D160" s="185">
        <v>425139.99999999994</v>
      </c>
      <c r="E160" s="107"/>
      <c r="F160" s="92"/>
    </row>
    <row r="161" spans="2:6" ht="21" customHeight="1" x14ac:dyDescent="0.3">
      <c r="B161" s="57" t="s">
        <v>948</v>
      </c>
      <c r="C161" s="78" t="s">
        <v>171</v>
      </c>
      <c r="D161" s="185">
        <v>111939.99999999999</v>
      </c>
      <c r="E161" s="107"/>
      <c r="F161" s="92"/>
    </row>
    <row r="162" spans="2:6" ht="9" customHeight="1" x14ac:dyDescent="0.3">
      <c r="B162" s="57"/>
      <c r="C162" s="94"/>
      <c r="E162" s="86"/>
      <c r="F162" s="92"/>
    </row>
    <row r="163" spans="2:6" ht="31.2" x14ac:dyDescent="0.3">
      <c r="B163" s="60" t="s">
        <v>947</v>
      </c>
      <c r="C163" s="94" t="s">
        <v>171</v>
      </c>
      <c r="D163" s="188">
        <v>1100000</v>
      </c>
      <c r="E163" s="86" t="s">
        <v>170</v>
      </c>
      <c r="F163" s="92"/>
    </row>
    <row r="164" spans="2:6" ht="31.2" x14ac:dyDescent="0.3">
      <c r="B164" s="60" t="s">
        <v>946</v>
      </c>
      <c r="C164" s="94" t="s">
        <v>171</v>
      </c>
      <c r="D164" s="188">
        <v>450000</v>
      </c>
      <c r="E164" s="86" t="s">
        <v>170</v>
      </c>
      <c r="F164" s="92"/>
    </row>
    <row r="165" spans="2:6" x14ac:dyDescent="0.3">
      <c r="B165" s="60" t="s">
        <v>945</v>
      </c>
      <c r="C165" s="78" t="s">
        <v>426</v>
      </c>
      <c r="D165" s="185">
        <f>+F165/30</f>
        <v>0</v>
      </c>
      <c r="E165" s="86"/>
      <c r="F165" s="92"/>
    </row>
    <row r="166" spans="2:6" x14ac:dyDescent="0.3">
      <c r="B166" s="60" t="s">
        <v>944</v>
      </c>
      <c r="C166" s="78" t="s">
        <v>426</v>
      </c>
      <c r="D166" s="185">
        <v>80618</v>
      </c>
      <c r="E166" s="134" t="s">
        <v>942</v>
      </c>
      <c r="F166" s="92"/>
    </row>
    <row r="167" spans="2:6" x14ac:dyDescent="0.3">
      <c r="B167" s="60" t="s">
        <v>943</v>
      </c>
      <c r="C167" s="78" t="s">
        <v>426</v>
      </c>
      <c r="D167" s="185">
        <v>90486</v>
      </c>
      <c r="E167" s="86" t="s">
        <v>942</v>
      </c>
      <c r="F167" s="92"/>
    </row>
    <row r="168" spans="2:6" x14ac:dyDescent="0.3">
      <c r="B168" s="57" t="s">
        <v>941</v>
      </c>
      <c r="C168" s="78" t="s">
        <v>335</v>
      </c>
      <c r="D168" s="185">
        <v>47305</v>
      </c>
      <c r="E168" s="128">
        <v>2023</v>
      </c>
      <c r="F168" s="92"/>
    </row>
    <row r="169" spans="2:6" x14ac:dyDescent="0.3">
      <c r="B169" s="60" t="s">
        <v>940</v>
      </c>
      <c r="C169" s="78" t="s">
        <v>938</v>
      </c>
      <c r="D169" s="185">
        <v>56406</v>
      </c>
      <c r="E169" s="143">
        <v>2017</v>
      </c>
      <c r="F169" s="92">
        <v>157760</v>
      </c>
    </row>
    <row r="170" spans="2:6" x14ac:dyDescent="0.3">
      <c r="B170" s="60" t="s">
        <v>939</v>
      </c>
      <c r="C170" s="78" t="s">
        <v>938</v>
      </c>
      <c r="D170" s="185">
        <v>56406</v>
      </c>
      <c r="E170" s="143">
        <v>2017</v>
      </c>
      <c r="F170" s="92">
        <v>207130</v>
      </c>
    </row>
    <row r="171" spans="2:6" x14ac:dyDescent="0.3">
      <c r="B171" s="57" t="s">
        <v>937</v>
      </c>
      <c r="C171" s="78" t="s">
        <v>83</v>
      </c>
      <c r="D171" s="185">
        <v>4264</v>
      </c>
      <c r="E171" s="128">
        <v>2023</v>
      </c>
      <c r="F171" s="92">
        <v>67953</v>
      </c>
    </row>
    <row r="172" spans="2:6" x14ac:dyDescent="0.3">
      <c r="B172" s="57" t="s">
        <v>936</v>
      </c>
      <c r="C172" s="78" t="s">
        <v>83</v>
      </c>
      <c r="D172" s="185">
        <v>56409</v>
      </c>
      <c r="E172" s="128">
        <v>2023</v>
      </c>
      <c r="F172" s="92"/>
    </row>
    <row r="173" spans="2:6" x14ac:dyDescent="0.3">
      <c r="B173" s="57" t="s">
        <v>935</v>
      </c>
      <c r="C173" s="102" t="s">
        <v>83</v>
      </c>
      <c r="D173" s="185">
        <v>52952</v>
      </c>
      <c r="E173" s="128">
        <v>2023</v>
      </c>
      <c r="F173" s="92"/>
    </row>
    <row r="174" spans="2:6" x14ac:dyDescent="0.3">
      <c r="B174" s="57" t="s">
        <v>934</v>
      </c>
      <c r="C174" s="78" t="s">
        <v>335</v>
      </c>
      <c r="D174" s="192">
        <v>18760</v>
      </c>
      <c r="E174" s="142">
        <v>2021</v>
      </c>
      <c r="F174" s="92">
        <v>79900</v>
      </c>
    </row>
    <row r="175" spans="2:6" x14ac:dyDescent="0.3">
      <c r="B175" s="57" t="s">
        <v>933</v>
      </c>
      <c r="C175" s="78" t="s">
        <v>335</v>
      </c>
      <c r="D175" s="185">
        <v>19599</v>
      </c>
      <c r="E175" s="142">
        <v>2021</v>
      </c>
      <c r="F175" s="92"/>
    </row>
    <row r="176" spans="2:6" x14ac:dyDescent="0.3">
      <c r="B176" s="57" t="s">
        <v>932</v>
      </c>
      <c r="C176" s="78" t="s">
        <v>335</v>
      </c>
      <c r="D176" s="185">
        <v>26900</v>
      </c>
      <c r="E176" s="143">
        <v>2017</v>
      </c>
      <c r="F176" s="92">
        <v>67860</v>
      </c>
    </row>
    <row r="177" spans="1:13" x14ac:dyDescent="0.3">
      <c r="B177" s="60" t="s">
        <v>931</v>
      </c>
      <c r="C177" s="78" t="s">
        <v>929</v>
      </c>
      <c r="D177" s="185">
        <v>5748</v>
      </c>
      <c r="E177" s="142">
        <v>2021</v>
      </c>
      <c r="F177" s="92">
        <v>80063</v>
      </c>
    </row>
    <row r="178" spans="1:13" x14ac:dyDescent="0.3">
      <c r="B178" s="60" t="s">
        <v>930</v>
      </c>
      <c r="C178" s="78" t="s">
        <v>929</v>
      </c>
      <c r="D178" s="185">
        <v>19355</v>
      </c>
      <c r="E178" s="142">
        <v>2021</v>
      </c>
      <c r="F178" s="92">
        <v>197426</v>
      </c>
    </row>
    <row r="179" spans="1:13" s="67" customFormat="1" x14ac:dyDescent="0.3">
      <c r="A179" s="71"/>
      <c r="B179" s="57" t="s">
        <v>928</v>
      </c>
      <c r="C179" s="78" t="s">
        <v>335</v>
      </c>
      <c r="D179" s="185">
        <v>37854</v>
      </c>
      <c r="E179" s="142">
        <v>2021</v>
      </c>
      <c r="F179" s="92">
        <v>53728.5</v>
      </c>
      <c r="G179" s="55"/>
      <c r="H179" s="66"/>
      <c r="I179" s="66"/>
      <c r="J179" s="66"/>
      <c r="K179" s="55"/>
      <c r="L179" s="55"/>
      <c r="M179" s="55"/>
    </row>
    <row r="180" spans="1:13" s="67" customFormat="1" x14ac:dyDescent="0.3">
      <c r="A180" s="71"/>
      <c r="B180" s="57" t="s">
        <v>927</v>
      </c>
      <c r="C180" s="78" t="s">
        <v>129</v>
      </c>
      <c r="D180" s="185">
        <v>19390</v>
      </c>
      <c r="E180" s="128">
        <v>2022</v>
      </c>
      <c r="F180" s="92"/>
      <c r="G180" s="55"/>
      <c r="H180" s="66"/>
      <c r="I180" s="66"/>
      <c r="J180" s="66"/>
      <c r="K180" s="55"/>
      <c r="L180" s="55"/>
      <c r="M180" s="55"/>
    </row>
    <row r="181" spans="1:13" s="67" customFormat="1" x14ac:dyDescent="0.3">
      <c r="A181" s="71"/>
      <c r="B181" s="57" t="s">
        <v>926</v>
      </c>
      <c r="C181" s="78" t="s">
        <v>335</v>
      </c>
      <c r="D181" s="185">
        <v>37854</v>
      </c>
      <c r="E181" s="142">
        <v>2021</v>
      </c>
      <c r="F181" s="92"/>
      <c r="G181" s="55"/>
      <c r="H181" s="66"/>
      <c r="I181" s="66"/>
      <c r="J181" s="66"/>
      <c r="K181" s="55"/>
      <c r="L181" s="55"/>
      <c r="M181" s="55"/>
    </row>
    <row r="182" spans="1:13" s="67" customFormat="1" x14ac:dyDescent="0.3">
      <c r="A182" s="71"/>
      <c r="B182" s="57" t="s">
        <v>925</v>
      </c>
      <c r="C182" s="78" t="s">
        <v>335</v>
      </c>
      <c r="D182" s="185">
        <v>5355</v>
      </c>
      <c r="E182" s="143">
        <v>2017</v>
      </c>
      <c r="F182" s="92"/>
      <c r="G182" s="55"/>
      <c r="H182" s="66"/>
      <c r="I182" s="66"/>
      <c r="J182" s="66"/>
      <c r="K182" s="55"/>
      <c r="L182" s="55"/>
      <c r="M182" s="55"/>
    </row>
    <row r="183" spans="1:13" s="67" customFormat="1" x14ac:dyDescent="0.3">
      <c r="A183" s="71"/>
      <c r="B183" s="57" t="s">
        <v>924</v>
      </c>
      <c r="C183" s="78" t="s">
        <v>335</v>
      </c>
      <c r="D183" s="185">
        <v>4663</v>
      </c>
      <c r="E183" s="143">
        <v>2017</v>
      </c>
      <c r="F183" s="92"/>
      <c r="G183" s="55"/>
      <c r="H183" s="66"/>
      <c r="I183" s="66"/>
      <c r="J183" s="66"/>
      <c r="K183" s="55"/>
      <c r="L183" s="55"/>
      <c r="M183" s="55"/>
    </row>
    <row r="184" spans="1:13" s="67" customFormat="1" x14ac:dyDescent="0.3">
      <c r="A184" s="71"/>
      <c r="B184" s="57" t="s">
        <v>923</v>
      </c>
      <c r="C184" s="78" t="s">
        <v>134</v>
      </c>
      <c r="D184" s="185">
        <v>3001</v>
      </c>
      <c r="E184" s="86"/>
      <c r="F184" s="92">
        <v>74375</v>
      </c>
      <c r="G184" s="55"/>
      <c r="H184" s="66"/>
      <c r="I184" s="66"/>
      <c r="J184" s="66"/>
      <c r="K184" s="55"/>
      <c r="L184" s="55"/>
      <c r="M184" s="55"/>
    </row>
    <row r="185" spans="1:13" s="67" customFormat="1" x14ac:dyDescent="0.3">
      <c r="A185" s="71"/>
      <c r="B185" s="57" t="s">
        <v>922</v>
      </c>
      <c r="C185" s="78" t="s">
        <v>335</v>
      </c>
      <c r="D185" s="185">
        <v>13280</v>
      </c>
      <c r="E185" s="142">
        <v>2021</v>
      </c>
      <c r="F185" s="92"/>
      <c r="G185" s="55"/>
      <c r="H185" s="66"/>
      <c r="I185" s="66"/>
      <c r="J185" s="66"/>
      <c r="K185" s="55"/>
      <c r="L185" s="55"/>
      <c r="M185" s="55"/>
    </row>
    <row r="186" spans="1:13" s="67" customFormat="1" ht="18.75" customHeight="1" x14ac:dyDescent="0.3">
      <c r="A186" s="71"/>
      <c r="B186" s="57" t="s">
        <v>921</v>
      </c>
      <c r="C186" s="78" t="s">
        <v>83</v>
      </c>
      <c r="D186" s="185">
        <v>12926</v>
      </c>
      <c r="E186" s="142">
        <v>2021</v>
      </c>
      <c r="F186" s="92"/>
      <c r="G186" s="55"/>
      <c r="H186" s="66"/>
      <c r="I186" s="66"/>
      <c r="J186" s="66"/>
      <c r="K186" s="55"/>
      <c r="L186" s="55"/>
      <c r="M186" s="55"/>
    </row>
    <row r="187" spans="1:13" s="67" customFormat="1" x14ac:dyDescent="0.3">
      <c r="A187" s="71"/>
      <c r="B187" s="57" t="s">
        <v>920</v>
      </c>
      <c r="C187" s="78" t="s">
        <v>176</v>
      </c>
      <c r="D187" s="185">
        <v>1786</v>
      </c>
      <c r="E187" s="142">
        <v>2021</v>
      </c>
      <c r="F187" s="92">
        <v>598084</v>
      </c>
      <c r="G187" s="55">
        <f>+F186/189</f>
        <v>0</v>
      </c>
      <c r="H187" s="66"/>
      <c r="I187" s="66"/>
      <c r="J187" s="66"/>
      <c r="K187" s="55"/>
      <c r="L187" s="55"/>
      <c r="M187" s="55"/>
    </row>
    <row r="188" spans="1:13" s="67" customFormat="1" ht="27.6" x14ac:dyDescent="0.3">
      <c r="A188" s="71"/>
      <c r="B188" s="57" t="s">
        <v>919</v>
      </c>
      <c r="C188" s="78" t="s">
        <v>72</v>
      </c>
      <c r="D188" s="185">
        <v>8760</v>
      </c>
      <c r="E188" s="141" t="s">
        <v>918</v>
      </c>
      <c r="F188" s="81">
        <v>7070</v>
      </c>
      <c r="G188" s="140">
        <f>+G186/D186</f>
        <v>0</v>
      </c>
      <c r="H188" s="66"/>
      <c r="I188" s="66"/>
      <c r="J188" s="66"/>
      <c r="K188" s="55"/>
      <c r="L188" s="55"/>
      <c r="M188" s="55"/>
    </row>
    <row r="189" spans="1:13" s="67" customFormat="1" x14ac:dyDescent="0.3">
      <c r="A189" s="71"/>
      <c r="B189" s="57" t="s">
        <v>917</v>
      </c>
      <c r="C189" s="78" t="s">
        <v>129</v>
      </c>
      <c r="D189" s="185">
        <v>8485</v>
      </c>
      <c r="E189" s="134" t="s">
        <v>916</v>
      </c>
      <c r="F189" s="84"/>
      <c r="G189" s="55"/>
      <c r="H189" s="66"/>
      <c r="I189" s="66"/>
      <c r="J189" s="66"/>
      <c r="K189" s="55"/>
      <c r="L189" s="55"/>
      <c r="M189" s="55"/>
    </row>
    <row r="190" spans="1:13" s="67" customFormat="1" x14ac:dyDescent="0.3">
      <c r="A190" s="71"/>
      <c r="B190" s="57" t="s">
        <v>915</v>
      </c>
      <c r="C190" s="78" t="s">
        <v>72</v>
      </c>
      <c r="D190" s="185">
        <v>1250</v>
      </c>
      <c r="E190" s="91"/>
      <c r="F190" s="84"/>
      <c r="G190" s="55"/>
      <c r="H190" s="66"/>
      <c r="I190" s="66"/>
      <c r="J190" s="66"/>
      <c r="K190" s="55"/>
      <c r="L190" s="55"/>
      <c r="M190" s="55"/>
    </row>
    <row r="191" spans="1:13" s="67" customFormat="1" x14ac:dyDescent="0.3">
      <c r="A191" s="71"/>
      <c r="B191" s="57" t="s">
        <v>914</v>
      </c>
      <c r="C191" s="78" t="s">
        <v>72</v>
      </c>
      <c r="D191" s="185">
        <v>1250</v>
      </c>
      <c r="E191" s="91"/>
      <c r="F191" s="84"/>
      <c r="G191" s="55"/>
      <c r="H191" s="66"/>
      <c r="I191" s="66"/>
      <c r="J191" s="66"/>
      <c r="K191" s="55"/>
      <c r="L191" s="55"/>
      <c r="M191" s="55"/>
    </row>
    <row r="192" spans="1:13" s="67" customFormat="1" ht="31.2" x14ac:dyDescent="0.3">
      <c r="A192" s="71"/>
      <c r="B192" s="57" t="s">
        <v>913</v>
      </c>
      <c r="C192" s="78" t="s">
        <v>171</v>
      </c>
      <c r="D192" s="185"/>
      <c r="E192" s="134" t="s">
        <v>891</v>
      </c>
      <c r="F192" s="84"/>
      <c r="G192" s="55"/>
      <c r="H192" s="66"/>
      <c r="I192" s="66"/>
      <c r="J192" s="66"/>
      <c r="K192" s="55"/>
      <c r="L192" s="55"/>
      <c r="M192" s="55"/>
    </row>
    <row r="193" spans="1:13" s="67" customFormat="1" x14ac:dyDescent="0.3">
      <c r="A193" s="71"/>
      <c r="B193" s="57" t="s">
        <v>912</v>
      </c>
      <c r="C193" s="78" t="s">
        <v>171</v>
      </c>
      <c r="D193" s="185"/>
      <c r="E193" s="91"/>
      <c r="F193" s="84"/>
      <c r="G193" s="55"/>
      <c r="H193" s="66"/>
      <c r="I193" s="66"/>
      <c r="J193" s="66"/>
      <c r="K193" s="55"/>
      <c r="L193" s="55"/>
      <c r="M193" s="55"/>
    </row>
    <row r="194" spans="1:13" s="67" customFormat="1" x14ac:dyDescent="0.3">
      <c r="A194" s="71"/>
      <c r="B194" s="57" t="s">
        <v>911</v>
      </c>
      <c r="C194" s="78" t="s">
        <v>171</v>
      </c>
      <c r="D194" s="185">
        <v>38000</v>
      </c>
      <c r="E194" s="134" t="s">
        <v>891</v>
      </c>
      <c r="F194" s="91"/>
      <c r="G194" s="55"/>
      <c r="H194" s="66"/>
      <c r="I194" s="66"/>
      <c r="J194" s="66"/>
      <c r="K194" s="55"/>
      <c r="L194" s="55"/>
      <c r="M194" s="55"/>
    </row>
    <row r="195" spans="1:13" s="67" customFormat="1" x14ac:dyDescent="0.3">
      <c r="A195" s="71"/>
      <c r="B195" s="57" t="s">
        <v>910</v>
      </c>
      <c r="C195" s="78" t="s">
        <v>129</v>
      </c>
      <c r="D195" s="185">
        <v>11240</v>
      </c>
      <c r="E195" s="91"/>
      <c r="F195" s="84">
        <v>172907</v>
      </c>
      <c r="G195" s="139">
        <f>F195/2</f>
        <v>86453.5</v>
      </c>
      <c r="H195" s="66"/>
      <c r="I195" s="66"/>
      <c r="J195" s="66"/>
      <c r="K195" s="55"/>
      <c r="L195" s="55"/>
      <c r="M195" s="55"/>
    </row>
    <row r="196" spans="1:13" s="67" customFormat="1" x14ac:dyDescent="0.3">
      <c r="A196" s="71"/>
      <c r="B196" s="60" t="s">
        <v>527</v>
      </c>
      <c r="C196" s="78" t="s">
        <v>525</v>
      </c>
      <c r="D196" s="185">
        <v>20000</v>
      </c>
      <c r="E196" s="91"/>
      <c r="F196" s="84"/>
      <c r="G196" s="55"/>
      <c r="H196" s="66"/>
      <c r="I196" s="66"/>
      <c r="J196" s="66"/>
      <c r="K196" s="55"/>
      <c r="L196" s="55"/>
      <c r="M196" s="55"/>
    </row>
    <row r="197" spans="1:13" s="67" customFormat="1" x14ac:dyDescent="0.3">
      <c r="A197" s="71"/>
      <c r="B197" s="60" t="s">
        <v>526</v>
      </c>
      <c r="C197" s="78" t="s">
        <v>525</v>
      </c>
      <c r="D197" s="185">
        <v>3000</v>
      </c>
      <c r="E197" s="91"/>
      <c r="F197" s="84"/>
      <c r="G197" s="55"/>
      <c r="H197" s="66"/>
      <c r="I197" s="66"/>
      <c r="J197" s="66"/>
      <c r="K197" s="55"/>
      <c r="L197" s="55"/>
      <c r="M197" s="55"/>
    </row>
    <row r="198" spans="1:13" s="67" customFormat="1" x14ac:dyDescent="0.3">
      <c r="A198" s="71"/>
      <c r="B198" s="57" t="s">
        <v>909</v>
      </c>
      <c r="C198" s="78" t="s">
        <v>171</v>
      </c>
      <c r="D198" s="185">
        <v>12593</v>
      </c>
      <c r="E198" s="91"/>
      <c r="F198" s="84"/>
      <c r="G198" s="55"/>
      <c r="H198" s="66"/>
      <c r="I198" s="66"/>
      <c r="J198" s="66"/>
      <c r="K198" s="55"/>
      <c r="L198" s="55"/>
      <c r="M198" s="55"/>
    </row>
    <row r="199" spans="1:13" s="67" customFormat="1" x14ac:dyDescent="0.3">
      <c r="A199" s="71"/>
      <c r="B199" s="57" t="s">
        <v>908</v>
      </c>
      <c r="C199" s="78" t="s">
        <v>129</v>
      </c>
      <c r="D199" s="185">
        <v>4000</v>
      </c>
      <c r="E199" s="91"/>
      <c r="F199" s="84"/>
      <c r="G199" s="55"/>
      <c r="H199" s="66"/>
      <c r="I199" s="66"/>
      <c r="J199" s="66"/>
      <c r="K199" s="55"/>
      <c r="L199" s="55"/>
      <c r="M199" s="55"/>
    </row>
    <row r="200" spans="1:13" x14ac:dyDescent="0.3">
      <c r="B200" s="60" t="s">
        <v>907</v>
      </c>
      <c r="C200" s="63" t="s">
        <v>83</v>
      </c>
      <c r="D200" s="185">
        <v>3000</v>
      </c>
      <c r="E200" s="91"/>
      <c r="F200" s="84"/>
    </row>
    <row r="201" spans="1:13" x14ac:dyDescent="0.3">
      <c r="B201" s="60" t="s">
        <v>906</v>
      </c>
      <c r="C201" s="78" t="s">
        <v>171</v>
      </c>
      <c r="D201" s="185">
        <v>2100</v>
      </c>
      <c r="E201" s="138">
        <v>2021</v>
      </c>
      <c r="F201" s="84"/>
    </row>
    <row r="202" spans="1:13" x14ac:dyDescent="0.3">
      <c r="B202" s="60" t="s">
        <v>905</v>
      </c>
      <c r="C202" s="78" t="s">
        <v>171</v>
      </c>
      <c r="D202" s="185">
        <v>4900</v>
      </c>
      <c r="E202" s="91" t="s">
        <v>904</v>
      </c>
      <c r="F202" s="84"/>
    </row>
    <row r="203" spans="1:13" x14ac:dyDescent="0.3">
      <c r="B203" s="60" t="s">
        <v>903</v>
      </c>
      <c r="C203" s="78" t="s">
        <v>171</v>
      </c>
      <c r="D203" s="185">
        <v>3100</v>
      </c>
      <c r="E203" s="91">
        <v>2021</v>
      </c>
      <c r="F203" s="84"/>
    </row>
    <row r="204" spans="1:13" x14ac:dyDescent="0.3">
      <c r="B204" s="60" t="s">
        <v>902</v>
      </c>
      <c r="C204" s="78" t="s">
        <v>171</v>
      </c>
      <c r="D204" s="185">
        <v>6879</v>
      </c>
      <c r="E204" s="91"/>
      <c r="F204" s="84"/>
    </row>
    <row r="205" spans="1:13" x14ac:dyDescent="0.3">
      <c r="B205" s="60" t="s">
        <v>901</v>
      </c>
      <c r="C205" s="63" t="s">
        <v>506</v>
      </c>
      <c r="D205" s="185">
        <v>37000</v>
      </c>
      <c r="E205" s="91"/>
      <c r="F205" s="84"/>
    </row>
    <row r="206" spans="1:13" x14ac:dyDescent="0.3">
      <c r="B206" s="57" t="s">
        <v>900</v>
      </c>
      <c r="C206" s="102" t="s">
        <v>506</v>
      </c>
      <c r="D206" s="185">
        <v>140000</v>
      </c>
      <c r="E206" s="91"/>
      <c r="F206" s="84"/>
    </row>
    <row r="207" spans="1:13" s="66" customFormat="1" x14ac:dyDescent="0.3">
      <c r="A207" s="71"/>
      <c r="B207" s="57" t="s">
        <v>899</v>
      </c>
      <c r="C207" s="78" t="s">
        <v>171</v>
      </c>
      <c r="D207" s="185">
        <v>8500</v>
      </c>
      <c r="E207" s="91"/>
      <c r="F207" s="95"/>
      <c r="G207" s="55"/>
      <c r="K207" s="55"/>
      <c r="L207" s="55"/>
      <c r="M207" s="55"/>
    </row>
    <row r="208" spans="1:13" s="66" customFormat="1" x14ac:dyDescent="0.3">
      <c r="A208" s="71"/>
      <c r="B208" s="57" t="s">
        <v>898</v>
      </c>
      <c r="C208" s="78" t="s">
        <v>171</v>
      </c>
      <c r="D208" s="185">
        <v>18000</v>
      </c>
      <c r="E208" s="91"/>
      <c r="F208" s="95"/>
      <c r="G208" s="55"/>
      <c r="K208" s="55"/>
      <c r="L208" s="55"/>
      <c r="M208" s="55"/>
    </row>
    <row r="209" spans="1:13" s="66" customFormat="1" x14ac:dyDescent="0.3">
      <c r="A209" s="71"/>
      <c r="B209" s="57" t="s">
        <v>897</v>
      </c>
      <c r="C209" s="78" t="s">
        <v>171</v>
      </c>
      <c r="D209" s="185">
        <v>50</v>
      </c>
      <c r="E209" s="91"/>
      <c r="F209" s="73"/>
      <c r="G209" s="55"/>
      <c r="K209" s="55"/>
      <c r="L209" s="55"/>
      <c r="M209" s="55"/>
    </row>
    <row r="210" spans="1:13" s="66" customFormat="1" x14ac:dyDescent="0.3">
      <c r="A210" s="71"/>
      <c r="B210" s="57" t="s">
        <v>896</v>
      </c>
      <c r="C210" s="78" t="s">
        <v>171</v>
      </c>
      <c r="D210" s="185">
        <v>70</v>
      </c>
      <c r="E210" s="91"/>
      <c r="F210" s="73"/>
      <c r="G210" s="55"/>
      <c r="K210" s="55"/>
      <c r="L210" s="55"/>
      <c r="M210" s="55"/>
    </row>
    <row r="211" spans="1:13" s="66" customFormat="1" x14ac:dyDescent="0.3">
      <c r="A211" s="71"/>
      <c r="B211" s="60" t="s">
        <v>895</v>
      </c>
      <c r="C211" s="78" t="s">
        <v>171</v>
      </c>
      <c r="D211" s="185">
        <v>40</v>
      </c>
      <c r="E211" s="91"/>
      <c r="F211" s="84"/>
      <c r="G211" s="55"/>
      <c r="K211" s="55"/>
      <c r="L211" s="55"/>
      <c r="M211" s="55"/>
    </row>
    <row r="212" spans="1:13" s="66" customFormat="1" x14ac:dyDescent="0.3">
      <c r="A212" s="71"/>
      <c r="B212" s="60" t="s">
        <v>894</v>
      </c>
      <c r="C212" s="78" t="s">
        <v>171</v>
      </c>
      <c r="D212" s="185">
        <v>55</v>
      </c>
      <c r="E212" s="91"/>
      <c r="F212" s="84"/>
      <c r="G212" s="55"/>
      <c r="K212" s="55"/>
      <c r="L212" s="55"/>
      <c r="M212" s="55"/>
    </row>
    <row r="213" spans="1:13" s="66" customFormat="1" ht="27.6" x14ac:dyDescent="0.3">
      <c r="A213" s="71"/>
      <c r="B213" s="60" t="s">
        <v>893</v>
      </c>
      <c r="C213" s="78" t="s">
        <v>171</v>
      </c>
      <c r="D213" s="185">
        <v>72000</v>
      </c>
      <c r="E213" s="137" t="s">
        <v>891</v>
      </c>
      <c r="F213" s="84">
        <v>72000</v>
      </c>
      <c r="G213" s="55"/>
      <c r="K213" s="55"/>
      <c r="L213" s="55"/>
      <c r="M213" s="55"/>
    </row>
    <row r="214" spans="1:13" s="66" customFormat="1" ht="27.6" x14ac:dyDescent="0.3">
      <c r="A214" s="71"/>
      <c r="B214" s="60" t="s">
        <v>892</v>
      </c>
      <c r="C214" s="78" t="s">
        <v>171</v>
      </c>
      <c r="D214" s="185">
        <v>52900</v>
      </c>
      <c r="E214" s="137" t="s">
        <v>891</v>
      </c>
      <c r="F214" s="84"/>
      <c r="G214" s="55"/>
      <c r="K214" s="55"/>
      <c r="L214" s="55"/>
      <c r="M214" s="55"/>
    </row>
    <row r="215" spans="1:13" s="66" customFormat="1" x14ac:dyDescent="0.3">
      <c r="A215" s="71"/>
      <c r="B215" s="57" t="s">
        <v>890</v>
      </c>
      <c r="C215" s="78" t="s">
        <v>125</v>
      </c>
      <c r="D215" s="187">
        <v>8467</v>
      </c>
      <c r="E215" s="132">
        <v>2023</v>
      </c>
      <c r="F215" s="92">
        <v>4974</v>
      </c>
      <c r="G215" s="55"/>
      <c r="K215" s="55"/>
      <c r="L215" s="55"/>
      <c r="M215" s="55"/>
    </row>
    <row r="216" spans="1:13" s="66" customFormat="1" x14ac:dyDescent="0.3">
      <c r="A216" s="71"/>
      <c r="B216" s="57" t="s">
        <v>889</v>
      </c>
      <c r="C216" s="78" t="s">
        <v>129</v>
      </c>
      <c r="D216" s="187">
        <v>67496</v>
      </c>
      <c r="E216" s="137" t="s">
        <v>888</v>
      </c>
      <c r="F216" s="92"/>
      <c r="G216" s="56"/>
      <c r="K216" s="55"/>
      <c r="L216" s="55"/>
      <c r="M216" s="55"/>
    </row>
    <row r="217" spans="1:13" s="66" customFormat="1" x14ac:dyDescent="0.3">
      <c r="A217" s="71"/>
      <c r="B217" s="57" t="s">
        <v>511</v>
      </c>
      <c r="C217" s="78" t="s">
        <v>335</v>
      </c>
      <c r="D217" s="187">
        <v>1668</v>
      </c>
      <c r="E217" s="132">
        <v>2023</v>
      </c>
      <c r="F217" s="92"/>
      <c r="G217" s="55"/>
      <c r="K217" s="55"/>
      <c r="L217" s="55"/>
      <c r="M217" s="55"/>
    </row>
    <row r="218" spans="1:13" s="133" customFormat="1" x14ac:dyDescent="0.3">
      <c r="A218" s="136"/>
      <c r="B218" s="57" t="s">
        <v>887</v>
      </c>
      <c r="C218" s="135" t="s">
        <v>129</v>
      </c>
      <c r="D218" s="187">
        <v>20200</v>
      </c>
      <c r="E218" s="134"/>
      <c r="F218" s="81"/>
      <c r="G218" s="64"/>
      <c r="K218" s="64"/>
      <c r="L218" s="64"/>
      <c r="M218" s="64"/>
    </row>
    <row r="219" spans="1:13" s="66" customFormat="1" x14ac:dyDescent="0.3">
      <c r="A219" s="71"/>
      <c r="B219" s="57" t="s">
        <v>886</v>
      </c>
      <c r="C219" s="78" t="s">
        <v>129</v>
      </c>
      <c r="D219" s="187">
        <v>12000</v>
      </c>
      <c r="E219" s="91"/>
      <c r="F219" s="92"/>
      <c r="G219" s="55"/>
      <c r="K219" s="55"/>
      <c r="L219" s="55"/>
      <c r="M219" s="55"/>
    </row>
    <row r="220" spans="1:13" s="66" customFormat="1" ht="21" customHeight="1" x14ac:dyDescent="0.3">
      <c r="A220" s="71"/>
      <c r="B220" s="57" t="s">
        <v>885</v>
      </c>
      <c r="C220" s="78" t="s">
        <v>72</v>
      </c>
      <c r="D220" s="185">
        <v>380000</v>
      </c>
      <c r="E220" s="86"/>
      <c r="F220" s="77"/>
      <c r="G220" s="55"/>
      <c r="K220" s="55"/>
      <c r="L220" s="55"/>
      <c r="M220" s="55"/>
    </row>
    <row r="221" spans="1:13" s="66" customFormat="1" x14ac:dyDescent="0.3">
      <c r="A221" s="71"/>
      <c r="B221" s="57" t="s">
        <v>884</v>
      </c>
      <c r="C221" s="78" t="s">
        <v>72</v>
      </c>
      <c r="D221" s="185"/>
      <c r="E221" s="86"/>
      <c r="F221" s="77"/>
      <c r="G221" s="55"/>
      <c r="K221" s="55"/>
      <c r="L221" s="55"/>
      <c r="M221" s="55"/>
    </row>
    <row r="222" spans="1:13" s="66" customFormat="1" ht="31.2" x14ac:dyDescent="0.3">
      <c r="A222" s="71"/>
      <c r="B222" s="57" t="s">
        <v>883</v>
      </c>
      <c r="C222" s="78" t="s">
        <v>72</v>
      </c>
      <c r="D222" s="185"/>
      <c r="E222" s="86"/>
      <c r="F222" s="77"/>
      <c r="G222" s="55"/>
      <c r="K222" s="55"/>
      <c r="L222" s="55"/>
      <c r="M222" s="55"/>
    </row>
    <row r="223" spans="1:13" s="66" customFormat="1" ht="31.2" x14ac:dyDescent="0.3">
      <c r="A223" s="71"/>
      <c r="B223" s="57" t="s">
        <v>882</v>
      </c>
      <c r="C223" s="78" t="s">
        <v>72</v>
      </c>
      <c r="D223" s="185"/>
      <c r="E223" s="86"/>
      <c r="F223" s="77"/>
      <c r="G223" s="55"/>
      <c r="K223" s="55"/>
      <c r="L223" s="55"/>
      <c r="M223" s="55"/>
    </row>
    <row r="224" spans="1:13" s="66" customFormat="1" x14ac:dyDescent="0.3">
      <c r="A224" s="71"/>
      <c r="B224" s="57" t="s">
        <v>881</v>
      </c>
      <c r="C224" s="78" t="s">
        <v>129</v>
      </c>
      <c r="D224" s="187">
        <v>19000</v>
      </c>
      <c r="E224" s="86"/>
      <c r="F224" s="77">
        <f>15000*1.1</f>
        <v>16500</v>
      </c>
      <c r="G224" s="55"/>
      <c r="K224" s="55"/>
      <c r="L224" s="55"/>
      <c r="M224" s="55"/>
    </row>
    <row r="225" spans="1:13" s="66" customFormat="1" x14ac:dyDescent="0.3">
      <c r="A225" s="71"/>
      <c r="B225" s="57" t="s">
        <v>880</v>
      </c>
      <c r="C225" s="78" t="s">
        <v>129</v>
      </c>
      <c r="D225" s="185">
        <v>18566</v>
      </c>
      <c r="E225" s="127">
        <v>2021</v>
      </c>
      <c r="F225" s="77">
        <f>D225/1.51</f>
        <v>12295.364238410595</v>
      </c>
      <c r="G225" s="55"/>
      <c r="K225" s="55"/>
      <c r="L225" s="55"/>
      <c r="M225" s="55"/>
    </row>
    <row r="226" spans="1:13" s="66" customFormat="1" x14ac:dyDescent="0.3">
      <c r="A226" s="71"/>
      <c r="B226" s="57" t="s">
        <v>879</v>
      </c>
      <c r="C226" s="78" t="s">
        <v>129</v>
      </c>
      <c r="D226" s="185">
        <v>52205.24319999999</v>
      </c>
      <c r="E226" s="132"/>
      <c r="F226" s="77">
        <f>27900*1.1</f>
        <v>30690.000000000004</v>
      </c>
      <c r="G226" s="55"/>
      <c r="K226" s="55"/>
      <c r="L226" s="55"/>
      <c r="M226" s="55"/>
    </row>
    <row r="227" spans="1:13" s="66" customFormat="1" x14ac:dyDescent="0.3">
      <c r="A227" s="110"/>
      <c r="B227" s="57" t="s">
        <v>878</v>
      </c>
      <c r="C227" s="78" t="s">
        <v>335</v>
      </c>
      <c r="D227" s="187">
        <v>1662</v>
      </c>
      <c r="E227" s="127">
        <v>2021</v>
      </c>
      <c r="F227" s="92"/>
      <c r="G227" s="55"/>
      <c r="K227" s="55"/>
      <c r="L227" s="55"/>
      <c r="M227" s="55"/>
    </row>
    <row r="228" spans="1:13" s="66" customFormat="1" x14ac:dyDescent="0.3">
      <c r="A228" s="110"/>
      <c r="B228" s="57" t="s">
        <v>877</v>
      </c>
      <c r="C228" s="78" t="s">
        <v>335</v>
      </c>
      <c r="D228" s="187">
        <v>1283</v>
      </c>
      <c r="E228" s="127">
        <v>2021</v>
      </c>
      <c r="F228" s="92">
        <v>24231</v>
      </c>
      <c r="G228" s="55"/>
      <c r="K228" s="55"/>
      <c r="L228" s="55"/>
      <c r="M228" s="55"/>
    </row>
    <row r="229" spans="1:13" s="66" customFormat="1" x14ac:dyDescent="0.3">
      <c r="A229" s="71"/>
      <c r="B229" s="113" t="s">
        <v>876</v>
      </c>
      <c r="C229" s="78" t="s">
        <v>335</v>
      </c>
      <c r="D229" s="187">
        <v>1711.6031999999998</v>
      </c>
      <c r="E229" s="91"/>
      <c r="F229" s="92"/>
      <c r="G229" s="55"/>
      <c r="K229" s="55"/>
      <c r="L229" s="55"/>
      <c r="M229" s="55"/>
    </row>
    <row r="230" spans="1:13" s="66" customFormat="1" x14ac:dyDescent="0.3">
      <c r="A230" s="71"/>
      <c r="B230" s="113" t="s">
        <v>875</v>
      </c>
      <c r="C230" s="78" t="s">
        <v>335</v>
      </c>
      <c r="D230" s="187">
        <v>1838.1434239999999</v>
      </c>
      <c r="E230" s="86"/>
      <c r="F230" s="92"/>
      <c r="G230" s="55"/>
      <c r="K230" s="55"/>
      <c r="L230" s="55"/>
      <c r="M230" s="55"/>
    </row>
    <row r="231" spans="1:13" x14ac:dyDescent="0.3">
      <c r="B231" s="57" t="s">
        <v>874</v>
      </c>
      <c r="C231" s="78" t="s">
        <v>129</v>
      </c>
      <c r="D231" s="187">
        <v>32631</v>
      </c>
      <c r="E231" s="91"/>
      <c r="F231" s="77">
        <v>17980</v>
      </c>
      <c r="G231" s="131"/>
      <c r="H231" s="130"/>
      <c r="I231" s="130"/>
    </row>
    <row r="232" spans="1:13" x14ac:dyDescent="0.3">
      <c r="B232" s="57" t="s">
        <v>873</v>
      </c>
      <c r="C232" s="78" t="s">
        <v>129</v>
      </c>
      <c r="D232" s="187">
        <v>32631</v>
      </c>
      <c r="E232" s="91"/>
      <c r="F232" s="77"/>
      <c r="G232" s="131"/>
      <c r="H232" s="130"/>
      <c r="I232" s="130"/>
    </row>
    <row r="233" spans="1:13" x14ac:dyDescent="0.3">
      <c r="B233" s="57" t="s">
        <v>872</v>
      </c>
      <c r="C233" s="78" t="s">
        <v>129</v>
      </c>
      <c r="D233" s="187">
        <f>+F233*1.16</f>
        <v>16588</v>
      </c>
      <c r="E233" s="91"/>
      <c r="F233" s="77">
        <v>14300</v>
      </c>
      <c r="G233" s="131"/>
      <c r="H233" s="130"/>
      <c r="I233" s="130"/>
    </row>
    <row r="234" spans="1:13" x14ac:dyDescent="0.3">
      <c r="B234" s="57" t="s">
        <v>871</v>
      </c>
      <c r="C234" s="78" t="s">
        <v>129</v>
      </c>
      <c r="D234" s="187">
        <f>3570*33</f>
        <v>117810</v>
      </c>
      <c r="E234" s="86" t="s">
        <v>870</v>
      </c>
      <c r="F234" s="77"/>
      <c r="G234" s="131"/>
      <c r="H234" s="130"/>
      <c r="I234" s="130"/>
    </row>
    <row r="235" spans="1:13" x14ac:dyDescent="0.3">
      <c r="A235" s="110"/>
      <c r="B235" s="57" t="s">
        <v>869</v>
      </c>
      <c r="C235" s="78" t="s">
        <v>129</v>
      </c>
      <c r="D235" s="187">
        <f>+F235*1.16</f>
        <v>28999.999999999996</v>
      </c>
      <c r="E235" s="91"/>
      <c r="F235" s="77">
        <v>25000</v>
      </c>
      <c r="G235" s="131"/>
      <c r="H235" s="130"/>
      <c r="I235" s="130"/>
    </row>
    <row r="236" spans="1:13" x14ac:dyDescent="0.3">
      <c r="B236" s="57" t="s">
        <v>868</v>
      </c>
      <c r="C236" s="78" t="s">
        <v>129</v>
      </c>
      <c r="D236" s="187">
        <v>38262</v>
      </c>
      <c r="E236" s="127">
        <v>2021</v>
      </c>
      <c r="F236" s="77">
        <v>38262.07</v>
      </c>
    </row>
    <row r="237" spans="1:13" x14ac:dyDescent="0.3">
      <c r="B237" s="129" t="s">
        <v>867</v>
      </c>
      <c r="C237" s="78" t="s">
        <v>335</v>
      </c>
      <c r="D237" s="185">
        <v>5724</v>
      </c>
      <c r="E237" s="127">
        <v>2021</v>
      </c>
      <c r="F237" s="77"/>
    </row>
    <row r="238" spans="1:13" x14ac:dyDescent="0.3">
      <c r="B238" s="57" t="s">
        <v>866</v>
      </c>
      <c r="C238" s="78" t="s">
        <v>335</v>
      </c>
      <c r="D238" s="185">
        <v>4748</v>
      </c>
      <c r="E238" s="86"/>
      <c r="F238" s="77"/>
    </row>
    <row r="239" spans="1:13" x14ac:dyDescent="0.3">
      <c r="B239" s="57" t="s">
        <v>865</v>
      </c>
      <c r="C239" s="78" t="s">
        <v>129</v>
      </c>
      <c r="D239" s="187">
        <v>29574.951000000001</v>
      </c>
      <c r="E239" s="86"/>
      <c r="F239" s="77"/>
    </row>
    <row r="240" spans="1:13" x14ac:dyDescent="0.3">
      <c r="B240" s="57" t="s">
        <v>864</v>
      </c>
      <c r="C240" s="78" t="s">
        <v>231</v>
      </c>
      <c r="D240" s="185">
        <v>3546</v>
      </c>
      <c r="E240" s="86"/>
      <c r="F240" s="77"/>
    </row>
    <row r="241" spans="1:13" s="67" customFormat="1" x14ac:dyDescent="0.3">
      <c r="A241" s="71"/>
      <c r="B241" s="57" t="s">
        <v>863</v>
      </c>
      <c r="C241" s="78" t="s">
        <v>512</v>
      </c>
      <c r="D241" s="187">
        <v>17850</v>
      </c>
      <c r="E241" s="127">
        <v>2021</v>
      </c>
      <c r="F241" s="77"/>
      <c r="G241" s="55"/>
      <c r="H241" s="66"/>
      <c r="I241" s="66"/>
      <c r="J241" s="66"/>
      <c r="K241" s="55"/>
      <c r="L241" s="55"/>
      <c r="M241" s="55"/>
    </row>
    <row r="242" spans="1:13" s="67" customFormat="1" x14ac:dyDescent="0.3">
      <c r="A242" s="71"/>
      <c r="B242" s="57" t="s">
        <v>862</v>
      </c>
      <c r="C242" s="78" t="s">
        <v>512</v>
      </c>
      <c r="D242" s="187">
        <v>1976</v>
      </c>
      <c r="E242" s="127">
        <v>2021</v>
      </c>
      <c r="F242" s="77"/>
      <c r="G242" s="55"/>
      <c r="H242" s="66"/>
      <c r="I242" s="66"/>
      <c r="J242" s="66"/>
      <c r="K242" s="55"/>
      <c r="L242" s="55"/>
      <c r="M242" s="55"/>
    </row>
    <row r="243" spans="1:13" s="67" customFormat="1" x14ac:dyDescent="0.3">
      <c r="A243" s="71"/>
      <c r="B243" s="57" t="s">
        <v>861</v>
      </c>
      <c r="C243" s="78" t="s">
        <v>72</v>
      </c>
      <c r="D243" s="187">
        <v>4104</v>
      </c>
      <c r="E243" s="91"/>
      <c r="F243" s="77"/>
      <c r="G243" s="55"/>
      <c r="H243" s="66"/>
      <c r="I243" s="66"/>
      <c r="J243" s="66"/>
      <c r="K243" s="55"/>
      <c r="L243" s="55"/>
      <c r="M243" s="55"/>
    </row>
    <row r="244" spans="1:13" s="67" customFormat="1" x14ac:dyDescent="0.3">
      <c r="A244" s="71"/>
      <c r="B244" s="57" t="s">
        <v>860</v>
      </c>
      <c r="C244" s="78" t="s">
        <v>72</v>
      </c>
      <c r="D244" s="187">
        <f>+F244/3</f>
        <v>26841.243333333332</v>
      </c>
      <c r="E244" s="86"/>
      <c r="F244" s="77">
        <v>80523.73</v>
      </c>
      <c r="G244" s="55"/>
      <c r="H244" s="66"/>
      <c r="I244" s="66"/>
      <c r="J244" s="66"/>
      <c r="K244" s="55"/>
      <c r="L244" s="55"/>
      <c r="M244" s="55"/>
    </row>
    <row r="245" spans="1:13" s="67" customFormat="1" x14ac:dyDescent="0.3">
      <c r="A245" s="71"/>
      <c r="B245" s="57" t="s">
        <v>859</v>
      </c>
      <c r="C245" s="78" t="s">
        <v>171</v>
      </c>
      <c r="D245" s="187">
        <f>+F245*1.16</f>
        <v>0</v>
      </c>
      <c r="E245" s="86"/>
      <c r="F245" s="77"/>
      <c r="G245" s="55"/>
      <c r="H245" s="66"/>
      <c r="I245" s="66"/>
      <c r="J245" s="66"/>
      <c r="K245" s="55"/>
      <c r="L245" s="55"/>
      <c r="M245" s="55"/>
    </row>
    <row r="246" spans="1:13" s="67" customFormat="1" x14ac:dyDescent="0.3">
      <c r="A246" s="71"/>
      <c r="B246" s="57" t="s">
        <v>858</v>
      </c>
      <c r="C246" s="78" t="s">
        <v>171</v>
      </c>
      <c r="D246" s="187">
        <v>885</v>
      </c>
      <c r="E246" s="86"/>
      <c r="F246" s="77"/>
      <c r="G246" s="55"/>
      <c r="H246" s="66"/>
      <c r="I246" s="66"/>
      <c r="J246" s="66"/>
      <c r="K246" s="55"/>
      <c r="L246" s="55"/>
      <c r="M246" s="55"/>
    </row>
    <row r="247" spans="1:13" s="66" customFormat="1" x14ac:dyDescent="0.3">
      <c r="A247" s="71"/>
      <c r="B247" s="57" t="s">
        <v>857</v>
      </c>
      <c r="C247" s="78" t="s">
        <v>171</v>
      </c>
      <c r="D247" s="187">
        <v>1163</v>
      </c>
      <c r="E247" s="86"/>
      <c r="F247" s="77"/>
      <c r="G247" s="125"/>
      <c r="K247" s="55"/>
      <c r="L247" s="55"/>
      <c r="M247" s="55"/>
    </row>
    <row r="248" spans="1:13" s="66" customFormat="1" x14ac:dyDescent="0.3">
      <c r="A248" s="71"/>
      <c r="B248" s="57" t="s">
        <v>856</v>
      </c>
      <c r="C248" s="78" t="s">
        <v>171</v>
      </c>
      <c r="D248" s="187">
        <v>1015</v>
      </c>
      <c r="E248" s="86"/>
      <c r="F248" s="77"/>
      <c r="G248" s="125"/>
      <c r="K248" s="55"/>
      <c r="L248" s="55"/>
      <c r="M248" s="55"/>
    </row>
    <row r="249" spans="1:13" s="66" customFormat="1" x14ac:dyDescent="0.3">
      <c r="A249" s="71"/>
      <c r="B249" s="57" t="s">
        <v>855</v>
      </c>
      <c r="C249" s="78" t="s">
        <v>171</v>
      </c>
      <c r="D249" s="187">
        <v>885</v>
      </c>
      <c r="E249" s="86"/>
      <c r="F249" s="77"/>
      <c r="G249" s="55"/>
      <c r="K249" s="55"/>
      <c r="L249" s="55"/>
      <c r="M249" s="55"/>
    </row>
    <row r="250" spans="1:13" s="66" customFormat="1" x14ac:dyDescent="0.3">
      <c r="A250" s="71"/>
      <c r="B250" s="57" t="s">
        <v>855</v>
      </c>
      <c r="C250" s="78" t="s">
        <v>846</v>
      </c>
      <c r="D250" s="187">
        <v>44245</v>
      </c>
      <c r="E250" s="86"/>
      <c r="F250" s="77"/>
      <c r="G250" s="55"/>
      <c r="K250" s="55"/>
      <c r="L250" s="55"/>
      <c r="M250" s="55"/>
    </row>
    <row r="251" spans="1:13" s="66" customFormat="1" x14ac:dyDescent="0.3">
      <c r="A251" s="71"/>
      <c r="B251" s="57" t="s">
        <v>854</v>
      </c>
      <c r="C251" s="78" t="s">
        <v>846</v>
      </c>
      <c r="D251" s="187">
        <v>70713</v>
      </c>
      <c r="E251" s="86" t="s">
        <v>853</v>
      </c>
      <c r="F251" s="77"/>
      <c r="G251" s="55"/>
      <c r="K251" s="55"/>
      <c r="L251" s="55"/>
      <c r="M251" s="55"/>
    </row>
    <row r="252" spans="1:13" s="66" customFormat="1" x14ac:dyDescent="0.3">
      <c r="A252" s="71"/>
      <c r="B252" s="57" t="s">
        <v>852</v>
      </c>
      <c r="C252" s="78" t="s">
        <v>846</v>
      </c>
      <c r="D252" s="185"/>
      <c r="E252" s="86"/>
      <c r="F252" s="92"/>
      <c r="G252" s="55"/>
      <c r="K252" s="55"/>
      <c r="L252" s="55"/>
      <c r="M252" s="55"/>
    </row>
    <row r="253" spans="1:13" s="66" customFormat="1" x14ac:dyDescent="0.3">
      <c r="A253" s="71"/>
      <c r="B253" s="57" t="s">
        <v>851</v>
      </c>
      <c r="C253" s="78" t="s">
        <v>846</v>
      </c>
      <c r="D253" s="185"/>
      <c r="E253" s="86"/>
      <c r="F253" s="92"/>
      <c r="G253" s="55"/>
      <c r="K253" s="55"/>
      <c r="L253" s="55"/>
      <c r="M253" s="55"/>
    </row>
    <row r="254" spans="1:13" s="66" customFormat="1" ht="31.2" x14ac:dyDescent="0.3">
      <c r="A254" s="71"/>
      <c r="B254" s="57" t="s">
        <v>850</v>
      </c>
      <c r="C254" s="78" t="s">
        <v>846</v>
      </c>
      <c r="D254" s="187">
        <f>+F254*1.16</f>
        <v>53513.119999999995</v>
      </c>
      <c r="E254" s="86"/>
      <c r="F254" s="77">
        <v>46132</v>
      </c>
      <c r="G254" s="55"/>
      <c r="K254" s="55"/>
      <c r="L254" s="55"/>
      <c r="M254" s="55"/>
    </row>
    <row r="255" spans="1:13" s="66" customFormat="1" ht="31.2" x14ac:dyDescent="0.3">
      <c r="A255" s="71"/>
      <c r="B255" s="57" t="s">
        <v>849</v>
      </c>
      <c r="C255" s="78" t="s">
        <v>846</v>
      </c>
      <c r="D255" s="187">
        <f>+F255*1.16</f>
        <v>56395.719999999994</v>
      </c>
      <c r="E255" s="86"/>
      <c r="F255" s="77">
        <v>48617</v>
      </c>
      <c r="G255" s="55"/>
      <c r="K255" s="55"/>
      <c r="L255" s="55"/>
      <c r="M255" s="55"/>
    </row>
    <row r="256" spans="1:13" s="66" customFormat="1" ht="31.2" x14ac:dyDescent="0.3">
      <c r="A256" s="71"/>
      <c r="B256" s="57" t="s">
        <v>848</v>
      </c>
      <c r="C256" s="78" t="s">
        <v>846</v>
      </c>
      <c r="D256" s="187">
        <v>56608</v>
      </c>
      <c r="E256" s="86"/>
      <c r="F256" s="77">
        <v>57295</v>
      </c>
      <c r="G256" s="55"/>
      <c r="K256" s="55"/>
      <c r="L256" s="55"/>
      <c r="M256" s="55"/>
    </row>
    <row r="257" spans="1:13" s="66" customFormat="1" x14ac:dyDescent="0.3">
      <c r="A257" s="71"/>
      <c r="B257" s="57" t="s">
        <v>847</v>
      </c>
      <c r="C257" s="78" t="s">
        <v>846</v>
      </c>
      <c r="D257" s="187">
        <f>+F257*1.16</f>
        <v>56607.999999999993</v>
      </c>
      <c r="E257" s="86"/>
      <c r="F257" s="77">
        <v>48800</v>
      </c>
      <c r="G257" s="55"/>
      <c r="K257" s="55"/>
      <c r="L257" s="55"/>
      <c r="M257" s="55"/>
    </row>
    <row r="258" spans="1:13" x14ac:dyDescent="0.3">
      <c r="B258" s="57" t="s">
        <v>845</v>
      </c>
      <c r="C258" s="78" t="s">
        <v>844</v>
      </c>
      <c r="D258" s="187">
        <f>+F258*1.16</f>
        <v>40600</v>
      </c>
      <c r="E258" s="86"/>
      <c r="F258" s="77">
        <v>35000</v>
      </c>
    </row>
    <row r="259" spans="1:13" s="67" customFormat="1" x14ac:dyDescent="0.3">
      <c r="A259" s="71"/>
      <c r="B259" s="57" t="s">
        <v>843</v>
      </c>
      <c r="C259" s="78" t="s">
        <v>175</v>
      </c>
      <c r="D259" s="187">
        <f>+F259*1.16</f>
        <v>5800</v>
      </c>
      <c r="E259" s="86"/>
      <c r="F259" s="77">
        <v>5000</v>
      </c>
      <c r="G259" s="55"/>
      <c r="H259" s="66"/>
      <c r="I259" s="66"/>
      <c r="J259" s="66"/>
      <c r="K259" s="55"/>
      <c r="L259" s="55"/>
      <c r="M259" s="55"/>
    </row>
    <row r="260" spans="1:13" x14ac:dyDescent="0.3">
      <c r="B260" s="60" t="s">
        <v>842</v>
      </c>
      <c r="C260" s="78" t="s">
        <v>72</v>
      </c>
      <c r="D260" s="187">
        <v>8142</v>
      </c>
      <c r="E260" s="86"/>
      <c r="F260" s="77">
        <v>5318</v>
      </c>
    </row>
    <row r="261" spans="1:13" x14ac:dyDescent="0.3">
      <c r="B261" s="60" t="s">
        <v>841</v>
      </c>
      <c r="C261" s="78" t="s">
        <v>335</v>
      </c>
      <c r="D261" s="187">
        <f>+F261*1.16</f>
        <v>0</v>
      </c>
      <c r="E261" s="77"/>
      <c r="F261" s="77">
        <f>+F58</f>
        <v>0</v>
      </c>
    </row>
    <row r="262" spans="1:13" x14ac:dyDescent="0.3">
      <c r="B262" s="60" t="s">
        <v>840</v>
      </c>
      <c r="C262" s="78" t="s">
        <v>335</v>
      </c>
      <c r="D262" s="187">
        <f>+F262*1.16</f>
        <v>0</v>
      </c>
      <c r="E262" s="86"/>
      <c r="F262" s="77">
        <f>+F56</f>
        <v>0</v>
      </c>
    </row>
    <row r="263" spans="1:13" x14ac:dyDescent="0.3">
      <c r="B263" s="60" t="s">
        <v>839</v>
      </c>
      <c r="C263" s="78" t="s">
        <v>84</v>
      </c>
      <c r="D263" s="187">
        <f>+F263*1.16</f>
        <v>100804</v>
      </c>
      <c r="E263" s="86"/>
      <c r="F263" s="77">
        <v>86900</v>
      </c>
    </row>
    <row r="264" spans="1:13" s="67" customFormat="1" x14ac:dyDescent="0.3">
      <c r="A264" s="71"/>
      <c r="B264" s="57" t="s">
        <v>838</v>
      </c>
      <c r="C264" s="78" t="s">
        <v>335</v>
      </c>
      <c r="D264" s="187">
        <v>2162</v>
      </c>
      <c r="E264" s="127">
        <v>2021</v>
      </c>
      <c r="F264" s="77"/>
      <c r="G264" s="55"/>
      <c r="H264" s="66"/>
      <c r="I264" s="66"/>
      <c r="J264" s="66"/>
      <c r="K264" s="55"/>
      <c r="L264" s="55"/>
      <c r="M264" s="55"/>
    </row>
    <row r="265" spans="1:13" s="67" customFormat="1" x14ac:dyDescent="0.3">
      <c r="A265" s="71"/>
      <c r="B265" s="57" t="s">
        <v>837</v>
      </c>
      <c r="C265" s="78" t="s">
        <v>171</v>
      </c>
      <c r="D265" s="187">
        <f>+F265*1.16</f>
        <v>927.99999999999989</v>
      </c>
      <c r="E265" s="91"/>
      <c r="F265" s="77">
        <v>800</v>
      </c>
      <c r="G265" s="55"/>
      <c r="H265" s="66"/>
      <c r="I265" s="66"/>
      <c r="J265" s="66"/>
      <c r="K265" s="55"/>
      <c r="L265" s="55"/>
      <c r="M265" s="55"/>
    </row>
    <row r="266" spans="1:13" ht="31.2" x14ac:dyDescent="0.3">
      <c r="B266" s="57" t="s">
        <v>836</v>
      </c>
      <c r="C266" s="78" t="s">
        <v>129</v>
      </c>
      <c r="D266" s="185">
        <v>32000</v>
      </c>
      <c r="E266" s="91"/>
      <c r="F266" s="77"/>
    </row>
    <row r="267" spans="1:13" x14ac:dyDescent="0.3">
      <c r="B267" s="57" t="s">
        <v>835</v>
      </c>
      <c r="C267" s="78" t="s">
        <v>171</v>
      </c>
      <c r="D267" s="185">
        <v>2854</v>
      </c>
      <c r="E267" s="90"/>
      <c r="F267" s="92"/>
    </row>
    <row r="268" spans="1:13" x14ac:dyDescent="0.3">
      <c r="B268" s="57" t="s">
        <v>834</v>
      </c>
      <c r="C268" s="78" t="s">
        <v>442</v>
      </c>
      <c r="D268" s="185"/>
      <c r="E268" s="90"/>
      <c r="F268" s="92"/>
    </row>
    <row r="269" spans="1:13" x14ac:dyDescent="0.3">
      <c r="A269" s="126"/>
      <c r="B269" s="57" t="s">
        <v>833</v>
      </c>
      <c r="C269" s="78" t="s">
        <v>171</v>
      </c>
      <c r="D269" s="185">
        <v>671</v>
      </c>
      <c r="E269" s="127">
        <v>2021</v>
      </c>
      <c r="F269" s="92">
        <v>368</v>
      </c>
    </row>
    <row r="270" spans="1:13" x14ac:dyDescent="0.3">
      <c r="A270" s="126"/>
      <c r="B270" s="57" t="s">
        <v>832</v>
      </c>
      <c r="C270" s="78" t="s">
        <v>442</v>
      </c>
      <c r="D270" s="185">
        <v>3625</v>
      </c>
      <c r="E270" s="127">
        <v>2021</v>
      </c>
      <c r="F270" s="92">
        <v>1939.5</v>
      </c>
    </row>
    <row r="271" spans="1:13" x14ac:dyDescent="0.3">
      <c r="A271" s="126"/>
      <c r="B271" s="57" t="s">
        <v>825</v>
      </c>
      <c r="C271" s="78" t="s">
        <v>171</v>
      </c>
      <c r="D271" s="185">
        <v>525</v>
      </c>
      <c r="E271" s="77"/>
      <c r="F271" s="92"/>
    </row>
    <row r="272" spans="1:13" x14ac:dyDescent="0.3">
      <c r="A272" s="126"/>
      <c r="B272" s="57" t="s">
        <v>831</v>
      </c>
      <c r="C272" s="78" t="s">
        <v>171</v>
      </c>
      <c r="D272" s="185">
        <f t="shared" ref="D272:D277" si="0">+F272*1.16</f>
        <v>3363.9999999999995</v>
      </c>
      <c r="E272" s="86"/>
      <c r="F272" s="77">
        <v>2900</v>
      </c>
    </row>
    <row r="273" spans="1:13" x14ac:dyDescent="0.3">
      <c r="A273" s="126"/>
      <c r="B273" s="57" t="s">
        <v>830</v>
      </c>
      <c r="C273" s="78" t="s">
        <v>171</v>
      </c>
      <c r="D273" s="185">
        <f t="shared" si="0"/>
        <v>8700</v>
      </c>
      <c r="E273" s="86"/>
      <c r="F273" s="77">
        <v>7500</v>
      </c>
    </row>
    <row r="274" spans="1:13" x14ac:dyDescent="0.3">
      <c r="A274" s="126"/>
      <c r="B274" s="60" t="s">
        <v>829</v>
      </c>
      <c r="C274" s="78" t="s">
        <v>171</v>
      </c>
      <c r="D274" s="185">
        <f t="shared" si="0"/>
        <v>10556</v>
      </c>
      <c r="E274" s="86"/>
      <c r="F274" s="77">
        <v>9100</v>
      </c>
    </row>
    <row r="275" spans="1:13" x14ac:dyDescent="0.3">
      <c r="A275" s="126"/>
      <c r="B275" s="60" t="s">
        <v>828</v>
      </c>
      <c r="C275" s="78" t="s">
        <v>171</v>
      </c>
      <c r="D275" s="185">
        <f t="shared" si="0"/>
        <v>42920</v>
      </c>
      <c r="E275" s="86"/>
      <c r="F275" s="77">
        <v>37000</v>
      </c>
    </row>
    <row r="276" spans="1:13" x14ac:dyDescent="0.3">
      <c r="A276" s="126"/>
      <c r="B276" s="113" t="s">
        <v>827</v>
      </c>
      <c r="C276" s="78" t="s">
        <v>171</v>
      </c>
      <c r="D276" s="185">
        <f t="shared" si="0"/>
        <v>86930.4</v>
      </c>
      <c r="E276" s="86"/>
      <c r="F276" s="121">
        <v>74940</v>
      </c>
    </row>
    <row r="277" spans="1:13" x14ac:dyDescent="0.3">
      <c r="A277" s="126"/>
      <c r="B277" s="113" t="s">
        <v>826</v>
      </c>
      <c r="C277" s="78" t="s">
        <v>171</v>
      </c>
      <c r="D277" s="185">
        <f t="shared" si="0"/>
        <v>15079.999999999998</v>
      </c>
      <c r="E277" s="86"/>
      <c r="F277" s="121">
        <v>13000</v>
      </c>
    </row>
    <row r="278" spans="1:13" x14ac:dyDescent="0.3">
      <c r="A278" s="126"/>
      <c r="B278" s="57" t="s">
        <v>825</v>
      </c>
      <c r="C278" s="78" t="s">
        <v>171</v>
      </c>
      <c r="D278" s="185">
        <v>592</v>
      </c>
      <c r="E278" s="77"/>
      <c r="F278" s="92">
        <v>510</v>
      </c>
    </row>
    <row r="279" spans="1:13" x14ac:dyDescent="0.3">
      <c r="A279" s="126"/>
      <c r="B279" s="57" t="s">
        <v>824</v>
      </c>
      <c r="C279" s="78" t="s">
        <v>171</v>
      </c>
      <c r="D279" s="185">
        <f t="shared" ref="D279:D312" si="1">+F279*1.16</f>
        <v>525.48</v>
      </c>
      <c r="E279" s="77"/>
      <c r="F279" s="92">
        <v>453</v>
      </c>
    </row>
    <row r="280" spans="1:13" x14ac:dyDescent="0.3">
      <c r="A280" s="126"/>
      <c r="B280" s="57" t="s">
        <v>823</v>
      </c>
      <c r="C280" s="78" t="s">
        <v>171</v>
      </c>
      <c r="D280" s="185">
        <f t="shared" si="1"/>
        <v>327.12</v>
      </c>
      <c r="E280" s="77"/>
      <c r="F280" s="92">
        <v>282</v>
      </c>
    </row>
    <row r="281" spans="1:13" x14ac:dyDescent="0.3">
      <c r="A281" s="126"/>
      <c r="B281" s="57" t="s">
        <v>822</v>
      </c>
      <c r="C281" s="78" t="s">
        <v>171</v>
      </c>
      <c r="D281" s="185">
        <f t="shared" si="1"/>
        <v>290</v>
      </c>
      <c r="E281" s="77"/>
      <c r="F281" s="92">
        <v>250</v>
      </c>
    </row>
    <row r="282" spans="1:13" x14ac:dyDescent="0.3">
      <c r="A282" s="126"/>
      <c r="B282" s="57" t="s">
        <v>821</v>
      </c>
      <c r="C282" s="78" t="s">
        <v>171</v>
      </c>
      <c r="D282" s="185">
        <f t="shared" si="1"/>
        <v>1317.76</v>
      </c>
      <c r="E282" s="77"/>
      <c r="F282" s="92">
        <v>1136</v>
      </c>
    </row>
    <row r="283" spans="1:13" x14ac:dyDescent="0.3">
      <c r="A283" s="126"/>
      <c r="B283" s="57" t="s">
        <v>820</v>
      </c>
      <c r="C283" s="78" t="s">
        <v>171</v>
      </c>
      <c r="D283" s="185">
        <f t="shared" si="1"/>
        <v>1100.8399999999999</v>
      </c>
      <c r="E283" s="77"/>
      <c r="F283" s="92">
        <v>949</v>
      </c>
    </row>
    <row r="284" spans="1:13" x14ac:dyDescent="0.3">
      <c r="A284" s="126"/>
      <c r="B284" s="57" t="s">
        <v>819</v>
      </c>
      <c r="C284" s="78" t="s">
        <v>72</v>
      </c>
      <c r="D284" s="185">
        <f t="shared" si="1"/>
        <v>7426.32</v>
      </c>
      <c r="E284" s="77"/>
      <c r="F284" s="92">
        <f>38412/6</f>
        <v>6402</v>
      </c>
    </row>
    <row r="285" spans="1:13" x14ac:dyDescent="0.3">
      <c r="A285" s="126"/>
      <c r="B285" s="57" t="s">
        <v>818</v>
      </c>
      <c r="C285" s="78" t="s">
        <v>171</v>
      </c>
      <c r="D285" s="185">
        <f t="shared" si="1"/>
        <v>4735.12</v>
      </c>
      <c r="E285" s="77"/>
      <c r="F285" s="92">
        <v>4082</v>
      </c>
    </row>
    <row r="286" spans="1:13" x14ac:dyDescent="0.3">
      <c r="A286" s="126"/>
      <c r="B286" s="57" t="s">
        <v>817</v>
      </c>
      <c r="C286" s="78" t="s">
        <v>171</v>
      </c>
      <c r="D286" s="185">
        <f t="shared" si="1"/>
        <v>1741.1599999999999</v>
      </c>
      <c r="E286" s="77"/>
      <c r="F286" s="92">
        <v>1501</v>
      </c>
    </row>
    <row r="287" spans="1:13" s="67" customFormat="1" x14ac:dyDescent="0.3">
      <c r="A287" s="126"/>
      <c r="B287" s="57" t="s">
        <v>816</v>
      </c>
      <c r="C287" s="78" t="s">
        <v>72</v>
      </c>
      <c r="D287" s="185">
        <f t="shared" si="1"/>
        <v>4571.5599999999995</v>
      </c>
      <c r="E287" s="77"/>
      <c r="F287" s="92">
        <f>23646/6</f>
        <v>3941</v>
      </c>
      <c r="G287" s="55"/>
      <c r="H287" s="66"/>
      <c r="I287" s="66"/>
      <c r="J287" s="66"/>
      <c r="K287" s="55"/>
      <c r="L287" s="55"/>
      <c r="M287" s="55"/>
    </row>
    <row r="288" spans="1:13" s="67" customFormat="1" x14ac:dyDescent="0.3">
      <c r="A288" s="126"/>
      <c r="B288" s="57" t="s">
        <v>815</v>
      </c>
      <c r="C288" s="78" t="s">
        <v>171</v>
      </c>
      <c r="D288" s="185">
        <f t="shared" si="1"/>
        <v>1318.9199999999998</v>
      </c>
      <c r="E288" s="77"/>
      <c r="F288" s="92">
        <v>1137</v>
      </c>
      <c r="G288" s="55"/>
      <c r="H288" s="66"/>
      <c r="I288" s="66"/>
      <c r="J288" s="66"/>
      <c r="K288" s="55"/>
      <c r="L288" s="55"/>
      <c r="M288" s="55"/>
    </row>
    <row r="289" spans="1:13" s="67" customFormat="1" x14ac:dyDescent="0.3">
      <c r="A289" s="126"/>
      <c r="B289" s="57" t="s">
        <v>814</v>
      </c>
      <c r="C289" s="78" t="s">
        <v>171</v>
      </c>
      <c r="D289" s="185">
        <f t="shared" si="1"/>
        <v>696</v>
      </c>
      <c r="E289" s="77"/>
      <c r="F289" s="92">
        <v>600</v>
      </c>
      <c r="G289" s="55"/>
      <c r="H289" s="66"/>
      <c r="I289" s="66"/>
      <c r="J289" s="66"/>
      <c r="K289" s="55"/>
      <c r="L289" s="55"/>
      <c r="M289" s="55"/>
    </row>
    <row r="290" spans="1:13" s="67" customFormat="1" x14ac:dyDescent="0.3">
      <c r="A290" s="126"/>
      <c r="B290" s="57" t="s">
        <v>813</v>
      </c>
      <c r="C290" s="78" t="s">
        <v>171</v>
      </c>
      <c r="D290" s="185">
        <f t="shared" si="1"/>
        <v>13990.759999999998</v>
      </c>
      <c r="E290" s="77"/>
      <c r="F290" s="92">
        <v>12061</v>
      </c>
      <c r="G290" s="55"/>
      <c r="H290" s="66"/>
      <c r="I290" s="66"/>
      <c r="J290" s="66"/>
      <c r="K290" s="55"/>
      <c r="L290" s="55"/>
      <c r="M290" s="55"/>
    </row>
    <row r="291" spans="1:13" s="67" customFormat="1" x14ac:dyDescent="0.3">
      <c r="A291" s="126"/>
      <c r="B291" s="57" t="s">
        <v>812</v>
      </c>
      <c r="C291" s="78" t="s">
        <v>171</v>
      </c>
      <c r="D291" s="185">
        <f t="shared" si="1"/>
        <v>2854.7599999999998</v>
      </c>
      <c r="E291" s="77"/>
      <c r="F291" s="92">
        <v>2461</v>
      </c>
      <c r="G291" s="55"/>
      <c r="H291" s="66"/>
      <c r="I291" s="66"/>
      <c r="J291" s="66"/>
      <c r="K291" s="55"/>
      <c r="L291" s="55"/>
      <c r="M291" s="55"/>
    </row>
    <row r="292" spans="1:13" s="67" customFormat="1" x14ac:dyDescent="0.3">
      <c r="A292" s="126"/>
      <c r="B292" s="57" t="s">
        <v>811</v>
      </c>
      <c r="C292" s="78" t="s">
        <v>72</v>
      </c>
      <c r="D292" s="185">
        <f t="shared" si="1"/>
        <v>11387.72</v>
      </c>
      <c r="E292" s="77"/>
      <c r="F292" s="92">
        <f>58902/6</f>
        <v>9817</v>
      </c>
      <c r="G292" s="55"/>
      <c r="H292" s="66"/>
      <c r="I292" s="66"/>
      <c r="J292" s="66"/>
      <c r="K292" s="55"/>
      <c r="L292" s="55"/>
      <c r="M292" s="55"/>
    </row>
    <row r="293" spans="1:13" s="67" customFormat="1" x14ac:dyDescent="0.3">
      <c r="A293" s="126"/>
      <c r="B293" s="57" t="s">
        <v>810</v>
      </c>
      <c r="C293" s="78" t="s">
        <v>171</v>
      </c>
      <c r="D293" s="185">
        <f t="shared" si="1"/>
        <v>7759.24</v>
      </c>
      <c r="E293" s="77"/>
      <c r="F293" s="92">
        <v>6689</v>
      </c>
      <c r="G293" s="55"/>
      <c r="H293" s="66"/>
      <c r="I293" s="66"/>
      <c r="J293" s="66"/>
      <c r="K293" s="55"/>
      <c r="L293" s="55"/>
      <c r="M293" s="55"/>
    </row>
    <row r="294" spans="1:13" s="67" customFormat="1" x14ac:dyDescent="0.3">
      <c r="A294" s="126"/>
      <c r="B294" s="57" t="s">
        <v>809</v>
      </c>
      <c r="C294" s="78" t="s">
        <v>171</v>
      </c>
      <c r="D294" s="185">
        <f t="shared" si="1"/>
        <v>28919.96</v>
      </c>
      <c r="E294" s="77"/>
      <c r="F294" s="92">
        <v>24931</v>
      </c>
      <c r="G294" s="55"/>
      <c r="H294" s="66"/>
      <c r="I294" s="66"/>
      <c r="J294" s="66"/>
      <c r="K294" s="55"/>
      <c r="L294" s="55"/>
      <c r="M294" s="55"/>
    </row>
    <row r="295" spans="1:13" s="67" customFormat="1" x14ac:dyDescent="0.3">
      <c r="A295" s="126"/>
      <c r="B295" s="57" t="s">
        <v>808</v>
      </c>
      <c r="C295" s="78" t="s">
        <v>72</v>
      </c>
      <c r="D295" s="185">
        <f t="shared" si="1"/>
        <v>24640.719999999998</v>
      </c>
      <c r="E295" s="77"/>
      <c r="F295" s="92">
        <f>127452/6</f>
        <v>21242</v>
      </c>
      <c r="G295" s="55"/>
      <c r="H295" s="66"/>
      <c r="I295" s="66"/>
      <c r="J295" s="66"/>
      <c r="K295" s="55"/>
      <c r="L295" s="55"/>
      <c r="M295" s="55"/>
    </row>
    <row r="296" spans="1:13" s="67" customFormat="1" x14ac:dyDescent="0.3">
      <c r="A296" s="126"/>
      <c r="B296" s="57" t="s">
        <v>807</v>
      </c>
      <c r="C296" s="78" t="s">
        <v>171</v>
      </c>
      <c r="D296" s="185">
        <f t="shared" si="1"/>
        <v>421.08</v>
      </c>
      <c r="E296" s="77"/>
      <c r="F296" s="92">
        <v>363</v>
      </c>
      <c r="G296" s="55"/>
      <c r="H296" s="66"/>
      <c r="I296" s="66"/>
      <c r="J296" s="66"/>
      <c r="K296" s="55"/>
      <c r="L296" s="55"/>
      <c r="M296" s="55"/>
    </row>
    <row r="297" spans="1:13" s="67" customFormat="1" x14ac:dyDescent="0.3">
      <c r="A297" s="126"/>
      <c r="B297" s="57" t="s">
        <v>806</v>
      </c>
      <c r="C297" s="78" t="s">
        <v>72</v>
      </c>
      <c r="D297" s="185">
        <f t="shared" si="1"/>
        <v>2544.8466666666668</v>
      </c>
      <c r="E297" s="77"/>
      <c r="F297" s="92">
        <f>13163/6</f>
        <v>2193.8333333333335</v>
      </c>
      <c r="G297" s="55"/>
      <c r="H297" s="66"/>
      <c r="I297" s="66"/>
      <c r="J297" s="66"/>
      <c r="K297" s="55"/>
      <c r="L297" s="55"/>
      <c r="M297" s="55"/>
    </row>
    <row r="298" spans="1:13" s="67" customFormat="1" x14ac:dyDescent="0.3">
      <c r="A298" s="126"/>
      <c r="B298" s="57" t="s">
        <v>805</v>
      </c>
      <c r="C298" s="78" t="s">
        <v>72</v>
      </c>
      <c r="D298" s="185">
        <f t="shared" si="1"/>
        <v>3388.3599999999997</v>
      </c>
      <c r="E298" s="77"/>
      <c r="F298" s="92">
        <f>17526/6</f>
        <v>2921</v>
      </c>
      <c r="G298" s="55"/>
      <c r="H298" s="66"/>
      <c r="I298" s="66"/>
      <c r="J298" s="66"/>
      <c r="K298" s="55"/>
      <c r="L298" s="55"/>
      <c r="M298" s="55"/>
    </row>
    <row r="299" spans="1:13" s="67" customFormat="1" x14ac:dyDescent="0.3">
      <c r="A299" s="126"/>
      <c r="B299" s="57" t="s">
        <v>804</v>
      </c>
      <c r="C299" s="78" t="s">
        <v>171</v>
      </c>
      <c r="D299" s="185">
        <f t="shared" si="1"/>
        <v>673.95999999999992</v>
      </c>
      <c r="E299" s="77"/>
      <c r="F299" s="92">
        <v>581</v>
      </c>
      <c r="G299" s="55"/>
      <c r="H299" s="66"/>
      <c r="I299" s="66"/>
      <c r="J299" s="66"/>
      <c r="K299" s="55"/>
      <c r="L299" s="55"/>
      <c r="M299" s="55"/>
    </row>
    <row r="300" spans="1:13" s="67" customFormat="1" x14ac:dyDescent="0.3">
      <c r="A300" s="126"/>
      <c r="B300" s="57" t="s">
        <v>803</v>
      </c>
      <c r="C300" s="78" t="s">
        <v>72</v>
      </c>
      <c r="D300" s="185">
        <f t="shared" si="1"/>
        <v>43860.566666666666</v>
      </c>
      <c r="E300" s="77"/>
      <c r="F300" s="92">
        <f>226865/6</f>
        <v>37810.833333333336</v>
      </c>
      <c r="G300" s="55"/>
      <c r="H300" s="66"/>
      <c r="I300" s="66"/>
      <c r="J300" s="66"/>
      <c r="K300" s="55"/>
      <c r="L300" s="55"/>
      <c r="M300" s="55"/>
    </row>
    <row r="301" spans="1:13" s="67" customFormat="1" x14ac:dyDescent="0.3">
      <c r="A301" s="126"/>
      <c r="B301" s="57" t="s">
        <v>802</v>
      </c>
      <c r="C301" s="78" t="s">
        <v>171</v>
      </c>
      <c r="D301" s="185">
        <f t="shared" si="1"/>
        <v>13099.88</v>
      </c>
      <c r="E301" s="77"/>
      <c r="F301" s="92">
        <v>11293</v>
      </c>
      <c r="G301" s="55"/>
      <c r="H301" s="66"/>
      <c r="I301" s="66"/>
      <c r="J301" s="66"/>
      <c r="K301" s="55"/>
      <c r="L301" s="55"/>
      <c r="M301" s="55"/>
    </row>
    <row r="302" spans="1:13" s="66" customFormat="1" x14ac:dyDescent="0.3">
      <c r="A302" s="71"/>
      <c r="B302" s="57" t="s">
        <v>801</v>
      </c>
      <c r="C302" s="78" t="s">
        <v>72</v>
      </c>
      <c r="D302" s="185">
        <f t="shared" si="1"/>
        <v>2813</v>
      </c>
      <c r="E302" s="77"/>
      <c r="F302" s="92">
        <f>7275/3</f>
        <v>2425</v>
      </c>
      <c r="G302" s="55"/>
      <c r="H302" s="55"/>
      <c r="K302" s="55"/>
      <c r="L302" s="55"/>
      <c r="M302" s="55"/>
    </row>
    <row r="303" spans="1:13" s="66" customFormat="1" x14ac:dyDescent="0.3">
      <c r="A303" s="71"/>
      <c r="B303" s="57" t="s">
        <v>800</v>
      </c>
      <c r="C303" s="78" t="s">
        <v>72</v>
      </c>
      <c r="D303" s="185">
        <f t="shared" si="1"/>
        <v>1549.76</v>
      </c>
      <c r="E303" s="77"/>
      <c r="F303" s="92">
        <f>4008/3</f>
        <v>1336</v>
      </c>
      <c r="G303" s="55"/>
      <c r="H303" s="55"/>
      <c r="K303" s="55"/>
      <c r="L303" s="55"/>
      <c r="M303" s="55"/>
    </row>
    <row r="304" spans="1:13" s="66" customFormat="1" x14ac:dyDescent="0.3">
      <c r="A304" s="71"/>
      <c r="B304" s="57" t="s">
        <v>799</v>
      </c>
      <c r="C304" s="78" t="s">
        <v>72</v>
      </c>
      <c r="D304" s="185">
        <f t="shared" si="1"/>
        <v>2029.9999999999998</v>
      </c>
      <c r="E304" s="77"/>
      <c r="F304" s="92">
        <f>5250/3</f>
        <v>1750</v>
      </c>
      <c r="G304" s="55"/>
      <c r="H304" s="55"/>
      <c r="K304" s="55"/>
      <c r="L304" s="55"/>
      <c r="M304" s="55"/>
    </row>
    <row r="305" spans="1:13" s="66" customFormat="1" x14ac:dyDescent="0.3">
      <c r="A305" s="71"/>
      <c r="B305" s="57" t="s">
        <v>798</v>
      </c>
      <c r="C305" s="78" t="s">
        <v>72</v>
      </c>
      <c r="D305" s="185">
        <f t="shared" si="1"/>
        <v>5541.32</v>
      </c>
      <c r="E305" s="77"/>
      <c r="F305" s="92">
        <f>14331/3</f>
        <v>4777</v>
      </c>
      <c r="G305" s="55"/>
      <c r="H305" s="55"/>
      <c r="K305" s="55"/>
      <c r="L305" s="55"/>
      <c r="M305" s="55"/>
    </row>
    <row r="306" spans="1:13" s="66" customFormat="1" x14ac:dyDescent="0.3">
      <c r="A306" s="71"/>
      <c r="B306" s="57" t="s">
        <v>797</v>
      </c>
      <c r="C306" s="78" t="s">
        <v>72</v>
      </c>
      <c r="D306" s="185">
        <f t="shared" si="1"/>
        <v>8522.5199999999986</v>
      </c>
      <c r="E306" s="77"/>
      <c r="F306" s="92">
        <f>22041/3</f>
        <v>7347</v>
      </c>
      <c r="G306" s="55"/>
      <c r="H306" s="55"/>
      <c r="K306" s="55"/>
      <c r="L306" s="55"/>
      <c r="M306" s="55"/>
    </row>
    <row r="307" spans="1:13" s="66" customFormat="1" x14ac:dyDescent="0.3">
      <c r="A307" s="71"/>
      <c r="B307" s="57" t="s">
        <v>796</v>
      </c>
      <c r="C307" s="78" t="s">
        <v>72</v>
      </c>
      <c r="D307" s="185">
        <f t="shared" si="1"/>
        <v>9023.2533333333322</v>
      </c>
      <c r="E307" s="77"/>
      <c r="F307" s="92">
        <f>23336/3</f>
        <v>7778.666666666667</v>
      </c>
      <c r="G307" s="55"/>
      <c r="H307" s="55"/>
      <c r="K307" s="55"/>
      <c r="L307" s="55"/>
      <c r="M307" s="55"/>
    </row>
    <row r="308" spans="1:13" s="66" customFormat="1" x14ac:dyDescent="0.3">
      <c r="A308" s="71"/>
      <c r="B308" s="57" t="s">
        <v>795</v>
      </c>
      <c r="C308" s="78" t="s">
        <v>171</v>
      </c>
      <c r="D308" s="185">
        <f t="shared" si="1"/>
        <v>1811.9199999999998</v>
      </c>
      <c r="E308" s="77"/>
      <c r="F308" s="92">
        <v>1562</v>
      </c>
      <c r="G308" s="55"/>
      <c r="K308" s="55"/>
      <c r="L308" s="55"/>
      <c r="M308" s="55"/>
    </row>
    <row r="309" spans="1:13" s="66" customFormat="1" x14ac:dyDescent="0.3">
      <c r="A309" s="71"/>
      <c r="B309" s="57" t="s">
        <v>794</v>
      </c>
      <c r="C309" s="78" t="s">
        <v>171</v>
      </c>
      <c r="D309" s="185">
        <f t="shared" si="1"/>
        <v>598.55999999999995</v>
      </c>
      <c r="E309" s="77"/>
      <c r="F309" s="92">
        <v>516</v>
      </c>
      <c r="G309" s="55"/>
      <c r="K309" s="55"/>
      <c r="L309" s="55"/>
      <c r="M309" s="55"/>
    </row>
    <row r="310" spans="1:13" s="66" customFormat="1" x14ac:dyDescent="0.3">
      <c r="A310" s="71"/>
      <c r="B310" s="57" t="s">
        <v>793</v>
      </c>
      <c r="C310" s="78" t="s">
        <v>171</v>
      </c>
      <c r="D310" s="185">
        <f t="shared" si="1"/>
        <v>955.83999999999992</v>
      </c>
      <c r="E310" s="77"/>
      <c r="F310" s="92">
        <v>824</v>
      </c>
      <c r="G310" s="55"/>
      <c r="K310" s="55"/>
      <c r="L310" s="55"/>
      <c r="M310" s="55"/>
    </row>
    <row r="311" spans="1:13" s="66" customFormat="1" x14ac:dyDescent="0.3">
      <c r="A311" s="71"/>
      <c r="B311" s="57" t="s">
        <v>792</v>
      </c>
      <c r="C311" s="78" t="s">
        <v>171</v>
      </c>
      <c r="D311" s="185">
        <f t="shared" si="1"/>
        <v>4617.96</v>
      </c>
      <c r="E311" s="77"/>
      <c r="F311" s="92">
        <v>3981</v>
      </c>
      <c r="G311" s="55"/>
      <c r="K311" s="55"/>
      <c r="L311" s="55"/>
      <c r="M311" s="55"/>
    </row>
    <row r="312" spans="1:13" s="66" customFormat="1" x14ac:dyDescent="0.3">
      <c r="A312" s="71"/>
      <c r="B312" s="57" t="s">
        <v>791</v>
      </c>
      <c r="C312" s="78" t="s">
        <v>171</v>
      </c>
      <c r="D312" s="185">
        <f t="shared" si="1"/>
        <v>8524.84</v>
      </c>
      <c r="E312" s="77"/>
      <c r="F312" s="92">
        <v>7349</v>
      </c>
      <c r="G312" s="55"/>
      <c r="K312" s="55"/>
      <c r="L312" s="55"/>
      <c r="M312" s="55"/>
    </row>
    <row r="313" spans="1:13" s="66" customFormat="1" x14ac:dyDescent="0.3">
      <c r="A313" s="71"/>
      <c r="B313" s="57" t="s">
        <v>790</v>
      </c>
      <c r="C313" s="78" t="s">
        <v>171</v>
      </c>
      <c r="D313" s="185">
        <v>9114</v>
      </c>
      <c r="E313" s="77"/>
      <c r="F313" s="92"/>
      <c r="G313" s="55"/>
      <c r="K313" s="55"/>
      <c r="L313" s="55"/>
      <c r="M313" s="55"/>
    </row>
    <row r="314" spans="1:13" s="66" customFormat="1" x14ac:dyDescent="0.3">
      <c r="A314" s="71"/>
      <c r="B314" s="57" t="s">
        <v>789</v>
      </c>
      <c r="C314" s="78" t="s">
        <v>171</v>
      </c>
      <c r="D314" s="185">
        <f>+F314*1.16</f>
        <v>301.59999999999997</v>
      </c>
      <c r="E314" s="77"/>
      <c r="F314" s="92">
        <v>260</v>
      </c>
      <c r="G314" s="55"/>
      <c r="K314" s="55"/>
      <c r="L314" s="55"/>
      <c r="M314" s="55"/>
    </row>
    <row r="315" spans="1:13" s="66" customFormat="1" x14ac:dyDescent="0.3">
      <c r="A315" s="71"/>
      <c r="B315" s="57" t="s">
        <v>788</v>
      </c>
      <c r="C315" s="78" t="s">
        <v>632</v>
      </c>
      <c r="D315" s="187">
        <f>+F315*1.16</f>
        <v>2528.3823999999995</v>
      </c>
      <c r="E315" s="86"/>
      <c r="F315" s="121">
        <v>2179.64</v>
      </c>
      <c r="G315" s="55"/>
      <c r="K315" s="55"/>
      <c r="L315" s="55"/>
      <c r="M315" s="55"/>
    </row>
    <row r="316" spans="1:13" s="66" customFormat="1" x14ac:dyDescent="0.3">
      <c r="A316" s="71"/>
      <c r="B316" s="57" t="s">
        <v>787</v>
      </c>
      <c r="C316" s="78" t="s">
        <v>72</v>
      </c>
      <c r="D316" s="187">
        <v>2300</v>
      </c>
      <c r="E316" s="86"/>
      <c r="F316" s="121"/>
      <c r="G316" s="55"/>
      <c r="K316" s="55"/>
      <c r="L316" s="55"/>
      <c r="M316" s="55"/>
    </row>
    <row r="317" spans="1:13" s="66" customFormat="1" x14ac:dyDescent="0.3">
      <c r="A317" s="71"/>
      <c r="B317" s="57" t="s">
        <v>786</v>
      </c>
      <c r="C317" s="78" t="s">
        <v>72</v>
      </c>
      <c r="D317" s="187">
        <v>3500</v>
      </c>
      <c r="E317" s="86"/>
      <c r="F317" s="121"/>
      <c r="G317" s="55"/>
      <c r="K317" s="55"/>
      <c r="L317" s="55"/>
      <c r="M317" s="55"/>
    </row>
    <row r="318" spans="1:13" s="66" customFormat="1" x14ac:dyDescent="0.3">
      <c r="A318" s="71"/>
      <c r="B318" s="57" t="s">
        <v>785</v>
      </c>
      <c r="C318" s="78" t="s">
        <v>72</v>
      </c>
      <c r="D318" s="187">
        <v>5000</v>
      </c>
      <c r="E318" s="86"/>
      <c r="F318" s="121"/>
      <c r="G318" s="55"/>
      <c r="K318" s="55"/>
      <c r="L318" s="55"/>
      <c r="M318" s="55"/>
    </row>
    <row r="319" spans="1:13" s="66" customFormat="1" x14ac:dyDescent="0.3">
      <c r="A319" s="71"/>
      <c r="B319" s="57" t="s">
        <v>784</v>
      </c>
      <c r="C319" s="78" t="s">
        <v>72</v>
      </c>
      <c r="D319" s="187">
        <v>7800</v>
      </c>
      <c r="E319" s="86"/>
      <c r="F319" s="121"/>
      <c r="G319" s="55"/>
      <c r="K319" s="55"/>
      <c r="L319" s="55"/>
      <c r="M319" s="55"/>
    </row>
    <row r="320" spans="1:13" s="66" customFormat="1" x14ac:dyDescent="0.3">
      <c r="A320" s="71"/>
      <c r="B320" s="57" t="s">
        <v>783</v>
      </c>
      <c r="C320" s="78" t="s">
        <v>72</v>
      </c>
      <c r="D320" s="187">
        <v>12000</v>
      </c>
      <c r="E320" s="86"/>
      <c r="F320" s="121"/>
      <c r="K320" s="55"/>
      <c r="L320" s="55"/>
      <c r="M320" s="55"/>
    </row>
    <row r="321" spans="1:13" s="66" customFormat="1" x14ac:dyDescent="0.3">
      <c r="B321" s="57" t="s">
        <v>782</v>
      </c>
      <c r="C321" s="78" t="s">
        <v>632</v>
      </c>
      <c r="D321" s="187">
        <v>17000</v>
      </c>
      <c r="E321" s="86"/>
      <c r="F321" s="121"/>
      <c r="K321" s="55"/>
      <c r="L321" s="55"/>
      <c r="M321" s="55"/>
    </row>
    <row r="322" spans="1:13" s="66" customFormat="1" x14ac:dyDescent="0.3">
      <c r="B322" s="57" t="s">
        <v>781</v>
      </c>
      <c r="C322" s="78" t="s">
        <v>632</v>
      </c>
      <c r="D322" s="187">
        <v>11500</v>
      </c>
      <c r="E322" s="86"/>
      <c r="F322" s="121"/>
      <c r="K322" s="55"/>
      <c r="L322" s="55"/>
      <c r="M322" s="55"/>
    </row>
    <row r="323" spans="1:13" s="66" customFormat="1" x14ac:dyDescent="0.3">
      <c r="A323" s="71"/>
      <c r="B323" s="57" t="s">
        <v>780</v>
      </c>
      <c r="C323" s="78" t="s">
        <v>632</v>
      </c>
      <c r="D323" s="188">
        <v>31306.080000000002</v>
      </c>
      <c r="E323" s="86"/>
      <c r="K323" s="55"/>
      <c r="L323" s="55"/>
      <c r="M323" s="55"/>
    </row>
    <row r="324" spans="1:13" s="66" customFormat="1" x14ac:dyDescent="0.3">
      <c r="A324" s="71"/>
      <c r="B324" s="57" t="s">
        <v>779</v>
      </c>
      <c r="C324" s="78" t="s">
        <v>632</v>
      </c>
      <c r="D324" s="187">
        <v>40000</v>
      </c>
      <c r="E324" s="86"/>
      <c r="F324" s="121"/>
      <c r="K324" s="55"/>
      <c r="L324" s="55"/>
      <c r="M324" s="55"/>
    </row>
    <row r="325" spans="1:13" s="66" customFormat="1" x14ac:dyDescent="0.3">
      <c r="A325" s="71"/>
      <c r="B325" s="57" t="s">
        <v>778</v>
      </c>
      <c r="C325" s="78" t="s">
        <v>632</v>
      </c>
      <c r="D325" s="187">
        <v>2200</v>
      </c>
      <c r="E325" s="86"/>
      <c r="F325" s="121"/>
      <c r="G325" s="125"/>
      <c r="K325" s="55"/>
      <c r="L325" s="55"/>
      <c r="M325" s="55"/>
    </row>
    <row r="326" spans="1:13" s="66" customFormat="1" x14ac:dyDescent="0.3">
      <c r="A326" s="71"/>
      <c r="B326" s="57" t="s">
        <v>777</v>
      </c>
      <c r="C326" s="78" t="s">
        <v>72</v>
      </c>
      <c r="D326" s="187">
        <v>750</v>
      </c>
      <c r="E326" s="86" t="s">
        <v>776</v>
      </c>
      <c r="F326" s="121"/>
      <c r="G326" s="125"/>
      <c r="K326" s="55"/>
      <c r="L326" s="55"/>
      <c r="M326" s="55"/>
    </row>
    <row r="327" spans="1:13" s="66" customFormat="1" x14ac:dyDescent="0.3">
      <c r="A327" s="71"/>
      <c r="B327" s="57" t="s">
        <v>775</v>
      </c>
      <c r="C327" s="78" t="s">
        <v>72</v>
      </c>
      <c r="D327" s="188">
        <v>900</v>
      </c>
      <c r="E327" s="86"/>
      <c r="F327" s="121"/>
      <c r="G327" s="125"/>
      <c r="K327" s="55"/>
      <c r="L327" s="55"/>
      <c r="M327" s="55"/>
    </row>
    <row r="328" spans="1:13" s="66" customFormat="1" x14ac:dyDescent="0.3">
      <c r="A328" s="71"/>
      <c r="B328" s="57" t="s">
        <v>774</v>
      </c>
      <c r="C328" s="78" t="s">
        <v>72</v>
      </c>
      <c r="D328" s="188">
        <v>2750</v>
      </c>
      <c r="E328" s="86"/>
      <c r="F328" s="121"/>
      <c r="G328" s="125"/>
      <c r="K328" s="55"/>
      <c r="L328" s="55"/>
      <c r="M328" s="55"/>
    </row>
    <row r="329" spans="1:13" s="66" customFormat="1" x14ac:dyDescent="0.3">
      <c r="A329" s="71"/>
      <c r="B329" s="57" t="s">
        <v>773</v>
      </c>
      <c r="C329" s="78" t="s">
        <v>72</v>
      </c>
      <c r="D329" s="187">
        <v>1750</v>
      </c>
      <c r="E329" s="86"/>
      <c r="F329" s="121"/>
      <c r="G329" s="125"/>
      <c r="K329" s="55"/>
      <c r="L329" s="55"/>
      <c r="M329" s="55"/>
    </row>
    <row r="330" spans="1:13" s="66" customFormat="1" x14ac:dyDescent="0.3">
      <c r="A330" s="71"/>
      <c r="B330" s="57" t="s">
        <v>772</v>
      </c>
      <c r="C330" s="78" t="s">
        <v>72</v>
      </c>
      <c r="D330" s="187">
        <v>500</v>
      </c>
      <c r="E330" s="86"/>
      <c r="F330" s="121"/>
      <c r="G330" s="125"/>
      <c r="K330" s="55"/>
      <c r="L330" s="55"/>
      <c r="M330" s="55"/>
    </row>
    <row r="331" spans="1:13" s="66" customFormat="1" x14ac:dyDescent="0.3">
      <c r="A331" s="71"/>
      <c r="B331" s="57" t="s">
        <v>771</v>
      </c>
      <c r="C331" s="78" t="s">
        <v>632</v>
      </c>
      <c r="D331" s="188"/>
      <c r="E331" s="86"/>
      <c r="F331" s="121"/>
      <c r="G331" s="125"/>
      <c r="K331" s="55"/>
      <c r="L331" s="55"/>
      <c r="M331" s="55"/>
    </row>
    <row r="332" spans="1:13" s="66" customFormat="1" x14ac:dyDescent="0.3">
      <c r="A332" s="71"/>
      <c r="B332" s="57" t="s">
        <v>770</v>
      </c>
      <c r="C332" s="78" t="s">
        <v>632</v>
      </c>
      <c r="D332" s="188"/>
      <c r="E332" s="86"/>
      <c r="F332" s="121"/>
      <c r="G332" s="125"/>
      <c r="K332" s="55"/>
      <c r="L332" s="55"/>
      <c r="M332" s="55"/>
    </row>
    <row r="333" spans="1:13" s="66" customFormat="1" ht="20.25" customHeight="1" x14ac:dyDescent="0.3">
      <c r="A333" s="71"/>
      <c r="B333" s="57" t="s">
        <v>769</v>
      </c>
      <c r="C333" s="78" t="s">
        <v>171</v>
      </c>
      <c r="D333" s="187"/>
      <c r="E333" s="91"/>
      <c r="F333" s="121"/>
      <c r="G333" s="56"/>
      <c r="K333" s="55"/>
      <c r="L333" s="55"/>
      <c r="M333" s="55"/>
    </row>
    <row r="334" spans="1:13" s="66" customFormat="1" ht="31.2" x14ac:dyDescent="0.3">
      <c r="A334" s="71"/>
      <c r="B334" s="57" t="s">
        <v>768</v>
      </c>
      <c r="C334" s="78" t="s">
        <v>171</v>
      </c>
      <c r="D334" s="185">
        <v>391722.72</v>
      </c>
      <c r="E334" s="91"/>
      <c r="F334" s="121"/>
      <c r="G334" s="56"/>
      <c r="H334" s="124"/>
      <c r="K334" s="55"/>
      <c r="L334" s="55"/>
      <c r="M334" s="55"/>
    </row>
    <row r="335" spans="1:13" s="66" customFormat="1" ht="31.2" x14ac:dyDescent="0.3">
      <c r="A335" s="71"/>
      <c r="B335" s="57" t="s">
        <v>767</v>
      </c>
      <c r="C335" s="78" t="s">
        <v>171</v>
      </c>
      <c r="D335" s="188">
        <v>455522.72</v>
      </c>
      <c r="E335" s="91"/>
      <c r="F335" s="121"/>
      <c r="G335" s="56"/>
      <c r="H335" s="124"/>
      <c r="K335" s="55"/>
      <c r="L335" s="55"/>
      <c r="M335" s="55"/>
    </row>
    <row r="336" spans="1:13" s="66" customFormat="1" x14ac:dyDescent="0.3">
      <c r="A336" s="71"/>
      <c r="B336" s="57" t="s">
        <v>766</v>
      </c>
      <c r="C336" s="78" t="s">
        <v>171</v>
      </c>
      <c r="D336" s="185">
        <v>399842.72</v>
      </c>
      <c r="E336" s="91"/>
      <c r="F336" s="121"/>
      <c r="G336" s="56"/>
      <c r="H336" s="124"/>
      <c r="K336" s="55"/>
      <c r="L336" s="55"/>
      <c r="M336" s="55"/>
    </row>
    <row r="337" spans="1:13" s="66" customFormat="1" x14ac:dyDescent="0.3">
      <c r="A337" s="71"/>
      <c r="B337" s="57" t="s">
        <v>765</v>
      </c>
      <c r="C337" s="78" t="s">
        <v>171</v>
      </c>
      <c r="D337" s="185">
        <v>480240</v>
      </c>
      <c r="E337" s="91"/>
      <c r="F337" s="121"/>
      <c r="G337" s="56"/>
      <c r="H337" s="124"/>
      <c r="K337" s="55"/>
      <c r="L337" s="55"/>
      <c r="M337" s="55"/>
    </row>
    <row r="338" spans="1:13" s="66" customFormat="1" ht="78" x14ac:dyDescent="0.3">
      <c r="A338" s="71"/>
      <c r="B338" s="57" t="s">
        <v>764</v>
      </c>
      <c r="C338" s="78" t="s">
        <v>171</v>
      </c>
      <c r="D338" s="188">
        <f>837200*1.16</f>
        <v>971151.99999999988</v>
      </c>
      <c r="E338" s="91"/>
      <c r="F338" s="121"/>
      <c r="G338" s="56"/>
      <c r="H338" s="124"/>
      <c r="K338" s="55"/>
      <c r="L338" s="55"/>
      <c r="M338" s="55"/>
    </row>
    <row r="339" spans="1:13" s="66" customFormat="1" ht="78" x14ac:dyDescent="0.3">
      <c r="A339" s="71"/>
      <c r="B339" s="57" t="s">
        <v>763</v>
      </c>
      <c r="C339" s="78" t="s">
        <v>171</v>
      </c>
      <c r="D339" s="188">
        <f>455300*1.16</f>
        <v>528148</v>
      </c>
      <c r="E339" s="91"/>
      <c r="F339" s="121"/>
      <c r="G339" s="56"/>
      <c r="H339" s="124"/>
      <c r="K339" s="55"/>
      <c r="L339" s="55"/>
      <c r="M339" s="55"/>
    </row>
    <row r="340" spans="1:13" s="66" customFormat="1" ht="46.8" x14ac:dyDescent="0.3">
      <c r="A340" s="71"/>
      <c r="B340" s="57" t="s">
        <v>762</v>
      </c>
      <c r="C340" s="78" t="s">
        <v>171</v>
      </c>
      <c r="D340" s="188">
        <f>1670000*1.16</f>
        <v>1937199.9999999998</v>
      </c>
      <c r="E340" s="91"/>
      <c r="F340" s="121"/>
      <c r="G340" s="56"/>
      <c r="H340" s="124"/>
      <c r="K340" s="55"/>
      <c r="L340" s="55"/>
      <c r="M340" s="55"/>
    </row>
    <row r="341" spans="1:13" s="66" customFormat="1" x14ac:dyDescent="0.3">
      <c r="A341" s="71"/>
      <c r="B341" s="57" t="s">
        <v>761</v>
      </c>
      <c r="C341" s="78" t="s">
        <v>171</v>
      </c>
      <c r="D341" s="185">
        <v>35000</v>
      </c>
      <c r="E341" s="86"/>
      <c r="F341" s="121"/>
      <c r="G341" s="56"/>
      <c r="H341" s="124"/>
      <c r="K341" s="55"/>
      <c r="L341" s="55"/>
      <c r="M341" s="55"/>
    </row>
    <row r="342" spans="1:13" s="66" customFormat="1" x14ac:dyDescent="0.3">
      <c r="A342" s="71"/>
      <c r="B342" s="57" t="s">
        <v>760</v>
      </c>
      <c r="C342" s="78" t="s">
        <v>171</v>
      </c>
      <c r="D342" s="185">
        <v>27000</v>
      </c>
      <c r="E342" s="91"/>
      <c r="F342" s="121"/>
      <c r="G342" s="56"/>
      <c r="H342" s="124"/>
      <c r="K342" s="55"/>
      <c r="L342" s="55"/>
      <c r="M342" s="55"/>
    </row>
    <row r="343" spans="1:13" s="66" customFormat="1" ht="31.2" x14ac:dyDescent="0.3">
      <c r="A343" s="71"/>
      <c r="B343" s="57" t="s">
        <v>759</v>
      </c>
      <c r="C343" s="78" t="s">
        <v>171</v>
      </c>
      <c r="D343" s="188">
        <v>605520</v>
      </c>
      <c r="E343" s="91"/>
      <c r="F343" s="121"/>
      <c r="G343" s="56"/>
      <c r="H343" s="124"/>
      <c r="K343" s="55"/>
      <c r="L343" s="55"/>
      <c r="M343" s="55"/>
    </row>
    <row r="344" spans="1:13" s="66" customFormat="1" ht="31.2" x14ac:dyDescent="0.3">
      <c r="A344" s="71"/>
      <c r="B344" s="57" t="s">
        <v>758</v>
      </c>
      <c r="C344" s="78" t="s">
        <v>171</v>
      </c>
      <c r="D344" s="188">
        <v>1418680</v>
      </c>
      <c r="E344" s="91"/>
      <c r="F344" s="121"/>
      <c r="G344" s="56"/>
      <c r="H344" s="124"/>
      <c r="K344" s="55"/>
      <c r="L344" s="55"/>
      <c r="M344" s="55"/>
    </row>
    <row r="345" spans="1:13" s="66" customFormat="1" x14ac:dyDescent="0.3">
      <c r="A345" s="71"/>
      <c r="B345" s="57" t="s">
        <v>757</v>
      </c>
      <c r="C345" s="78" t="s">
        <v>171</v>
      </c>
      <c r="D345" s="185">
        <v>23000</v>
      </c>
      <c r="E345" s="91"/>
      <c r="F345" s="121"/>
      <c r="G345" s="56"/>
      <c r="H345" s="124"/>
      <c r="K345" s="55"/>
      <c r="L345" s="55"/>
      <c r="M345" s="55"/>
    </row>
    <row r="346" spans="1:13" s="66" customFormat="1" x14ac:dyDescent="0.3">
      <c r="A346" s="71"/>
      <c r="B346" s="57" t="s">
        <v>756</v>
      </c>
      <c r="C346" s="78" t="s">
        <v>171</v>
      </c>
      <c r="D346" s="188">
        <v>35000</v>
      </c>
      <c r="E346" s="91"/>
      <c r="F346" s="121"/>
      <c r="G346" s="56"/>
      <c r="H346" s="124"/>
      <c r="K346" s="55"/>
      <c r="L346" s="55"/>
      <c r="M346" s="55"/>
    </row>
    <row r="347" spans="1:13" s="66" customFormat="1" x14ac:dyDescent="0.3">
      <c r="A347" s="71"/>
      <c r="B347" s="57" t="s">
        <v>755</v>
      </c>
      <c r="C347" s="78" t="s">
        <v>171</v>
      </c>
      <c r="D347" s="188">
        <v>27840</v>
      </c>
      <c r="E347" s="91"/>
      <c r="F347" s="77"/>
      <c r="G347" s="58"/>
      <c r="H347" s="124"/>
      <c r="K347" s="55"/>
      <c r="L347" s="55"/>
      <c r="M347" s="55"/>
    </row>
    <row r="348" spans="1:13" s="66" customFormat="1" ht="31.2" x14ac:dyDescent="0.3">
      <c r="A348" s="71"/>
      <c r="B348" s="57" t="s">
        <v>754</v>
      </c>
      <c r="C348" s="78" t="s">
        <v>171</v>
      </c>
      <c r="D348" s="185">
        <f>+F348*1.16</f>
        <v>411501.87999999995</v>
      </c>
      <c r="E348" s="91"/>
      <c r="F348" s="77">
        <v>354743</v>
      </c>
      <c r="G348" s="58"/>
      <c r="H348" s="124"/>
      <c r="K348" s="55"/>
      <c r="L348" s="55"/>
      <c r="M348" s="55"/>
    </row>
    <row r="349" spans="1:13" s="66" customFormat="1" ht="31.2" x14ac:dyDescent="0.3">
      <c r="A349" s="71"/>
      <c r="B349" s="57" t="s">
        <v>753</v>
      </c>
      <c r="C349" s="78" t="s">
        <v>171</v>
      </c>
      <c r="D349" s="185">
        <f>+F349*1.16</f>
        <v>92336</v>
      </c>
      <c r="E349" s="91"/>
      <c r="F349" s="77">
        <v>79600</v>
      </c>
      <c r="G349" s="58"/>
      <c r="H349" s="124"/>
      <c r="K349" s="55"/>
      <c r="L349" s="55"/>
      <c r="M349" s="55"/>
    </row>
    <row r="350" spans="1:13" s="66" customFormat="1" x14ac:dyDescent="0.3">
      <c r="A350" s="71"/>
      <c r="B350" s="57" t="s">
        <v>752</v>
      </c>
      <c r="C350" s="78" t="s">
        <v>171</v>
      </c>
      <c r="D350" s="185">
        <f>+F350*1.16</f>
        <v>139200</v>
      </c>
      <c r="E350" s="91"/>
      <c r="F350" s="77">
        <v>120000</v>
      </c>
      <c r="G350" s="58"/>
      <c r="H350" s="124"/>
      <c r="K350" s="55"/>
      <c r="L350" s="55"/>
      <c r="M350" s="55"/>
    </row>
    <row r="351" spans="1:13" s="66" customFormat="1" x14ac:dyDescent="0.3">
      <c r="A351" s="71"/>
      <c r="B351" s="57" t="s">
        <v>751</v>
      </c>
      <c r="C351" s="78" t="s">
        <v>171</v>
      </c>
      <c r="D351" s="185">
        <f>+F351*1.16</f>
        <v>187070.87999999998</v>
      </c>
      <c r="E351" s="91"/>
      <c r="F351" s="77">
        <v>161268</v>
      </c>
      <c r="G351" s="55"/>
      <c r="K351" s="55"/>
      <c r="L351" s="55"/>
      <c r="M351" s="55"/>
    </row>
    <row r="352" spans="1:13" x14ac:dyDescent="0.3">
      <c r="B352" s="57" t="s">
        <v>750</v>
      </c>
      <c r="C352" s="78" t="s">
        <v>171</v>
      </c>
      <c r="D352" s="185">
        <v>13000</v>
      </c>
      <c r="E352" s="91"/>
      <c r="F352" s="121"/>
    </row>
    <row r="353" spans="1:13" x14ac:dyDescent="0.3">
      <c r="B353" s="57" t="s">
        <v>749</v>
      </c>
      <c r="C353" s="78" t="s">
        <v>171</v>
      </c>
      <c r="D353" s="185">
        <v>7016</v>
      </c>
      <c r="E353" s="91"/>
      <c r="F353" s="121"/>
    </row>
    <row r="354" spans="1:13" x14ac:dyDescent="0.3">
      <c r="B354" s="57" t="s">
        <v>748</v>
      </c>
      <c r="C354" s="78" t="s">
        <v>171</v>
      </c>
      <c r="D354" s="185">
        <v>5700</v>
      </c>
      <c r="E354" s="91"/>
      <c r="F354" s="121"/>
    </row>
    <row r="355" spans="1:13" x14ac:dyDescent="0.3">
      <c r="B355" s="57" t="s">
        <v>747</v>
      </c>
      <c r="C355" s="78" t="s">
        <v>171</v>
      </c>
      <c r="D355" s="185">
        <v>4800</v>
      </c>
      <c r="E355" s="91"/>
      <c r="F355" s="121"/>
    </row>
    <row r="356" spans="1:13" x14ac:dyDescent="0.3">
      <c r="B356" s="57" t="s">
        <v>746</v>
      </c>
      <c r="C356" s="78" t="s">
        <v>171</v>
      </c>
      <c r="D356" s="185">
        <v>9500</v>
      </c>
      <c r="E356" s="91"/>
      <c r="F356" s="121"/>
    </row>
    <row r="357" spans="1:13" x14ac:dyDescent="0.3">
      <c r="B357" s="57" t="s">
        <v>745</v>
      </c>
      <c r="C357" s="78" t="s">
        <v>171</v>
      </c>
      <c r="D357" s="185">
        <v>4800</v>
      </c>
      <c r="E357" s="91"/>
      <c r="F357" s="121"/>
    </row>
    <row r="358" spans="1:13" x14ac:dyDescent="0.3">
      <c r="B358" s="57" t="s">
        <v>744</v>
      </c>
      <c r="C358" s="78" t="s">
        <v>171</v>
      </c>
      <c r="D358" s="185">
        <v>3000</v>
      </c>
      <c r="E358" s="96"/>
      <c r="F358" s="121"/>
      <c r="H358" s="55"/>
    </row>
    <row r="359" spans="1:13" x14ac:dyDescent="0.3">
      <c r="B359" s="57" t="s">
        <v>743</v>
      </c>
      <c r="C359" s="78" t="s">
        <v>171</v>
      </c>
      <c r="D359" s="185">
        <f t="shared" ref="D359:D378" si="2">+F359*1.16</f>
        <v>4985.6799999999994</v>
      </c>
      <c r="E359" s="96"/>
      <c r="F359" s="121">
        <v>4298</v>
      </c>
      <c r="H359" s="55"/>
    </row>
    <row r="360" spans="1:13" x14ac:dyDescent="0.3">
      <c r="B360" s="57" t="s">
        <v>742</v>
      </c>
      <c r="C360" s="78" t="s">
        <v>171</v>
      </c>
      <c r="D360" s="185">
        <f t="shared" si="2"/>
        <v>2235.3199999999997</v>
      </c>
      <c r="E360" s="96"/>
      <c r="F360" s="121">
        <v>1927</v>
      </c>
      <c r="H360" s="55"/>
    </row>
    <row r="361" spans="1:13" x14ac:dyDescent="0.3">
      <c r="B361" s="57" t="s">
        <v>741</v>
      </c>
      <c r="C361" s="78" t="s">
        <v>171</v>
      </c>
      <c r="D361" s="185">
        <f t="shared" si="2"/>
        <v>5783.7599999999993</v>
      </c>
      <c r="E361" s="96"/>
      <c r="F361" s="121">
        <v>4986</v>
      </c>
      <c r="H361" s="55"/>
    </row>
    <row r="362" spans="1:13" x14ac:dyDescent="0.3">
      <c r="B362" s="57" t="s">
        <v>740</v>
      </c>
      <c r="C362" s="78" t="s">
        <v>171</v>
      </c>
      <c r="D362" s="185">
        <f t="shared" si="2"/>
        <v>15977.839999999998</v>
      </c>
      <c r="E362" s="91"/>
      <c r="F362" s="121">
        <v>13774</v>
      </c>
    </row>
    <row r="363" spans="1:13" x14ac:dyDescent="0.3">
      <c r="B363" s="57" t="s">
        <v>739</v>
      </c>
      <c r="C363" s="78" t="s">
        <v>171</v>
      </c>
      <c r="D363" s="185">
        <f t="shared" si="2"/>
        <v>6535.44</v>
      </c>
      <c r="E363" s="91"/>
      <c r="F363" s="121">
        <v>5634</v>
      </c>
    </row>
    <row r="364" spans="1:13" x14ac:dyDescent="0.3">
      <c r="B364" s="57" t="s">
        <v>738</v>
      </c>
      <c r="C364" s="78" t="s">
        <v>171</v>
      </c>
      <c r="D364" s="185">
        <f t="shared" si="2"/>
        <v>71688</v>
      </c>
      <c r="E364" s="91"/>
      <c r="F364" s="121">
        <v>61800</v>
      </c>
    </row>
    <row r="365" spans="1:13" x14ac:dyDescent="0.3">
      <c r="B365" s="57" t="s">
        <v>737</v>
      </c>
      <c r="C365" s="78" t="s">
        <v>171</v>
      </c>
      <c r="D365" s="185">
        <f t="shared" si="2"/>
        <v>1588.04</v>
      </c>
      <c r="E365" s="91"/>
      <c r="F365" s="121">
        <v>1369</v>
      </c>
    </row>
    <row r="366" spans="1:13" x14ac:dyDescent="0.3">
      <c r="B366" s="57" t="s">
        <v>736</v>
      </c>
      <c r="C366" s="78" t="s">
        <v>171</v>
      </c>
      <c r="D366" s="185">
        <f t="shared" si="2"/>
        <v>162400</v>
      </c>
      <c r="E366" s="91"/>
      <c r="F366" s="121">
        <v>140000</v>
      </c>
    </row>
    <row r="367" spans="1:13" s="67" customFormat="1" x14ac:dyDescent="0.3">
      <c r="A367" s="71"/>
      <c r="B367" s="57" t="s">
        <v>735</v>
      </c>
      <c r="C367" s="78" t="s">
        <v>171</v>
      </c>
      <c r="D367" s="185">
        <f t="shared" si="2"/>
        <v>995.28</v>
      </c>
      <c r="E367" s="104"/>
      <c r="F367" s="121">
        <v>858</v>
      </c>
      <c r="G367" s="93"/>
      <c r="H367" s="123"/>
      <c r="I367" s="66"/>
      <c r="J367" s="66"/>
      <c r="K367" s="55"/>
      <c r="L367" s="55"/>
      <c r="M367" s="55"/>
    </row>
    <row r="368" spans="1:13" s="67" customFormat="1" x14ac:dyDescent="0.3">
      <c r="A368" s="71"/>
      <c r="B368" s="57" t="s">
        <v>734</v>
      </c>
      <c r="C368" s="78" t="s">
        <v>171</v>
      </c>
      <c r="D368" s="185">
        <f t="shared" si="2"/>
        <v>958.16</v>
      </c>
      <c r="E368" s="104"/>
      <c r="F368" s="121">
        <v>826</v>
      </c>
      <c r="G368" s="93"/>
      <c r="H368" s="123"/>
      <c r="I368" s="66"/>
      <c r="J368" s="66"/>
      <c r="K368" s="55"/>
      <c r="L368" s="55"/>
      <c r="M368" s="55"/>
    </row>
    <row r="369" spans="1:13" s="67" customFormat="1" x14ac:dyDescent="0.3">
      <c r="A369" s="71"/>
      <c r="B369" s="57" t="s">
        <v>733</v>
      </c>
      <c r="C369" s="78" t="s">
        <v>171</v>
      </c>
      <c r="D369" s="185">
        <f t="shared" si="2"/>
        <v>1991.7199999999998</v>
      </c>
      <c r="E369" s="104"/>
      <c r="F369" s="121">
        <v>1717</v>
      </c>
      <c r="G369" s="93"/>
      <c r="H369" s="123"/>
      <c r="I369" s="66"/>
      <c r="J369" s="66"/>
      <c r="K369" s="55"/>
      <c r="L369" s="55"/>
      <c r="M369" s="55"/>
    </row>
    <row r="370" spans="1:13" s="67" customFormat="1" x14ac:dyDescent="0.3">
      <c r="A370" s="71"/>
      <c r="B370" s="57" t="s">
        <v>732</v>
      </c>
      <c r="C370" s="78" t="s">
        <v>171</v>
      </c>
      <c r="D370" s="185">
        <f t="shared" si="2"/>
        <v>115.99999999999999</v>
      </c>
      <c r="E370" s="91"/>
      <c r="F370" s="121">
        <v>100</v>
      </c>
      <c r="G370" s="55"/>
      <c r="H370" s="66"/>
      <c r="I370" s="66"/>
      <c r="J370" s="66"/>
      <c r="K370" s="55"/>
      <c r="L370" s="55"/>
      <c r="M370" s="55"/>
    </row>
    <row r="371" spans="1:13" s="67" customFormat="1" x14ac:dyDescent="0.3">
      <c r="A371" s="71"/>
      <c r="B371" s="57" t="s">
        <v>731</v>
      </c>
      <c r="C371" s="78" t="s">
        <v>171</v>
      </c>
      <c r="D371" s="185">
        <f t="shared" si="2"/>
        <v>3711.9999999999995</v>
      </c>
      <c r="E371" s="91"/>
      <c r="F371" s="121">
        <v>3200</v>
      </c>
      <c r="G371" s="55"/>
      <c r="H371" s="66"/>
      <c r="I371" s="66"/>
      <c r="J371" s="66"/>
      <c r="K371" s="55"/>
      <c r="L371" s="55"/>
      <c r="M371" s="55"/>
    </row>
    <row r="372" spans="1:13" s="67" customFormat="1" x14ac:dyDescent="0.3">
      <c r="A372" s="71"/>
      <c r="B372" s="57" t="s">
        <v>730</v>
      </c>
      <c r="C372" s="78"/>
      <c r="D372" s="185">
        <f t="shared" si="2"/>
        <v>22113.079999999998</v>
      </c>
      <c r="E372" s="91"/>
      <c r="F372" s="77">
        <v>19063</v>
      </c>
      <c r="G372" s="55"/>
      <c r="H372" s="66"/>
      <c r="I372" s="66"/>
      <c r="J372" s="66"/>
      <c r="K372" s="55"/>
      <c r="L372" s="55"/>
      <c r="M372" s="55"/>
    </row>
    <row r="373" spans="1:13" s="67" customFormat="1" x14ac:dyDescent="0.3">
      <c r="A373" s="71"/>
      <c r="B373" s="57" t="s">
        <v>729</v>
      </c>
      <c r="C373" s="78" t="s">
        <v>84</v>
      </c>
      <c r="D373" s="185">
        <f t="shared" si="2"/>
        <v>12180</v>
      </c>
      <c r="E373" s="91"/>
      <c r="F373" s="121">
        <v>10500</v>
      </c>
      <c r="G373" s="55"/>
      <c r="H373" s="66"/>
      <c r="I373" s="66"/>
      <c r="J373" s="66"/>
      <c r="K373" s="55"/>
      <c r="L373" s="55"/>
      <c r="M373" s="55"/>
    </row>
    <row r="374" spans="1:13" s="67" customFormat="1" x14ac:dyDescent="0.3">
      <c r="A374" s="71"/>
      <c r="B374" s="57" t="s">
        <v>728</v>
      </c>
      <c r="C374" s="78" t="s">
        <v>171</v>
      </c>
      <c r="D374" s="185">
        <f t="shared" si="2"/>
        <v>7249.9999999999991</v>
      </c>
      <c r="E374" s="91"/>
      <c r="F374" s="77">
        <v>6250</v>
      </c>
      <c r="G374" s="55"/>
      <c r="H374" s="66"/>
      <c r="I374" s="66"/>
      <c r="J374" s="66"/>
      <c r="K374" s="55"/>
      <c r="L374" s="55"/>
      <c r="M374" s="55"/>
    </row>
    <row r="375" spans="1:13" s="67" customFormat="1" x14ac:dyDescent="0.3">
      <c r="A375" s="71"/>
      <c r="B375" s="57" t="s">
        <v>727</v>
      </c>
      <c r="C375" s="78"/>
      <c r="D375" s="185">
        <f t="shared" si="2"/>
        <v>15833.999999999998</v>
      </c>
      <c r="E375" s="91"/>
      <c r="F375" s="77">
        <v>13650</v>
      </c>
      <c r="G375" s="55"/>
      <c r="H375" s="66"/>
      <c r="I375" s="66"/>
      <c r="J375" s="66"/>
      <c r="K375" s="55"/>
      <c r="L375" s="55"/>
      <c r="M375" s="55"/>
    </row>
    <row r="376" spans="1:13" s="67" customFormat="1" x14ac:dyDescent="0.3">
      <c r="A376" s="71"/>
      <c r="B376" s="57" t="s">
        <v>726</v>
      </c>
      <c r="C376" s="78" t="s">
        <v>171</v>
      </c>
      <c r="D376" s="185">
        <f t="shared" si="2"/>
        <v>92800</v>
      </c>
      <c r="E376" s="91"/>
      <c r="F376" s="77">
        <v>80000</v>
      </c>
      <c r="G376" s="55"/>
      <c r="H376" s="66"/>
      <c r="I376" s="66"/>
      <c r="J376" s="66"/>
      <c r="K376" s="55"/>
      <c r="L376" s="55"/>
      <c r="M376" s="55"/>
    </row>
    <row r="377" spans="1:13" s="67" customFormat="1" x14ac:dyDescent="0.3">
      <c r="A377" s="71"/>
      <c r="B377" s="57" t="s">
        <v>725</v>
      </c>
      <c r="C377" s="78" t="s">
        <v>724</v>
      </c>
      <c r="D377" s="185">
        <f t="shared" si="2"/>
        <v>28999.999999999996</v>
      </c>
      <c r="E377" s="91"/>
      <c r="F377" s="77">
        <v>25000</v>
      </c>
      <c r="G377" s="55"/>
      <c r="H377" s="66"/>
      <c r="I377" s="66"/>
      <c r="J377" s="66"/>
      <c r="K377" s="55"/>
      <c r="L377" s="55"/>
      <c r="M377" s="55"/>
    </row>
    <row r="378" spans="1:13" s="67" customFormat="1" x14ac:dyDescent="0.3">
      <c r="A378" s="71"/>
      <c r="B378" s="57" t="s">
        <v>723</v>
      </c>
      <c r="C378" s="78"/>
      <c r="D378" s="185">
        <f t="shared" si="2"/>
        <v>19660.84</v>
      </c>
      <c r="E378" s="91"/>
      <c r="F378" s="77">
        <v>16949</v>
      </c>
      <c r="G378" s="55"/>
      <c r="H378" s="66"/>
      <c r="I378" s="66"/>
      <c r="J378" s="66"/>
      <c r="K378" s="55"/>
      <c r="L378" s="55"/>
      <c r="M378" s="55"/>
    </row>
    <row r="379" spans="1:13" s="67" customFormat="1" x14ac:dyDescent="0.3">
      <c r="A379" s="71"/>
      <c r="B379" s="57" t="s">
        <v>722</v>
      </c>
      <c r="C379" s="78" t="s">
        <v>171</v>
      </c>
      <c r="D379" s="185">
        <v>82223</v>
      </c>
      <c r="E379" s="91"/>
      <c r="F379" s="77"/>
      <c r="G379" s="55"/>
      <c r="H379" s="66"/>
      <c r="I379" s="66"/>
      <c r="J379" s="66"/>
      <c r="K379" s="55"/>
      <c r="L379" s="55"/>
      <c r="M379" s="55"/>
    </row>
    <row r="380" spans="1:13" s="67" customFormat="1" ht="31.2" x14ac:dyDescent="0.3">
      <c r="A380" s="71"/>
      <c r="B380" s="57" t="s">
        <v>721</v>
      </c>
      <c r="C380" s="78" t="s">
        <v>171</v>
      </c>
      <c r="D380" s="195">
        <v>83995</v>
      </c>
      <c r="E380" s="91"/>
      <c r="F380" s="121"/>
      <c r="G380" s="55"/>
      <c r="H380" s="66"/>
      <c r="I380" s="66"/>
      <c r="J380" s="66"/>
      <c r="K380" s="55"/>
      <c r="L380" s="55"/>
      <c r="M380" s="55"/>
    </row>
    <row r="381" spans="1:13" s="67" customFormat="1" x14ac:dyDescent="0.3">
      <c r="A381" s="71"/>
      <c r="B381" s="57" t="s">
        <v>720</v>
      </c>
      <c r="C381" s="78" t="s">
        <v>171</v>
      </c>
      <c r="D381" s="185">
        <v>9108</v>
      </c>
      <c r="E381" s="91"/>
      <c r="F381" s="121"/>
      <c r="G381" s="55"/>
      <c r="H381" s="66"/>
      <c r="I381" s="66"/>
      <c r="J381" s="66"/>
      <c r="K381" s="55"/>
      <c r="L381" s="55"/>
      <c r="M381" s="55"/>
    </row>
    <row r="382" spans="1:13" s="67" customFormat="1" x14ac:dyDescent="0.3">
      <c r="A382" s="71"/>
      <c r="B382" s="57" t="s">
        <v>719</v>
      </c>
      <c r="C382" s="78" t="s">
        <v>171</v>
      </c>
      <c r="D382" s="185">
        <v>9108</v>
      </c>
      <c r="E382" s="91"/>
      <c r="F382" s="121"/>
      <c r="G382" s="55"/>
      <c r="H382" s="66"/>
      <c r="I382" s="66"/>
      <c r="J382" s="66"/>
      <c r="K382" s="55"/>
      <c r="L382" s="55"/>
      <c r="M382" s="55"/>
    </row>
    <row r="383" spans="1:13" s="67" customFormat="1" x14ac:dyDescent="0.3">
      <c r="A383" s="71"/>
      <c r="B383" s="57" t="s">
        <v>718</v>
      </c>
      <c r="C383" s="78" t="s">
        <v>171</v>
      </c>
      <c r="D383" s="185">
        <v>78800</v>
      </c>
      <c r="E383" s="91"/>
      <c r="F383" s="121"/>
      <c r="G383" s="55"/>
      <c r="H383" s="66"/>
      <c r="I383" s="66"/>
      <c r="J383" s="66"/>
      <c r="K383" s="55"/>
      <c r="L383" s="55"/>
      <c r="M383" s="55"/>
    </row>
    <row r="384" spans="1:13" s="67" customFormat="1" x14ac:dyDescent="0.3">
      <c r="A384" s="71"/>
      <c r="B384" s="57" t="s">
        <v>717</v>
      </c>
      <c r="C384" s="78" t="s">
        <v>171</v>
      </c>
      <c r="D384" s="185">
        <v>972080</v>
      </c>
      <c r="E384" s="91"/>
      <c r="F384" s="121"/>
      <c r="G384" s="55"/>
      <c r="H384" s="66"/>
      <c r="I384" s="66"/>
      <c r="J384" s="66"/>
      <c r="K384" s="55"/>
      <c r="L384" s="55"/>
      <c r="M384" s="55"/>
    </row>
    <row r="385" spans="1:13" s="67" customFormat="1" ht="33" customHeight="1" x14ac:dyDescent="0.3">
      <c r="A385" s="71"/>
      <c r="B385" s="57" t="s">
        <v>716</v>
      </c>
      <c r="C385" s="78" t="s">
        <v>171</v>
      </c>
      <c r="D385" s="185">
        <f>+F385*1.16</f>
        <v>82360</v>
      </c>
      <c r="E385" s="91"/>
      <c r="F385" s="121">
        <v>71000</v>
      </c>
      <c r="G385" s="55"/>
      <c r="H385" s="66"/>
      <c r="I385" s="66"/>
      <c r="J385" s="66"/>
      <c r="K385" s="55"/>
      <c r="L385" s="55"/>
      <c r="M385" s="55"/>
    </row>
    <row r="386" spans="1:13" s="67" customFormat="1" x14ac:dyDescent="0.3">
      <c r="A386" s="71"/>
      <c r="B386" s="57" t="s">
        <v>715</v>
      </c>
      <c r="C386" s="78" t="s">
        <v>171</v>
      </c>
      <c r="D386" s="185">
        <v>15080</v>
      </c>
      <c r="E386" s="91"/>
      <c r="F386" s="121"/>
      <c r="G386" s="55"/>
      <c r="H386" s="66"/>
      <c r="I386" s="66"/>
      <c r="J386" s="66"/>
      <c r="K386" s="55"/>
      <c r="L386" s="55"/>
      <c r="M386" s="55"/>
    </row>
    <row r="387" spans="1:13" s="67" customFormat="1" x14ac:dyDescent="0.3">
      <c r="A387" s="71"/>
      <c r="B387" s="57" t="s">
        <v>714</v>
      </c>
      <c r="C387" s="78" t="s">
        <v>171</v>
      </c>
      <c r="D387" s="185">
        <f>+F387*1.16</f>
        <v>4640</v>
      </c>
      <c r="E387" s="91"/>
      <c r="F387" s="121">
        <v>4000</v>
      </c>
      <c r="G387" s="55"/>
      <c r="H387" s="66"/>
      <c r="I387" s="66"/>
      <c r="J387" s="66"/>
      <c r="K387" s="55"/>
      <c r="L387" s="55"/>
      <c r="M387" s="55"/>
    </row>
    <row r="388" spans="1:13" s="67" customFormat="1" x14ac:dyDescent="0.3">
      <c r="A388" s="71"/>
      <c r="B388" s="57" t="s">
        <v>713</v>
      </c>
      <c r="C388" s="78" t="s">
        <v>171</v>
      </c>
      <c r="D388" s="185">
        <v>13920</v>
      </c>
      <c r="E388" s="91"/>
      <c r="F388" s="121"/>
      <c r="G388" s="55"/>
      <c r="H388" s="66"/>
      <c r="I388" s="66"/>
      <c r="J388" s="66"/>
      <c r="K388" s="55"/>
      <c r="L388" s="55"/>
      <c r="M388" s="55"/>
    </row>
    <row r="389" spans="1:13" s="67" customFormat="1" x14ac:dyDescent="0.3">
      <c r="A389" s="71"/>
      <c r="B389" s="57" t="s">
        <v>712</v>
      </c>
      <c r="C389" s="78" t="s">
        <v>171</v>
      </c>
      <c r="D389" s="185">
        <v>6960</v>
      </c>
      <c r="E389" s="91"/>
      <c r="F389" s="121"/>
      <c r="G389" s="55"/>
      <c r="H389" s="66"/>
      <c r="I389" s="66"/>
      <c r="J389" s="66"/>
      <c r="K389" s="55"/>
      <c r="L389" s="55"/>
      <c r="M389" s="55"/>
    </row>
    <row r="390" spans="1:13" s="67" customFormat="1" x14ac:dyDescent="0.3">
      <c r="A390" s="71"/>
      <c r="B390" s="57" t="s">
        <v>711</v>
      </c>
      <c r="C390" s="78" t="s">
        <v>171</v>
      </c>
      <c r="D390" s="185">
        <v>4292</v>
      </c>
      <c r="E390" s="91"/>
      <c r="F390" s="121"/>
      <c r="G390" s="55"/>
      <c r="H390" s="66"/>
      <c r="I390" s="66"/>
      <c r="J390" s="66"/>
      <c r="K390" s="55"/>
      <c r="L390" s="55"/>
      <c r="M390" s="55"/>
    </row>
    <row r="391" spans="1:13" s="67" customFormat="1" x14ac:dyDescent="0.3">
      <c r="A391" s="71"/>
      <c r="B391" s="57" t="s">
        <v>710</v>
      </c>
      <c r="C391" s="78" t="s">
        <v>171</v>
      </c>
      <c r="D391" s="185">
        <v>5800</v>
      </c>
      <c r="E391" s="91"/>
      <c r="F391" s="121"/>
      <c r="G391" s="55"/>
      <c r="H391" s="66"/>
      <c r="I391" s="66"/>
      <c r="J391" s="66"/>
      <c r="K391" s="55"/>
      <c r="L391" s="55"/>
      <c r="M391" s="55"/>
    </row>
    <row r="392" spans="1:13" s="67" customFormat="1" x14ac:dyDescent="0.3">
      <c r="A392" s="71"/>
      <c r="B392" s="57" t="s">
        <v>709</v>
      </c>
      <c r="C392" s="78" t="s">
        <v>171</v>
      </c>
      <c r="D392" s="185">
        <v>1160</v>
      </c>
      <c r="E392" s="91"/>
      <c r="F392" s="121"/>
      <c r="G392" s="55"/>
      <c r="H392" s="66"/>
      <c r="I392" s="66"/>
      <c r="J392" s="66"/>
      <c r="K392" s="55"/>
      <c r="L392" s="55"/>
      <c r="M392" s="55"/>
    </row>
    <row r="393" spans="1:13" s="67" customFormat="1" x14ac:dyDescent="0.3">
      <c r="A393" s="71"/>
      <c r="B393" s="57" t="s">
        <v>708</v>
      </c>
      <c r="C393" s="78" t="s">
        <v>171</v>
      </c>
      <c r="D393" s="185">
        <v>1160</v>
      </c>
      <c r="E393" s="91"/>
      <c r="F393" s="121"/>
      <c r="G393" s="55"/>
      <c r="H393" s="66"/>
      <c r="I393" s="66"/>
      <c r="J393" s="66"/>
      <c r="K393" s="55"/>
      <c r="L393" s="55"/>
      <c r="M393" s="55"/>
    </row>
    <row r="394" spans="1:13" s="67" customFormat="1" x14ac:dyDescent="0.3">
      <c r="A394" s="71"/>
      <c r="B394" s="57" t="s">
        <v>707</v>
      </c>
      <c r="C394" s="78" t="s">
        <v>632</v>
      </c>
      <c r="D394" s="185">
        <v>4640</v>
      </c>
      <c r="E394" s="91"/>
      <c r="F394" s="121"/>
      <c r="G394" s="55"/>
      <c r="H394" s="66"/>
      <c r="I394" s="66"/>
      <c r="J394" s="66"/>
      <c r="K394" s="55"/>
      <c r="L394" s="55"/>
      <c r="M394" s="55"/>
    </row>
    <row r="395" spans="1:13" s="67" customFormat="1" x14ac:dyDescent="0.3">
      <c r="A395" s="71"/>
      <c r="B395" s="57" t="s">
        <v>706</v>
      </c>
      <c r="C395" s="78" t="s">
        <v>171</v>
      </c>
      <c r="D395" s="185">
        <v>1076</v>
      </c>
      <c r="E395" s="91"/>
      <c r="F395" s="121"/>
      <c r="G395" s="55"/>
      <c r="H395" s="66"/>
      <c r="I395" s="66"/>
      <c r="J395" s="66"/>
      <c r="K395" s="55"/>
      <c r="L395" s="55"/>
      <c r="M395" s="55"/>
    </row>
    <row r="396" spans="1:13" s="67" customFormat="1" x14ac:dyDescent="0.3">
      <c r="A396" s="71"/>
      <c r="B396" s="57" t="s">
        <v>705</v>
      </c>
      <c r="C396" s="78" t="s">
        <v>171</v>
      </c>
      <c r="D396" s="185">
        <v>19720</v>
      </c>
      <c r="E396" s="91"/>
      <c r="F396" s="121"/>
      <c r="G396" s="55"/>
      <c r="H396" s="66"/>
      <c r="I396" s="66"/>
      <c r="J396" s="66"/>
      <c r="K396" s="55"/>
      <c r="L396" s="55"/>
      <c r="M396" s="55"/>
    </row>
    <row r="397" spans="1:13" s="67" customFormat="1" x14ac:dyDescent="0.3">
      <c r="A397" s="71"/>
      <c r="B397" s="57" t="s">
        <v>704</v>
      </c>
      <c r="C397" s="78" t="s">
        <v>171</v>
      </c>
      <c r="D397" s="185">
        <v>15660</v>
      </c>
      <c r="E397" s="91"/>
      <c r="F397" s="121"/>
      <c r="G397" s="55"/>
      <c r="H397" s="66"/>
      <c r="I397" s="66"/>
      <c r="J397" s="66"/>
      <c r="K397" s="55"/>
      <c r="L397" s="55"/>
      <c r="M397" s="55"/>
    </row>
    <row r="398" spans="1:13" s="67" customFormat="1" x14ac:dyDescent="0.3">
      <c r="A398" s="71"/>
      <c r="B398" s="57" t="s">
        <v>703</v>
      </c>
      <c r="C398" s="78" t="s">
        <v>171</v>
      </c>
      <c r="D398" s="185">
        <v>10440</v>
      </c>
      <c r="E398" s="91"/>
      <c r="F398" s="121"/>
      <c r="G398" s="55"/>
      <c r="H398" s="66"/>
      <c r="I398" s="66"/>
      <c r="J398" s="66"/>
      <c r="K398" s="55"/>
      <c r="L398" s="55"/>
      <c r="M398" s="55"/>
    </row>
    <row r="399" spans="1:13" s="67" customFormat="1" x14ac:dyDescent="0.3">
      <c r="A399" s="71"/>
      <c r="B399" s="57" t="s">
        <v>702</v>
      </c>
      <c r="C399" s="78" t="s">
        <v>171</v>
      </c>
      <c r="D399" s="185">
        <v>20880</v>
      </c>
      <c r="E399" s="91"/>
      <c r="F399" s="121"/>
      <c r="G399" s="55"/>
      <c r="H399" s="66"/>
      <c r="I399" s="66"/>
      <c r="J399" s="66"/>
      <c r="K399" s="55"/>
      <c r="L399" s="55"/>
      <c r="M399" s="55"/>
    </row>
    <row r="400" spans="1:13" s="67" customFormat="1" x14ac:dyDescent="0.3">
      <c r="A400" s="71"/>
      <c r="B400" s="57" t="s">
        <v>688</v>
      </c>
      <c r="C400" s="78" t="s">
        <v>171</v>
      </c>
      <c r="D400" s="185">
        <v>156600</v>
      </c>
      <c r="E400" s="91"/>
      <c r="F400" s="121"/>
      <c r="G400" s="55"/>
      <c r="H400" s="66"/>
      <c r="I400" s="66"/>
      <c r="J400" s="66"/>
      <c r="K400" s="55"/>
      <c r="L400" s="55"/>
      <c r="M400" s="55"/>
    </row>
    <row r="401" spans="1:13" s="67" customFormat="1" x14ac:dyDescent="0.3">
      <c r="A401" s="71"/>
      <c r="B401" s="57" t="s">
        <v>701</v>
      </c>
      <c r="C401" s="78" t="s">
        <v>171</v>
      </c>
      <c r="D401" s="185">
        <v>11600</v>
      </c>
      <c r="E401" s="91"/>
      <c r="F401" s="121"/>
      <c r="G401" s="55"/>
      <c r="H401" s="66"/>
      <c r="I401" s="66"/>
      <c r="J401" s="66"/>
      <c r="K401" s="55"/>
      <c r="L401" s="55"/>
      <c r="M401" s="55"/>
    </row>
    <row r="402" spans="1:13" s="67" customFormat="1" x14ac:dyDescent="0.3">
      <c r="A402" s="71"/>
      <c r="B402" s="57" t="s">
        <v>700</v>
      </c>
      <c r="C402" s="78" t="s">
        <v>171</v>
      </c>
      <c r="D402" s="185">
        <v>30160</v>
      </c>
      <c r="E402" s="91"/>
      <c r="F402" s="121"/>
      <c r="G402" s="55"/>
      <c r="H402" s="66"/>
      <c r="I402" s="66"/>
      <c r="J402" s="66"/>
      <c r="K402" s="55"/>
      <c r="L402" s="55"/>
      <c r="M402" s="55"/>
    </row>
    <row r="403" spans="1:13" s="67" customFormat="1" x14ac:dyDescent="0.3">
      <c r="A403" s="71"/>
      <c r="B403" s="57" t="s">
        <v>699</v>
      </c>
      <c r="C403" s="78" t="s">
        <v>171</v>
      </c>
      <c r="D403" s="185">
        <v>58000</v>
      </c>
      <c r="E403" s="91"/>
      <c r="F403" s="121"/>
      <c r="G403" s="55"/>
      <c r="H403" s="66"/>
      <c r="I403" s="66"/>
      <c r="J403" s="66"/>
      <c r="K403" s="55"/>
      <c r="L403" s="55"/>
      <c r="M403" s="55"/>
    </row>
    <row r="404" spans="1:13" s="67" customFormat="1" x14ac:dyDescent="0.3">
      <c r="A404" s="71"/>
      <c r="B404" s="57" t="s">
        <v>698</v>
      </c>
      <c r="C404" s="78" t="s">
        <v>171</v>
      </c>
      <c r="D404" s="185">
        <v>40600</v>
      </c>
      <c r="E404" s="91"/>
      <c r="F404" s="121"/>
      <c r="G404" s="55"/>
      <c r="H404" s="66"/>
      <c r="I404" s="66"/>
      <c r="J404" s="66"/>
      <c r="K404" s="55"/>
      <c r="L404" s="55"/>
      <c r="M404" s="55"/>
    </row>
    <row r="405" spans="1:13" s="67" customFormat="1" x14ac:dyDescent="0.3">
      <c r="A405" s="71"/>
      <c r="B405" s="57" t="s">
        <v>697</v>
      </c>
      <c r="C405" s="78" t="s">
        <v>171</v>
      </c>
      <c r="D405" s="185">
        <v>29154</v>
      </c>
      <c r="E405" s="91"/>
      <c r="F405" s="121"/>
      <c r="G405" s="55"/>
      <c r="H405" s="66"/>
      <c r="I405" s="66"/>
      <c r="J405" s="66"/>
      <c r="K405" s="55"/>
      <c r="L405" s="55"/>
      <c r="M405" s="55"/>
    </row>
    <row r="406" spans="1:13" s="67" customFormat="1" x14ac:dyDescent="0.3">
      <c r="A406" s="71"/>
      <c r="B406" s="57" t="s">
        <v>696</v>
      </c>
      <c r="C406" s="78" t="s">
        <v>171</v>
      </c>
      <c r="D406" s="185">
        <v>181722</v>
      </c>
      <c r="E406" s="91"/>
      <c r="F406" s="121"/>
      <c r="G406" s="55"/>
      <c r="H406" s="66"/>
      <c r="I406" s="66"/>
      <c r="J406" s="66"/>
      <c r="K406" s="55"/>
      <c r="L406" s="55"/>
      <c r="M406" s="55"/>
    </row>
    <row r="407" spans="1:13" s="67" customFormat="1" x14ac:dyDescent="0.3">
      <c r="A407" s="71"/>
      <c r="B407" s="57" t="s">
        <v>695</v>
      </c>
      <c r="C407" s="78" t="s">
        <v>171</v>
      </c>
      <c r="D407" s="185">
        <v>65133</v>
      </c>
      <c r="E407" s="96"/>
      <c r="F407" s="121"/>
      <c r="G407" s="55"/>
      <c r="H407" s="66"/>
      <c r="I407" s="66"/>
      <c r="J407" s="66"/>
      <c r="K407" s="55"/>
      <c r="L407" s="55"/>
      <c r="M407" s="55"/>
    </row>
    <row r="408" spans="1:13" s="67" customFormat="1" x14ac:dyDescent="0.3">
      <c r="A408" s="71"/>
      <c r="B408" s="57" t="s">
        <v>694</v>
      </c>
      <c r="C408" s="78" t="s">
        <v>171</v>
      </c>
      <c r="D408" s="185">
        <v>3828</v>
      </c>
      <c r="E408" s="91"/>
      <c r="F408" s="121"/>
      <c r="G408" s="55"/>
      <c r="H408" s="66"/>
      <c r="I408" s="66"/>
      <c r="J408" s="66"/>
      <c r="K408" s="55"/>
      <c r="L408" s="55"/>
      <c r="M408" s="55"/>
    </row>
    <row r="409" spans="1:13" s="67" customFormat="1" x14ac:dyDescent="0.3">
      <c r="A409" s="71"/>
      <c r="B409" s="57" t="s">
        <v>693</v>
      </c>
      <c r="C409" s="78" t="s">
        <v>171</v>
      </c>
      <c r="D409" s="185">
        <v>124120</v>
      </c>
      <c r="E409" s="91"/>
      <c r="F409" s="121"/>
      <c r="G409" s="55"/>
      <c r="H409" s="66"/>
      <c r="I409" s="66"/>
      <c r="J409" s="66"/>
      <c r="K409" s="55"/>
      <c r="L409" s="55"/>
      <c r="M409" s="55"/>
    </row>
    <row r="410" spans="1:13" s="67" customFormat="1" x14ac:dyDescent="0.3">
      <c r="A410" s="71"/>
      <c r="B410" s="57" t="s">
        <v>692</v>
      </c>
      <c r="C410" s="78" t="s">
        <v>171</v>
      </c>
      <c r="D410" s="185">
        <v>163560</v>
      </c>
      <c r="E410" s="91"/>
      <c r="F410" s="121"/>
      <c r="G410" s="55"/>
      <c r="H410" s="66"/>
      <c r="I410" s="66"/>
      <c r="J410" s="66"/>
      <c r="K410" s="55"/>
      <c r="L410" s="55"/>
      <c r="M410" s="55"/>
    </row>
    <row r="411" spans="1:13" s="67" customFormat="1" x14ac:dyDescent="0.3">
      <c r="A411" s="71"/>
      <c r="B411" s="57" t="s">
        <v>691</v>
      </c>
      <c r="C411" s="78" t="s">
        <v>690</v>
      </c>
      <c r="D411" s="185">
        <f>+F411*1.16</f>
        <v>18560</v>
      </c>
      <c r="E411" s="91"/>
      <c r="F411" s="121">
        <v>16000</v>
      </c>
      <c r="G411" s="55"/>
      <c r="H411" s="66"/>
      <c r="I411" s="66"/>
      <c r="J411" s="66"/>
      <c r="K411" s="55"/>
      <c r="L411" s="55"/>
      <c r="M411" s="55"/>
    </row>
    <row r="412" spans="1:13" s="67" customFormat="1" x14ac:dyDescent="0.3">
      <c r="A412" s="71"/>
      <c r="B412" s="57" t="s">
        <v>689</v>
      </c>
      <c r="C412" s="78" t="s">
        <v>171</v>
      </c>
      <c r="D412" s="185">
        <f>+F412*1.16</f>
        <v>316680</v>
      </c>
      <c r="E412" s="91"/>
      <c r="F412" s="121">
        <v>273000</v>
      </c>
      <c r="G412" s="55"/>
      <c r="H412" s="66"/>
      <c r="I412" s="66"/>
      <c r="J412" s="66"/>
      <c r="K412" s="55"/>
      <c r="L412" s="55"/>
      <c r="M412" s="55"/>
    </row>
    <row r="413" spans="1:13" s="67" customFormat="1" x14ac:dyDescent="0.3">
      <c r="A413" s="71"/>
      <c r="B413" s="57" t="s">
        <v>688</v>
      </c>
      <c r="C413" s="78" t="s">
        <v>171</v>
      </c>
      <c r="D413" s="185">
        <f>+F413*1.16</f>
        <v>133400</v>
      </c>
      <c r="E413" s="91"/>
      <c r="F413" s="121">
        <v>115000</v>
      </c>
      <c r="G413" s="55"/>
      <c r="H413" s="66"/>
      <c r="I413" s="66"/>
      <c r="J413" s="66"/>
      <c r="K413" s="55"/>
      <c r="L413" s="55"/>
      <c r="M413" s="55"/>
    </row>
    <row r="414" spans="1:13" s="67" customFormat="1" x14ac:dyDescent="0.3">
      <c r="A414" s="71"/>
      <c r="B414" s="57" t="s">
        <v>687</v>
      </c>
      <c r="C414" s="78" t="s">
        <v>171</v>
      </c>
      <c r="D414" s="185">
        <v>133400</v>
      </c>
      <c r="E414" s="91"/>
      <c r="F414" s="121">
        <v>110000</v>
      </c>
      <c r="G414" s="55"/>
      <c r="H414" s="66"/>
      <c r="I414" s="66"/>
      <c r="J414" s="66"/>
      <c r="K414" s="55"/>
      <c r="L414" s="55"/>
      <c r="M414" s="55"/>
    </row>
    <row r="415" spans="1:13" s="67" customFormat="1" x14ac:dyDescent="0.3">
      <c r="A415" s="71"/>
      <c r="B415" s="57" t="s">
        <v>686</v>
      </c>
      <c r="C415" s="78" t="s">
        <v>685</v>
      </c>
      <c r="D415" s="185">
        <v>406000</v>
      </c>
      <c r="E415" s="91"/>
      <c r="F415" s="77"/>
      <c r="G415" s="55"/>
      <c r="H415" s="66"/>
      <c r="I415" s="66"/>
      <c r="J415" s="66"/>
      <c r="K415" s="55"/>
      <c r="L415" s="55"/>
      <c r="M415" s="55"/>
    </row>
    <row r="416" spans="1:13" ht="31.2" x14ac:dyDescent="0.3">
      <c r="B416" s="57" t="s">
        <v>684</v>
      </c>
      <c r="C416" s="78" t="s">
        <v>171</v>
      </c>
      <c r="D416" s="185">
        <v>169221.379648</v>
      </c>
      <c r="E416" s="91"/>
      <c r="F416" s="77"/>
    </row>
    <row r="417" spans="1:13" x14ac:dyDescent="0.3">
      <c r="B417" s="57" t="s">
        <v>683</v>
      </c>
      <c r="C417" s="78" t="s">
        <v>171</v>
      </c>
      <c r="D417" s="185"/>
      <c r="E417" s="91"/>
      <c r="F417" s="77"/>
    </row>
    <row r="418" spans="1:13" x14ac:dyDescent="0.3">
      <c r="B418" s="57" t="s">
        <v>682</v>
      </c>
      <c r="C418" s="78" t="s">
        <v>171</v>
      </c>
      <c r="D418" s="185"/>
      <c r="E418" s="91"/>
      <c r="F418" s="77"/>
    </row>
    <row r="419" spans="1:13" x14ac:dyDescent="0.3">
      <c r="B419" s="57" t="s">
        <v>681</v>
      </c>
      <c r="C419" s="78" t="s">
        <v>171</v>
      </c>
      <c r="D419" s="185"/>
      <c r="E419" s="91"/>
      <c r="F419" s="77"/>
    </row>
    <row r="420" spans="1:13" x14ac:dyDescent="0.3">
      <c r="B420" s="57" t="s">
        <v>680</v>
      </c>
      <c r="C420" s="78" t="s">
        <v>84</v>
      </c>
      <c r="D420" s="185">
        <f>+F420*1.16</f>
        <v>57999.999999999993</v>
      </c>
      <c r="E420" s="91"/>
      <c r="F420" s="77">
        <v>50000</v>
      </c>
    </row>
    <row r="421" spans="1:13" ht="31.2" x14ac:dyDescent="0.3">
      <c r="B421" s="57" t="s">
        <v>679</v>
      </c>
      <c r="C421" s="78" t="s">
        <v>171</v>
      </c>
      <c r="D421" s="185"/>
      <c r="E421" s="91"/>
      <c r="F421" s="77"/>
    </row>
    <row r="422" spans="1:13" s="67" customFormat="1" ht="31.2" x14ac:dyDescent="0.3">
      <c r="A422" s="71"/>
      <c r="B422" s="57" t="s">
        <v>678</v>
      </c>
      <c r="C422" s="78" t="s">
        <v>171</v>
      </c>
      <c r="D422" s="185"/>
      <c r="E422" s="91"/>
      <c r="F422" s="77"/>
      <c r="G422" s="55"/>
      <c r="H422" s="66"/>
      <c r="I422" s="66"/>
      <c r="J422" s="66"/>
      <c r="K422" s="55"/>
      <c r="L422" s="55"/>
      <c r="M422" s="55"/>
    </row>
    <row r="423" spans="1:13" s="67" customFormat="1" x14ac:dyDescent="0.3">
      <c r="A423" s="71"/>
      <c r="B423" s="57" t="s">
        <v>677</v>
      </c>
      <c r="C423" s="78" t="s">
        <v>171</v>
      </c>
      <c r="D423" s="185">
        <v>24583300</v>
      </c>
      <c r="E423" s="91"/>
      <c r="F423" s="77"/>
      <c r="G423" s="56"/>
      <c r="H423" s="66"/>
      <c r="I423" s="66"/>
      <c r="J423" s="66"/>
      <c r="K423" s="55"/>
      <c r="L423" s="55"/>
      <c r="M423" s="55"/>
    </row>
    <row r="424" spans="1:13" s="67" customFormat="1" x14ac:dyDescent="0.3">
      <c r="A424" s="71"/>
      <c r="B424" s="57" t="s">
        <v>676</v>
      </c>
      <c r="C424" s="78" t="s">
        <v>171</v>
      </c>
      <c r="D424" s="185">
        <f>+F424*1.16</f>
        <v>0</v>
      </c>
      <c r="E424" s="91"/>
      <c r="F424" s="121"/>
      <c r="G424" s="56"/>
      <c r="H424" s="66"/>
      <c r="I424" s="66"/>
      <c r="J424" s="66"/>
      <c r="K424" s="55"/>
      <c r="L424" s="55"/>
      <c r="M424" s="55"/>
    </row>
    <row r="425" spans="1:13" s="67" customFormat="1" x14ac:dyDescent="0.3">
      <c r="A425" s="71"/>
      <c r="B425" s="57" t="s">
        <v>675</v>
      </c>
      <c r="C425" s="78" t="s">
        <v>171</v>
      </c>
      <c r="D425" s="185">
        <v>2621832</v>
      </c>
      <c r="E425" s="91"/>
      <c r="F425" s="121"/>
      <c r="G425" s="56"/>
      <c r="H425" s="66"/>
      <c r="I425" s="66"/>
      <c r="J425" s="66"/>
      <c r="K425" s="55"/>
      <c r="L425" s="55"/>
      <c r="M425" s="55"/>
    </row>
    <row r="426" spans="1:13" s="67" customFormat="1" x14ac:dyDescent="0.3">
      <c r="A426" s="71"/>
      <c r="B426" s="57" t="s">
        <v>674</v>
      </c>
      <c r="C426" s="78" t="s">
        <v>171</v>
      </c>
      <c r="D426" s="185">
        <v>3028296</v>
      </c>
      <c r="E426" s="91"/>
      <c r="F426" s="121"/>
      <c r="G426" s="56"/>
      <c r="H426" s="66"/>
      <c r="I426" s="66"/>
      <c r="J426" s="66"/>
      <c r="K426" s="55"/>
      <c r="L426" s="55"/>
      <c r="M426" s="55"/>
    </row>
    <row r="427" spans="1:13" s="67" customFormat="1" x14ac:dyDescent="0.3">
      <c r="A427" s="71"/>
      <c r="B427" s="57" t="s">
        <v>673</v>
      </c>
      <c r="C427" s="78" t="s">
        <v>171</v>
      </c>
      <c r="D427" s="185">
        <v>3846095.9999999995</v>
      </c>
      <c r="E427" s="84"/>
      <c r="F427" s="121"/>
      <c r="G427" s="56"/>
      <c r="H427" s="66"/>
      <c r="I427" s="66"/>
      <c r="J427" s="66"/>
      <c r="K427" s="55"/>
      <c r="L427" s="55"/>
      <c r="M427" s="55"/>
    </row>
    <row r="428" spans="1:13" s="67" customFormat="1" x14ac:dyDescent="0.3">
      <c r="A428" s="71"/>
      <c r="B428" s="57" t="s">
        <v>672</v>
      </c>
      <c r="C428" s="78" t="s">
        <v>171</v>
      </c>
      <c r="D428" s="185">
        <v>4965960</v>
      </c>
      <c r="E428" s="91"/>
      <c r="F428" s="121"/>
      <c r="G428" s="56"/>
      <c r="H428" s="66"/>
      <c r="I428" s="66"/>
      <c r="J428" s="66"/>
      <c r="K428" s="55"/>
      <c r="L428" s="55"/>
      <c r="M428" s="55"/>
    </row>
    <row r="429" spans="1:13" s="67" customFormat="1" x14ac:dyDescent="0.3">
      <c r="A429" s="71"/>
      <c r="B429" s="57" t="s">
        <v>671</v>
      </c>
      <c r="C429" s="78" t="s">
        <v>171</v>
      </c>
      <c r="D429" s="185">
        <v>5972376</v>
      </c>
      <c r="E429" s="91"/>
      <c r="F429" s="121"/>
      <c r="G429" s="56"/>
      <c r="H429" s="66"/>
      <c r="I429" s="66"/>
      <c r="J429" s="66"/>
      <c r="K429" s="55"/>
      <c r="L429" s="55"/>
      <c r="M429" s="55"/>
    </row>
    <row r="430" spans="1:13" s="67" customFormat="1" x14ac:dyDescent="0.3">
      <c r="A430" s="71"/>
      <c r="B430" s="57" t="s">
        <v>670</v>
      </c>
      <c r="C430" s="78" t="s">
        <v>171</v>
      </c>
      <c r="D430" s="185">
        <v>7831391.9999999991</v>
      </c>
      <c r="E430" s="91"/>
      <c r="F430" s="121"/>
      <c r="G430" s="56"/>
      <c r="H430" s="66"/>
      <c r="I430" s="66"/>
      <c r="J430" s="66"/>
      <c r="K430" s="55"/>
      <c r="L430" s="55"/>
      <c r="M430" s="55"/>
    </row>
    <row r="431" spans="1:13" s="67" customFormat="1" x14ac:dyDescent="0.3">
      <c r="A431" s="71"/>
      <c r="B431" s="57" t="s">
        <v>669</v>
      </c>
      <c r="C431" s="78" t="s">
        <v>171</v>
      </c>
      <c r="D431" s="185"/>
      <c r="E431" s="91"/>
      <c r="F431" s="121"/>
      <c r="G431" s="56"/>
      <c r="H431" s="66"/>
      <c r="I431" s="66"/>
      <c r="J431" s="66"/>
      <c r="K431" s="55"/>
      <c r="L431" s="55"/>
      <c r="M431" s="55"/>
    </row>
    <row r="432" spans="1:13" s="67" customFormat="1" x14ac:dyDescent="0.3">
      <c r="A432" s="71"/>
      <c r="B432" s="57" t="s">
        <v>668</v>
      </c>
      <c r="C432" s="78" t="s">
        <v>171</v>
      </c>
      <c r="D432" s="185">
        <v>5621824</v>
      </c>
      <c r="E432" s="91"/>
      <c r="F432" s="121"/>
      <c r="G432" s="56"/>
      <c r="H432" s="66"/>
      <c r="I432" s="66"/>
      <c r="J432" s="66"/>
      <c r="K432" s="55"/>
      <c r="L432" s="55"/>
      <c r="M432" s="55"/>
    </row>
    <row r="433" spans="1:13" s="67" customFormat="1" x14ac:dyDescent="0.3">
      <c r="A433" s="71"/>
      <c r="B433" s="57" t="s">
        <v>660</v>
      </c>
      <c r="C433" s="78" t="s">
        <v>171</v>
      </c>
      <c r="D433" s="185">
        <v>6824453.9999999991</v>
      </c>
      <c r="E433" s="91"/>
      <c r="F433" s="121"/>
      <c r="G433" s="56"/>
      <c r="H433" s="66"/>
      <c r="I433" s="66"/>
      <c r="J433" s="66"/>
      <c r="K433" s="55"/>
      <c r="L433" s="55"/>
      <c r="M433" s="55"/>
    </row>
    <row r="434" spans="1:13" s="67" customFormat="1" x14ac:dyDescent="0.3">
      <c r="A434" s="71"/>
      <c r="B434" s="57" t="s">
        <v>667</v>
      </c>
      <c r="C434" s="78" t="s">
        <v>171</v>
      </c>
      <c r="D434" s="185">
        <v>7720959.9999999991</v>
      </c>
      <c r="E434" s="91"/>
      <c r="F434" s="121"/>
      <c r="G434" s="56"/>
      <c r="H434" s="66"/>
      <c r="I434" s="66"/>
      <c r="J434" s="66"/>
      <c r="K434" s="55"/>
      <c r="L434" s="55"/>
      <c r="M434" s="55"/>
    </row>
    <row r="435" spans="1:13" s="67" customFormat="1" x14ac:dyDescent="0.3">
      <c r="A435" s="71"/>
      <c r="B435" s="57" t="s">
        <v>661</v>
      </c>
      <c r="C435" s="78" t="s">
        <v>171</v>
      </c>
      <c r="D435" s="185">
        <v>9671500</v>
      </c>
      <c r="E435" s="91"/>
      <c r="F435" s="121"/>
      <c r="G435" s="56"/>
      <c r="H435" s="66"/>
      <c r="I435" s="66"/>
      <c r="J435" s="66"/>
      <c r="K435" s="55"/>
      <c r="L435" s="55"/>
      <c r="M435" s="55"/>
    </row>
    <row r="436" spans="1:13" s="67" customFormat="1" x14ac:dyDescent="0.3">
      <c r="A436" s="71"/>
      <c r="B436" s="57" t="s">
        <v>666</v>
      </c>
      <c r="C436" s="78" t="s">
        <v>171</v>
      </c>
      <c r="D436" s="185">
        <v>12772180</v>
      </c>
      <c r="E436" s="91"/>
      <c r="F436" s="121"/>
      <c r="G436" s="56"/>
      <c r="H436" s="66"/>
      <c r="I436" s="66"/>
      <c r="J436" s="66"/>
      <c r="K436" s="55"/>
      <c r="L436" s="55"/>
      <c r="M436" s="55"/>
    </row>
    <row r="437" spans="1:13" s="67" customFormat="1" x14ac:dyDescent="0.3">
      <c r="A437" s="71"/>
      <c r="B437" s="57" t="s">
        <v>665</v>
      </c>
      <c r="C437" s="78" t="s">
        <v>171</v>
      </c>
      <c r="D437" s="185">
        <v>15021999.999999998</v>
      </c>
      <c r="E437" s="91"/>
      <c r="F437" s="121"/>
      <c r="G437" s="56"/>
      <c r="H437" s="66"/>
      <c r="I437" s="66"/>
      <c r="J437" s="66"/>
      <c r="K437" s="55"/>
      <c r="L437" s="55"/>
      <c r="M437" s="55"/>
    </row>
    <row r="438" spans="1:13" s="67" customFormat="1" x14ac:dyDescent="0.3">
      <c r="A438" s="71"/>
      <c r="B438" s="57" t="s">
        <v>664</v>
      </c>
      <c r="C438" s="78" t="s">
        <v>171</v>
      </c>
      <c r="D438" s="185">
        <v>20921760</v>
      </c>
      <c r="E438" s="91"/>
      <c r="F438" s="121"/>
      <c r="G438" s="56"/>
      <c r="H438" s="66"/>
      <c r="I438" s="66"/>
      <c r="J438" s="66"/>
      <c r="K438" s="55"/>
      <c r="L438" s="55"/>
      <c r="M438" s="55"/>
    </row>
    <row r="439" spans="1:13" s="67" customFormat="1" x14ac:dyDescent="0.3">
      <c r="A439" s="71"/>
      <c r="B439" s="57" t="s">
        <v>663</v>
      </c>
      <c r="C439" s="78" t="s">
        <v>171</v>
      </c>
      <c r="D439" s="185">
        <v>24583300</v>
      </c>
      <c r="E439" s="91"/>
      <c r="F439" s="121"/>
      <c r="G439" s="56"/>
      <c r="H439" s="66"/>
      <c r="I439" s="66"/>
      <c r="J439" s="66"/>
      <c r="K439" s="55"/>
      <c r="L439" s="55"/>
      <c r="M439" s="55"/>
    </row>
    <row r="440" spans="1:13" s="67" customFormat="1" x14ac:dyDescent="0.3">
      <c r="A440" s="71"/>
      <c r="B440" s="57" t="s">
        <v>662</v>
      </c>
      <c r="C440" s="78" t="s">
        <v>171</v>
      </c>
      <c r="D440" s="185">
        <f>+F440*1.16</f>
        <v>290000</v>
      </c>
      <c r="E440" s="91"/>
      <c r="F440" s="77">
        <v>250000</v>
      </c>
      <c r="G440" s="55"/>
      <c r="H440" s="66"/>
      <c r="I440" s="66"/>
      <c r="J440" s="66"/>
      <c r="K440" s="55"/>
      <c r="L440" s="55"/>
      <c r="M440" s="55"/>
    </row>
    <row r="441" spans="1:13" s="67" customFormat="1" x14ac:dyDescent="0.3">
      <c r="A441" s="71"/>
      <c r="B441" s="57" t="s">
        <v>661</v>
      </c>
      <c r="C441" s="86" t="s">
        <v>171</v>
      </c>
      <c r="D441" s="185">
        <v>9671500</v>
      </c>
      <c r="E441" s="91"/>
      <c r="F441" s="121"/>
      <c r="G441" s="55"/>
      <c r="H441" s="66"/>
      <c r="I441" s="66"/>
      <c r="J441" s="66"/>
      <c r="K441" s="55"/>
      <c r="L441" s="55"/>
      <c r="M441" s="55"/>
    </row>
    <row r="442" spans="1:13" s="67" customFormat="1" x14ac:dyDescent="0.3">
      <c r="A442" s="71"/>
      <c r="B442" s="57" t="s">
        <v>660</v>
      </c>
      <c r="C442" s="86" t="s">
        <v>171</v>
      </c>
      <c r="D442" s="185">
        <v>6824453.9999999991</v>
      </c>
      <c r="E442" s="91"/>
      <c r="F442" s="121">
        <v>5800000</v>
      </c>
      <c r="G442" s="55"/>
      <c r="H442" s="66"/>
      <c r="I442" s="66"/>
      <c r="J442" s="66"/>
      <c r="K442" s="55"/>
      <c r="L442" s="55"/>
      <c r="M442" s="55"/>
    </row>
    <row r="443" spans="1:13" s="67" customFormat="1" x14ac:dyDescent="0.3">
      <c r="A443" s="71"/>
      <c r="B443" s="57" t="s">
        <v>659</v>
      </c>
      <c r="C443" s="78" t="s">
        <v>171</v>
      </c>
      <c r="D443" s="185">
        <v>5800</v>
      </c>
      <c r="E443" s="91"/>
      <c r="F443" s="77"/>
      <c r="G443" s="55"/>
      <c r="H443" s="66"/>
      <c r="I443" s="66"/>
      <c r="J443" s="66"/>
      <c r="K443" s="55"/>
      <c r="L443" s="55"/>
      <c r="M443" s="55"/>
    </row>
    <row r="444" spans="1:13" s="67" customFormat="1" ht="31.2" x14ac:dyDescent="0.3">
      <c r="A444" s="71"/>
      <c r="B444" s="57" t="s">
        <v>658</v>
      </c>
      <c r="C444" s="78" t="s">
        <v>72</v>
      </c>
      <c r="D444" s="185">
        <f>+F444*1.16</f>
        <v>152192</v>
      </c>
      <c r="E444" s="91"/>
      <c r="F444" s="77">
        <v>131200</v>
      </c>
      <c r="G444" s="55"/>
      <c r="H444" s="66"/>
      <c r="I444" s="66"/>
      <c r="J444" s="66"/>
      <c r="K444" s="55"/>
      <c r="L444" s="55"/>
      <c r="M444" s="55"/>
    </row>
    <row r="445" spans="1:13" s="67" customFormat="1" x14ac:dyDescent="0.3">
      <c r="A445" s="71"/>
      <c r="B445" s="57" t="s">
        <v>657</v>
      </c>
      <c r="C445" s="78" t="s">
        <v>171</v>
      </c>
      <c r="D445" s="185"/>
      <c r="E445" s="91"/>
      <c r="F445" s="77"/>
      <c r="G445" s="55"/>
      <c r="H445" s="66"/>
      <c r="I445" s="66"/>
      <c r="J445" s="66"/>
      <c r="K445" s="55"/>
      <c r="L445" s="55"/>
      <c r="M445" s="55"/>
    </row>
    <row r="446" spans="1:13" s="67" customFormat="1" x14ac:dyDescent="0.3">
      <c r="A446" s="71"/>
      <c r="B446" s="57" t="s">
        <v>656</v>
      </c>
      <c r="C446" s="78" t="s">
        <v>171</v>
      </c>
      <c r="D446" s="185">
        <f>+F446*1.16</f>
        <v>0</v>
      </c>
      <c r="E446" s="91"/>
      <c r="F446" s="92"/>
      <c r="G446" s="55"/>
      <c r="H446" s="66"/>
      <c r="I446" s="66"/>
      <c r="J446" s="66"/>
      <c r="K446" s="55"/>
      <c r="L446" s="55"/>
      <c r="M446" s="55"/>
    </row>
    <row r="447" spans="1:13" s="67" customFormat="1" x14ac:dyDescent="0.3">
      <c r="A447" s="71"/>
      <c r="B447" s="57" t="s">
        <v>655</v>
      </c>
      <c r="C447" s="78" t="s">
        <v>171</v>
      </c>
      <c r="D447" s="185"/>
      <c r="E447" s="91"/>
      <c r="F447" s="77"/>
      <c r="G447" s="55"/>
      <c r="H447" s="66"/>
      <c r="I447" s="66"/>
      <c r="J447" s="66"/>
      <c r="K447" s="55"/>
      <c r="L447" s="55"/>
      <c r="M447" s="55"/>
    </row>
    <row r="448" spans="1:13" s="67" customFormat="1" x14ac:dyDescent="0.3">
      <c r="A448" s="71"/>
      <c r="B448" s="57" t="s">
        <v>654</v>
      </c>
      <c r="C448" s="78" t="s">
        <v>171</v>
      </c>
      <c r="D448" s="185">
        <f t="shared" ref="D448:D456" si="3">+F448*1.16</f>
        <v>0</v>
      </c>
      <c r="E448" s="91"/>
      <c r="F448" s="121"/>
      <c r="G448" s="55"/>
      <c r="H448" s="66"/>
      <c r="I448" s="66"/>
      <c r="J448" s="66"/>
      <c r="K448" s="55"/>
      <c r="L448" s="55"/>
      <c r="M448" s="55"/>
    </row>
    <row r="449" spans="1:13" s="67" customFormat="1" x14ac:dyDescent="0.3">
      <c r="A449" s="71"/>
      <c r="B449" s="57" t="s">
        <v>653</v>
      </c>
      <c r="C449" s="78" t="s">
        <v>171</v>
      </c>
      <c r="D449" s="185">
        <f t="shared" si="3"/>
        <v>0</v>
      </c>
      <c r="E449" s="91"/>
      <c r="F449" s="121"/>
      <c r="G449" s="55"/>
      <c r="H449" s="66"/>
      <c r="I449" s="66"/>
      <c r="J449" s="66"/>
      <c r="K449" s="55"/>
      <c r="L449" s="55"/>
      <c r="M449" s="55"/>
    </row>
    <row r="450" spans="1:13" s="67" customFormat="1" x14ac:dyDescent="0.3">
      <c r="A450" s="71"/>
      <c r="B450" s="57" t="s">
        <v>652</v>
      </c>
      <c r="C450" s="78" t="s">
        <v>171</v>
      </c>
      <c r="D450" s="185">
        <f t="shared" si="3"/>
        <v>0</v>
      </c>
      <c r="E450" s="91"/>
      <c r="F450" s="121"/>
      <c r="G450" s="55"/>
      <c r="H450" s="66"/>
      <c r="I450" s="66"/>
      <c r="J450" s="66"/>
      <c r="K450" s="55"/>
      <c r="L450" s="55"/>
      <c r="M450" s="55"/>
    </row>
    <row r="451" spans="1:13" s="67" customFormat="1" x14ac:dyDescent="0.3">
      <c r="A451" s="71"/>
      <c r="B451" s="57" t="s">
        <v>651</v>
      </c>
      <c r="C451" s="78" t="s">
        <v>171</v>
      </c>
      <c r="D451" s="185">
        <f t="shared" si="3"/>
        <v>0</v>
      </c>
      <c r="E451" s="91"/>
      <c r="F451" s="121"/>
      <c r="G451" s="55"/>
      <c r="H451" s="66"/>
      <c r="I451" s="66"/>
      <c r="J451" s="66"/>
      <c r="K451" s="55"/>
      <c r="L451" s="55"/>
      <c r="M451" s="55"/>
    </row>
    <row r="452" spans="1:13" s="67" customFormat="1" x14ac:dyDescent="0.3">
      <c r="A452" s="71"/>
      <c r="B452" s="57" t="s">
        <v>650</v>
      </c>
      <c r="C452" s="78" t="s">
        <v>171</v>
      </c>
      <c r="D452" s="185">
        <f t="shared" si="3"/>
        <v>0</v>
      </c>
      <c r="E452" s="91"/>
      <c r="F452" s="121"/>
      <c r="G452" s="55"/>
      <c r="H452" s="66"/>
      <c r="I452" s="66"/>
      <c r="J452" s="66"/>
      <c r="K452" s="55"/>
      <c r="L452" s="55"/>
      <c r="M452" s="55"/>
    </row>
    <row r="453" spans="1:13" s="67" customFormat="1" x14ac:dyDescent="0.3">
      <c r="A453" s="71"/>
      <c r="B453" s="57" t="s">
        <v>649</v>
      </c>
      <c r="C453" s="78" t="s">
        <v>171</v>
      </c>
      <c r="D453" s="185">
        <f t="shared" si="3"/>
        <v>0</v>
      </c>
      <c r="E453" s="91"/>
      <c r="F453" s="121"/>
      <c r="G453" s="55"/>
      <c r="H453" s="66"/>
      <c r="I453" s="66"/>
      <c r="J453" s="66"/>
      <c r="K453" s="55"/>
      <c r="L453" s="55"/>
      <c r="M453" s="55"/>
    </row>
    <row r="454" spans="1:13" s="67" customFormat="1" x14ac:dyDescent="0.3">
      <c r="A454" s="71"/>
      <c r="B454" s="57" t="s">
        <v>648</v>
      </c>
      <c r="C454" s="78" t="s">
        <v>171</v>
      </c>
      <c r="D454" s="185">
        <f t="shared" si="3"/>
        <v>0</v>
      </c>
      <c r="E454" s="91"/>
      <c r="F454" s="77"/>
      <c r="G454" s="55"/>
      <c r="H454" s="66"/>
      <c r="I454" s="66"/>
      <c r="J454" s="66"/>
      <c r="K454" s="55"/>
      <c r="L454" s="55"/>
      <c r="M454" s="55"/>
    </row>
    <row r="455" spans="1:13" s="67" customFormat="1" x14ac:dyDescent="0.3">
      <c r="A455" s="71"/>
      <c r="B455" s="57" t="s">
        <v>647</v>
      </c>
      <c r="C455" s="78" t="s">
        <v>171</v>
      </c>
      <c r="D455" s="185">
        <f t="shared" si="3"/>
        <v>0</v>
      </c>
      <c r="E455" s="91"/>
      <c r="F455" s="121"/>
      <c r="G455" s="55"/>
      <c r="H455" s="66"/>
      <c r="I455" s="66"/>
      <c r="J455" s="66"/>
      <c r="K455" s="55"/>
      <c r="L455" s="55"/>
      <c r="M455" s="55"/>
    </row>
    <row r="456" spans="1:13" s="67" customFormat="1" x14ac:dyDescent="0.3">
      <c r="A456" s="71"/>
      <c r="B456" s="57" t="s">
        <v>646</v>
      </c>
      <c r="C456" s="78" t="s">
        <v>171</v>
      </c>
      <c r="D456" s="185">
        <f t="shared" si="3"/>
        <v>0</v>
      </c>
      <c r="E456" s="91"/>
      <c r="F456" s="121"/>
      <c r="G456" s="55"/>
      <c r="H456" s="66"/>
      <c r="I456" s="66"/>
      <c r="J456" s="66"/>
      <c r="K456" s="55"/>
      <c r="L456" s="55"/>
      <c r="M456" s="55"/>
    </row>
    <row r="457" spans="1:13" s="67" customFormat="1" x14ac:dyDescent="0.3">
      <c r="A457" s="71"/>
      <c r="B457" s="57" t="s">
        <v>642</v>
      </c>
      <c r="C457" s="78" t="s">
        <v>171</v>
      </c>
      <c r="D457" s="185">
        <v>353800</v>
      </c>
      <c r="E457" s="91"/>
      <c r="F457" s="121"/>
      <c r="G457" s="55"/>
      <c r="H457" s="66"/>
      <c r="I457" s="66"/>
      <c r="J457" s="66"/>
      <c r="K457" s="55"/>
      <c r="L457" s="55"/>
      <c r="M457" s="55"/>
    </row>
    <row r="458" spans="1:13" s="67" customFormat="1" x14ac:dyDescent="0.3">
      <c r="A458" s="71"/>
      <c r="B458" s="57" t="s">
        <v>645</v>
      </c>
      <c r="C458" s="78" t="s">
        <v>171</v>
      </c>
      <c r="D458" s="185">
        <v>13340</v>
      </c>
      <c r="E458" s="91"/>
      <c r="F458" s="121"/>
      <c r="G458" s="55"/>
      <c r="H458" s="66"/>
      <c r="I458" s="66"/>
      <c r="J458" s="66"/>
      <c r="K458" s="55"/>
      <c r="L458" s="55"/>
      <c r="M458" s="55"/>
    </row>
    <row r="459" spans="1:13" s="67" customFormat="1" x14ac:dyDescent="0.3">
      <c r="A459" s="71"/>
      <c r="B459" s="57" t="s">
        <v>644</v>
      </c>
      <c r="C459" s="78" t="s">
        <v>171</v>
      </c>
      <c r="D459" s="185">
        <v>42920</v>
      </c>
      <c r="E459" s="91"/>
      <c r="F459" s="121"/>
      <c r="G459" s="55"/>
      <c r="H459" s="66"/>
      <c r="I459" s="66"/>
      <c r="J459" s="66"/>
      <c r="K459" s="55"/>
      <c r="L459" s="55"/>
      <c r="M459" s="55"/>
    </row>
    <row r="460" spans="1:13" s="67" customFormat="1" x14ac:dyDescent="0.3">
      <c r="A460" s="71"/>
      <c r="B460" s="57" t="s">
        <v>643</v>
      </c>
      <c r="C460" s="78" t="s">
        <v>171</v>
      </c>
      <c r="D460" s="185">
        <v>81200</v>
      </c>
      <c r="E460" s="91"/>
      <c r="F460" s="121"/>
      <c r="G460" s="55"/>
      <c r="H460" s="66"/>
      <c r="I460" s="66"/>
      <c r="J460" s="66"/>
      <c r="K460" s="55"/>
      <c r="L460" s="55"/>
      <c r="M460" s="55"/>
    </row>
    <row r="461" spans="1:13" s="67" customFormat="1" x14ac:dyDescent="0.3">
      <c r="A461" s="71"/>
      <c r="B461" s="57" t="s">
        <v>642</v>
      </c>
      <c r="C461" s="78" t="s">
        <v>171</v>
      </c>
      <c r="D461" s="185">
        <v>353800</v>
      </c>
      <c r="E461" s="91"/>
      <c r="F461" s="121"/>
      <c r="G461" s="55"/>
      <c r="H461" s="66"/>
      <c r="I461" s="66"/>
      <c r="J461" s="66"/>
      <c r="K461" s="55"/>
      <c r="L461" s="55"/>
      <c r="M461" s="55"/>
    </row>
    <row r="462" spans="1:13" s="67" customFormat="1" x14ac:dyDescent="0.3">
      <c r="A462" s="71"/>
      <c r="B462" s="57" t="s">
        <v>641</v>
      </c>
      <c r="C462" s="78" t="s">
        <v>171</v>
      </c>
      <c r="D462" s="185">
        <v>305587</v>
      </c>
      <c r="E462" s="91"/>
      <c r="F462" s="121"/>
      <c r="G462" s="55"/>
      <c r="H462" s="66"/>
      <c r="I462" s="66"/>
      <c r="J462" s="66"/>
      <c r="K462" s="55"/>
      <c r="L462" s="55"/>
      <c r="M462" s="55"/>
    </row>
    <row r="463" spans="1:13" s="67" customFormat="1" ht="31.2" x14ac:dyDescent="0.3">
      <c r="A463" s="71"/>
      <c r="B463" s="57" t="s">
        <v>640</v>
      </c>
      <c r="C463" s="78" t="s">
        <v>171</v>
      </c>
      <c r="D463" s="185"/>
      <c r="E463" s="91"/>
      <c r="F463" s="121"/>
      <c r="G463" s="55"/>
      <c r="H463" s="66"/>
      <c r="I463" s="66"/>
      <c r="J463" s="66"/>
      <c r="K463" s="55"/>
      <c r="L463" s="55"/>
      <c r="M463" s="55"/>
    </row>
    <row r="464" spans="1:13" s="67" customFormat="1" x14ac:dyDescent="0.3">
      <c r="A464" s="71"/>
      <c r="B464" s="57" t="s">
        <v>639</v>
      </c>
      <c r="C464" s="78" t="s">
        <v>171</v>
      </c>
      <c r="D464" s="185">
        <v>187690</v>
      </c>
      <c r="E464" s="91"/>
      <c r="F464" s="121"/>
      <c r="G464" s="55"/>
      <c r="H464" s="66"/>
      <c r="I464" s="66"/>
      <c r="J464" s="66"/>
      <c r="K464" s="55"/>
      <c r="L464" s="55"/>
      <c r="M464" s="55"/>
    </row>
    <row r="465" spans="1:13" s="67" customFormat="1" x14ac:dyDescent="0.3">
      <c r="A465" s="71"/>
      <c r="B465" s="57" t="s">
        <v>638</v>
      </c>
      <c r="C465" s="78" t="s">
        <v>171</v>
      </c>
      <c r="D465" s="185">
        <v>350784</v>
      </c>
      <c r="E465" s="91"/>
      <c r="F465" s="121"/>
      <c r="G465" s="55"/>
      <c r="H465" s="66"/>
      <c r="I465" s="66"/>
      <c r="J465" s="66"/>
      <c r="K465" s="55"/>
      <c r="L465" s="55"/>
      <c r="M465" s="55"/>
    </row>
    <row r="466" spans="1:13" s="67" customFormat="1" x14ac:dyDescent="0.3">
      <c r="A466" s="71"/>
      <c r="B466" s="57" t="s">
        <v>637</v>
      </c>
      <c r="C466" s="78" t="s">
        <v>171</v>
      </c>
      <c r="D466" s="185">
        <v>195839</v>
      </c>
      <c r="E466" s="91"/>
      <c r="F466" s="121"/>
      <c r="G466" s="55"/>
      <c r="H466" s="66"/>
      <c r="I466" s="66"/>
      <c r="J466" s="66"/>
      <c r="K466" s="55"/>
      <c r="L466" s="55"/>
      <c r="M466" s="55"/>
    </row>
    <row r="467" spans="1:13" s="67" customFormat="1" x14ac:dyDescent="0.3">
      <c r="A467" s="71"/>
      <c r="B467" s="57" t="s">
        <v>636</v>
      </c>
      <c r="C467" s="78" t="s">
        <v>171</v>
      </c>
      <c r="D467" s="185">
        <v>15225</v>
      </c>
      <c r="E467" s="91"/>
      <c r="F467" s="121"/>
      <c r="G467" s="55"/>
      <c r="H467" s="66"/>
      <c r="I467" s="66"/>
      <c r="J467" s="66"/>
      <c r="K467" s="55"/>
      <c r="L467" s="55"/>
      <c r="M467" s="55"/>
    </row>
    <row r="468" spans="1:13" s="67" customFormat="1" x14ac:dyDescent="0.3">
      <c r="A468" s="71"/>
      <c r="B468" s="57" t="s">
        <v>635</v>
      </c>
      <c r="C468" s="78" t="s">
        <v>632</v>
      </c>
      <c r="D468" s="185">
        <v>1740</v>
      </c>
      <c r="E468" s="91"/>
      <c r="F468" s="121"/>
      <c r="G468" s="55"/>
      <c r="H468" s="66"/>
      <c r="I468" s="66"/>
      <c r="J468" s="66"/>
      <c r="K468" s="55"/>
      <c r="L468" s="55"/>
      <c r="M468" s="55"/>
    </row>
    <row r="469" spans="1:13" s="67" customFormat="1" x14ac:dyDescent="0.3">
      <c r="A469" s="71"/>
      <c r="B469" s="57" t="s">
        <v>634</v>
      </c>
      <c r="C469" s="78" t="s">
        <v>632</v>
      </c>
      <c r="D469" s="188">
        <v>1914</v>
      </c>
      <c r="E469" s="91"/>
      <c r="F469" s="121"/>
      <c r="G469" s="55"/>
      <c r="H469" s="66"/>
      <c r="I469" s="66"/>
      <c r="J469" s="66"/>
      <c r="K469" s="55"/>
      <c r="L469" s="55"/>
      <c r="M469" s="55"/>
    </row>
    <row r="470" spans="1:13" s="67" customFormat="1" x14ac:dyDescent="0.3">
      <c r="A470" s="71"/>
      <c r="B470" s="57" t="s">
        <v>633</v>
      </c>
      <c r="C470" s="78" t="s">
        <v>632</v>
      </c>
      <c r="D470" s="188">
        <v>2000</v>
      </c>
      <c r="E470" s="91"/>
      <c r="F470" s="121"/>
      <c r="G470" s="55"/>
      <c r="H470" s="66"/>
      <c r="I470" s="66"/>
      <c r="J470" s="66"/>
      <c r="K470" s="55"/>
      <c r="L470" s="55"/>
      <c r="M470" s="55"/>
    </row>
    <row r="471" spans="1:13" s="67" customFormat="1" x14ac:dyDescent="0.3">
      <c r="A471" s="71"/>
      <c r="B471" s="57" t="s">
        <v>631</v>
      </c>
      <c r="C471" s="78" t="s">
        <v>171</v>
      </c>
      <c r="D471" s="189">
        <v>24520</v>
      </c>
      <c r="E471" s="91"/>
      <c r="F471" s="122"/>
      <c r="G471" s="55"/>
      <c r="H471" s="66"/>
      <c r="I471" s="66"/>
      <c r="J471" s="66"/>
      <c r="K471" s="55"/>
      <c r="L471" s="55"/>
      <c r="M471" s="55"/>
    </row>
    <row r="472" spans="1:13" s="67" customFormat="1" x14ac:dyDescent="0.3">
      <c r="A472" s="71"/>
      <c r="B472" s="57" t="s">
        <v>630</v>
      </c>
      <c r="C472" s="78" t="s">
        <v>171</v>
      </c>
      <c r="D472" s="185"/>
      <c r="E472" s="91"/>
      <c r="F472" s="121"/>
      <c r="G472" s="55"/>
      <c r="H472" s="66"/>
      <c r="I472" s="66"/>
      <c r="J472" s="66"/>
      <c r="K472" s="55"/>
      <c r="L472" s="55"/>
      <c r="M472" s="55"/>
    </row>
    <row r="473" spans="1:13" s="67" customFormat="1" x14ac:dyDescent="0.3">
      <c r="A473" s="71"/>
      <c r="B473" s="57" t="s">
        <v>629</v>
      </c>
      <c r="C473" s="78" t="s">
        <v>171</v>
      </c>
      <c r="D473" s="185">
        <f t="shared" ref="D473:D501" si="4">+F473*1.16</f>
        <v>9512</v>
      </c>
      <c r="E473" s="91"/>
      <c r="F473" s="122">
        <v>8200</v>
      </c>
      <c r="G473" s="55"/>
      <c r="H473" s="66"/>
      <c r="I473" s="66"/>
      <c r="J473" s="66"/>
      <c r="K473" s="55"/>
      <c r="L473" s="55"/>
      <c r="M473" s="55"/>
    </row>
    <row r="474" spans="1:13" s="67" customFormat="1" x14ac:dyDescent="0.3">
      <c r="A474" s="71"/>
      <c r="B474" s="57" t="s">
        <v>628</v>
      </c>
      <c r="C474" s="78" t="s">
        <v>618</v>
      </c>
      <c r="D474" s="185">
        <f t="shared" si="4"/>
        <v>57999.999999999993</v>
      </c>
      <c r="E474" s="91"/>
      <c r="F474" s="121">
        <v>50000</v>
      </c>
      <c r="G474" s="55"/>
      <c r="H474" s="66"/>
      <c r="I474" s="66"/>
      <c r="J474" s="66"/>
      <c r="K474" s="55"/>
      <c r="L474" s="55"/>
      <c r="M474" s="55"/>
    </row>
    <row r="475" spans="1:13" s="67" customFormat="1" x14ac:dyDescent="0.3">
      <c r="A475" s="71"/>
      <c r="B475" s="57" t="s">
        <v>627</v>
      </c>
      <c r="C475" s="78" t="s">
        <v>618</v>
      </c>
      <c r="D475" s="185">
        <f t="shared" si="4"/>
        <v>30159.999999999996</v>
      </c>
      <c r="E475" s="91"/>
      <c r="F475" s="121">
        <v>26000</v>
      </c>
      <c r="G475" s="55"/>
      <c r="H475" s="66"/>
      <c r="I475" s="66"/>
      <c r="J475" s="66"/>
      <c r="K475" s="55"/>
      <c r="L475" s="55"/>
      <c r="M475" s="55"/>
    </row>
    <row r="476" spans="1:13" s="67" customFormat="1" x14ac:dyDescent="0.3">
      <c r="A476" s="71"/>
      <c r="B476" s="57" t="s">
        <v>626</v>
      </c>
      <c r="C476" s="78" t="s">
        <v>171</v>
      </c>
      <c r="D476" s="185">
        <f t="shared" si="4"/>
        <v>44898.843999999997</v>
      </c>
      <c r="E476" s="91"/>
      <c r="F476" s="121">
        <v>38705.9</v>
      </c>
      <c r="G476" s="55"/>
      <c r="H476" s="66"/>
      <c r="I476" s="66"/>
      <c r="J476" s="66"/>
      <c r="K476" s="55"/>
      <c r="L476" s="55"/>
      <c r="M476" s="55"/>
    </row>
    <row r="477" spans="1:13" s="67" customFormat="1" x14ac:dyDescent="0.3">
      <c r="A477" s="71"/>
      <c r="B477" s="57" t="s">
        <v>625</v>
      </c>
      <c r="C477" s="78" t="s">
        <v>171</v>
      </c>
      <c r="D477" s="185">
        <f t="shared" si="4"/>
        <v>11600</v>
      </c>
      <c r="E477" s="91"/>
      <c r="F477" s="121">
        <v>10000</v>
      </c>
      <c r="G477" s="55"/>
      <c r="H477" s="66"/>
      <c r="I477" s="66"/>
      <c r="J477" s="66"/>
      <c r="K477" s="55"/>
      <c r="L477" s="55"/>
      <c r="M477" s="55"/>
    </row>
    <row r="478" spans="1:13" s="67" customFormat="1" x14ac:dyDescent="0.3">
      <c r="A478" s="71"/>
      <c r="B478" s="57" t="s">
        <v>624</v>
      </c>
      <c r="C478" s="78" t="s">
        <v>618</v>
      </c>
      <c r="D478" s="185">
        <f t="shared" si="4"/>
        <v>57854.071999999993</v>
      </c>
      <c r="E478" s="91"/>
      <c r="F478" s="121">
        <v>49874.2</v>
      </c>
      <c r="G478" s="55"/>
      <c r="H478" s="66"/>
      <c r="I478" s="66"/>
      <c r="J478" s="66"/>
      <c r="K478" s="55"/>
      <c r="L478" s="55"/>
      <c r="M478" s="55"/>
    </row>
    <row r="479" spans="1:13" s="67" customFormat="1" x14ac:dyDescent="0.3">
      <c r="A479" s="71"/>
      <c r="B479" s="57" t="s">
        <v>623</v>
      </c>
      <c r="C479" s="78" t="s">
        <v>618</v>
      </c>
      <c r="D479" s="185">
        <f t="shared" si="4"/>
        <v>26586.411199999999</v>
      </c>
      <c r="E479" s="91"/>
      <c r="F479" s="121">
        <v>22919.32</v>
      </c>
      <c r="G479" s="55"/>
      <c r="H479" s="66"/>
      <c r="I479" s="66"/>
      <c r="J479" s="66"/>
      <c r="K479" s="55"/>
      <c r="L479" s="55"/>
      <c r="M479" s="55"/>
    </row>
    <row r="480" spans="1:13" s="67" customFormat="1" x14ac:dyDescent="0.3">
      <c r="A480" s="71"/>
      <c r="B480" s="57" t="s">
        <v>622</v>
      </c>
      <c r="C480" s="78" t="s">
        <v>618</v>
      </c>
      <c r="D480" s="185">
        <f t="shared" si="4"/>
        <v>38280</v>
      </c>
      <c r="E480" s="91"/>
      <c r="F480" s="121">
        <v>33000</v>
      </c>
      <c r="G480" s="55"/>
      <c r="H480" s="66"/>
      <c r="I480" s="66"/>
      <c r="J480" s="66"/>
      <c r="K480" s="55"/>
      <c r="L480" s="55"/>
      <c r="M480" s="55"/>
    </row>
    <row r="481" spans="1:13" s="67" customFormat="1" x14ac:dyDescent="0.3">
      <c r="A481" s="71"/>
      <c r="B481" s="57" t="s">
        <v>621</v>
      </c>
      <c r="C481" s="78" t="s">
        <v>618</v>
      </c>
      <c r="D481" s="185">
        <f t="shared" si="4"/>
        <v>127.6</v>
      </c>
      <c r="E481" s="91"/>
      <c r="F481" s="121">
        <v>110</v>
      </c>
      <c r="G481" s="55"/>
      <c r="H481" s="66"/>
      <c r="I481" s="66"/>
      <c r="J481" s="66"/>
      <c r="K481" s="55"/>
      <c r="L481" s="55"/>
      <c r="M481" s="55"/>
    </row>
    <row r="482" spans="1:13" s="67" customFormat="1" x14ac:dyDescent="0.3">
      <c r="A482" s="71"/>
      <c r="B482" s="57" t="s">
        <v>620</v>
      </c>
      <c r="C482" s="78" t="s">
        <v>171</v>
      </c>
      <c r="D482" s="185">
        <f t="shared" si="4"/>
        <v>16239.999999999998</v>
      </c>
      <c r="E482" s="91"/>
      <c r="F482" s="121">
        <v>14000</v>
      </c>
      <c r="G482" s="55"/>
      <c r="H482" s="66"/>
      <c r="I482" s="66"/>
      <c r="J482" s="66"/>
      <c r="K482" s="55"/>
      <c r="L482" s="55"/>
      <c r="M482" s="55"/>
    </row>
    <row r="483" spans="1:13" s="67" customFormat="1" x14ac:dyDescent="0.3">
      <c r="A483" s="71"/>
      <c r="B483" s="57" t="s">
        <v>619</v>
      </c>
      <c r="C483" s="78" t="s">
        <v>618</v>
      </c>
      <c r="D483" s="185">
        <f t="shared" si="4"/>
        <v>5800</v>
      </c>
      <c r="E483" s="91"/>
      <c r="F483" s="121">
        <v>5000</v>
      </c>
      <c r="G483" s="55"/>
      <c r="H483" s="66"/>
      <c r="I483" s="66"/>
      <c r="J483" s="66"/>
      <c r="K483" s="55"/>
      <c r="L483" s="55"/>
      <c r="M483" s="55"/>
    </row>
    <row r="484" spans="1:13" s="67" customFormat="1" x14ac:dyDescent="0.3">
      <c r="A484" s="71"/>
      <c r="B484" s="57" t="s">
        <v>617</v>
      </c>
      <c r="C484" s="78" t="s">
        <v>171</v>
      </c>
      <c r="D484" s="185">
        <f t="shared" si="4"/>
        <v>115.99999999999999</v>
      </c>
      <c r="E484" s="91"/>
      <c r="F484" s="121">
        <v>100</v>
      </c>
      <c r="G484" s="55"/>
      <c r="H484" s="66"/>
      <c r="I484" s="66"/>
      <c r="J484" s="66"/>
      <c r="K484" s="55"/>
      <c r="L484" s="55"/>
      <c r="M484" s="55"/>
    </row>
    <row r="485" spans="1:13" s="67" customFormat="1" x14ac:dyDescent="0.3">
      <c r="A485" s="71"/>
      <c r="B485" s="57" t="s">
        <v>616</v>
      </c>
      <c r="C485" s="78" t="s">
        <v>171</v>
      </c>
      <c r="D485" s="185">
        <f t="shared" si="4"/>
        <v>19720</v>
      </c>
      <c r="E485" s="91"/>
      <c r="F485" s="121">
        <v>17000</v>
      </c>
      <c r="G485" s="55"/>
      <c r="H485" s="66"/>
      <c r="I485" s="66"/>
      <c r="J485" s="66"/>
      <c r="K485" s="55"/>
      <c r="L485" s="55"/>
      <c r="M485" s="55"/>
    </row>
    <row r="486" spans="1:13" s="67" customFormat="1" x14ac:dyDescent="0.3">
      <c r="A486" s="71"/>
      <c r="B486" s="57" t="s">
        <v>615</v>
      </c>
      <c r="C486" s="78" t="s">
        <v>72</v>
      </c>
      <c r="D486" s="185">
        <f t="shared" si="4"/>
        <v>31319.999999999996</v>
      </c>
      <c r="E486" s="91"/>
      <c r="F486" s="121">
        <v>27000</v>
      </c>
      <c r="G486" s="55"/>
      <c r="H486" s="66"/>
      <c r="I486" s="66"/>
      <c r="J486" s="66"/>
      <c r="K486" s="55"/>
      <c r="L486" s="55"/>
      <c r="M486" s="55"/>
    </row>
    <row r="487" spans="1:13" s="67" customFormat="1" x14ac:dyDescent="0.3">
      <c r="A487" s="71"/>
      <c r="B487" s="57" t="s">
        <v>614</v>
      </c>
      <c r="C487" s="78" t="s">
        <v>171</v>
      </c>
      <c r="D487" s="185">
        <f t="shared" si="4"/>
        <v>331760</v>
      </c>
      <c r="E487" s="91"/>
      <c r="F487" s="122">
        <v>286000</v>
      </c>
      <c r="G487" s="55"/>
      <c r="H487" s="66"/>
      <c r="I487" s="66"/>
      <c r="J487" s="66"/>
      <c r="K487" s="55"/>
      <c r="L487" s="55"/>
      <c r="M487" s="55"/>
    </row>
    <row r="488" spans="1:13" s="67" customFormat="1" x14ac:dyDescent="0.3">
      <c r="A488" s="71"/>
      <c r="B488" s="57" t="s">
        <v>613</v>
      </c>
      <c r="C488" s="78" t="s">
        <v>171</v>
      </c>
      <c r="D488" s="185">
        <f t="shared" si="4"/>
        <v>77718.84</v>
      </c>
      <c r="E488" s="91"/>
      <c r="F488" s="122">
        <v>66999</v>
      </c>
      <c r="G488" s="55"/>
      <c r="H488" s="66"/>
      <c r="I488" s="66"/>
      <c r="J488" s="66"/>
      <c r="K488" s="55"/>
      <c r="L488" s="55"/>
      <c r="M488" s="55"/>
    </row>
    <row r="489" spans="1:13" s="67" customFormat="1" x14ac:dyDescent="0.3">
      <c r="A489" s="71"/>
      <c r="B489" s="57" t="s">
        <v>612</v>
      </c>
      <c r="C489" s="78" t="s">
        <v>171</v>
      </c>
      <c r="D489" s="185">
        <f t="shared" si="4"/>
        <v>14061.519999999999</v>
      </c>
      <c r="E489" s="91"/>
      <c r="F489" s="121">
        <v>12122</v>
      </c>
      <c r="G489" s="55"/>
      <c r="H489" s="66"/>
      <c r="I489" s="66"/>
      <c r="J489" s="66"/>
      <c r="K489" s="55"/>
      <c r="L489" s="55"/>
      <c r="M489" s="55"/>
    </row>
    <row r="490" spans="1:13" s="67" customFormat="1" x14ac:dyDescent="0.3">
      <c r="A490" s="71"/>
      <c r="B490" s="57" t="s">
        <v>611</v>
      </c>
      <c r="C490" s="78" t="s">
        <v>171</v>
      </c>
      <c r="D490" s="185">
        <f t="shared" si="4"/>
        <v>1160</v>
      </c>
      <c r="E490" s="91"/>
      <c r="F490" s="121">
        <v>1000</v>
      </c>
      <c r="G490" s="55"/>
      <c r="H490" s="66"/>
      <c r="I490" s="66"/>
      <c r="J490" s="66"/>
      <c r="K490" s="55"/>
      <c r="L490" s="55"/>
      <c r="M490" s="55"/>
    </row>
    <row r="491" spans="1:13" s="67" customFormat="1" x14ac:dyDescent="0.3">
      <c r="A491" s="71"/>
      <c r="B491" s="57" t="s">
        <v>610</v>
      </c>
      <c r="C491" s="78" t="s">
        <v>171</v>
      </c>
      <c r="D491" s="185">
        <f t="shared" si="4"/>
        <v>298521.36</v>
      </c>
      <c r="E491" s="91"/>
      <c r="F491" s="122">
        <v>257346</v>
      </c>
      <c r="G491" s="55"/>
      <c r="H491" s="66"/>
      <c r="I491" s="66"/>
      <c r="J491" s="66"/>
      <c r="K491" s="55"/>
      <c r="L491" s="55"/>
      <c r="M491" s="55"/>
    </row>
    <row r="492" spans="1:13" s="67" customFormat="1" x14ac:dyDescent="0.3">
      <c r="A492" s="71"/>
      <c r="B492" s="57" t="s">
        <v>609</v>
      </c>
      <c r="C492" s="78" t="s">
        <v>171</v>
      </c>
      <c r="D492" s="185">
        <f t="shared" si="4"/>
        <v>16550.879999999997</v>
      </c>
      <c r="E492" s="91"/>
      <c r="F492" s="122">
        <v>14268</v>
      </c>
      <c r="G492" s="55"/>
      <c r="H492" s="66"/>
      <c r="I492" s="66"/>
      <c r="J492" s="66"/>
      <c r="K492" s="55"/>
      <c r="L492" s="55"/>
      <c r="M492" s="55"/>
    </row>
    <row r="493" spans="1:13" s="67" customFormat="1" x14ac:dyDescent="0.3">
      <c r="A493" s="71"/>
      <c r="B493" s="57" t="s">
        <v>608</v>
      </c>
      <c r="C493" s="78" t="s">
        <v>171</v>
      </c>
      <c r="D493" s="185">
        <f t="shared" si="4"/>
        <v>215759.99999999997</v>
      </c>
      <c r="E493" s="91"/>
      <c r="F493" s="122">
        <v>186000</v>
      </c>
      <c r="G493" s="55"/>
      <c r="H493" s="66"/>
      <c r="I493" s="66"/>
      <c r="J493" s="66"/>
      <c r="K493" s="55"/>
      <c r="L493" s="55"/>
      <c r="M493" s="55"/>
    </row>
    <row r="494" spans="1:13" s="67" customFormat="1" x14ac:dyDescent="0.3">
      <c r="A494" s="71"/>
      <c r="B494" s="57" t="s">
        <v>607</v>
      </c>
      <c r="C494" s="78" t="s">
        <v>171</v>
      </c>
      <c r="D494" s="185">
        <f t="shared" si="4"/>
        <v>13919.999999999998</v>
      </c>
      <c r="E494" s="91"/>
      <c r="F494" s="121">
        <v>12000</v>
      </c>
      <c r="G494" s="55"/>
      <c r="H494" s="66"/>
      <c r="I494" s="66"/>
      <c r="J494" s="66"/>
      <c r="K494" s="55"/>
      <c r="L494" s="55"/>
      <c r="M494" s="55"/>
    </row>
    <row r="495" spans="1:13" s="67" customFormat="1" x14ac:dyDescent="0.3">
      <c r="A495" s="71"/>
      <c r="B495" s="57" t="s">
        <v>606</v>
      </c>
      <c r="C495" s="78" t="s">
        <v>175</v>
      </c>
      <c r="D495" s="185">
        <f t="shared" si="4"/>
        <v>115.99999999999999</v>
      </c>
      <c r="E495" s="91"/>
      <c r="F495" s="121">
        <v>100</v>
      </c>
      <c r="G495" s="55"/>
      <c r="H495" s="66"/>
      <c r="I495" s="66"/>
      <c r="J495" s="66"/>
      <c r="K495" s="55"/>
      <c r="L495" s="55"/>
      <c r="M495" s="55"/>
    </row>
    <row r="496" spans="1:13" x14ac:dyDescent="0.3">
      <c r="B496" s="57" t="s">
        <v>605</v>
      </c>
      <c r="C496" s="78" t="s">
        <v>603</v>
      </c>
      <c r="D496" s="185">
        <f t="shared" si="4"/>
        <v>2320000</v>
      </c>
      <c r="E496" s="91"/>
      <c r="F496" s="77">
        <v>2000000</v>
      </c>
    </row>
    <row r="497" spans="2:11" x14ac:dyDescent="0.3">
      <c r="B497" s="57" t="s">
        <v>604</v>
      </c>
      <c r="C497" s="78" t="s">
        <v>603</v>
      </c>
      <c r="D497" s="185">
        <f t="shared" si="4"/>
        <v>2320000</v>
      </c>
      <c r="E497" s="91"/>
      <c r="F497" s="77">
        <v>2000000</v>
      </c>
    </row>
    <row r="498" spans="2:11" x14ac:dyDescent="0.3">
      <c r="B498" s="57" t="s">
        <v>602</v>
      </c>
      <c r="C498" s="78" t="s">
        <v>171</v>
      </c>
      <c r="D498" s="185">
        <f t="shared" si="4"/>
        <v>184788</v>
      </c>
      <c r="E498" s="91"/>
      <c r="F498" s="77">
        <v>159300</v>
      </c>
    </row>
    <row r="499" spans="2:11" x14ac:dyDescent="0.3">
      <c r="B499" s="57" t="s">
        <v>601</v>
      </c>
      <c r="C499" s="78" t="s">
        <v>171</v>
      </c>
      <c r="D499" s="185">
        <f t="shared" si="4"/>
        <v>115071.99999999999</v>
      </c>
      <c r="E499" s="91"/>
      <c r="F499" s="77">
        <v>99200</v>
      </c>
    </row>
    <row r="500" spans="2:11" x14ac:dyDescent="0.3">
      <c r="B500" s="57" t="s">
        <v>600</v>
      </c>
      <c r="C500" s="78" t="s">
        <v>171</v>
      </c>
      <c r="D500" s="185">
        <f t="shared" si="4"/>
        <v>314360</v>
      </c>
      <c r="E500" s="91"/>
      <c r="F500" s="77">
        <v>271000</v>
      </c>
    </row>
    <row r="501" spans="2:11" x14ac:dyDescent="0.3">
      <c r="B501" s="57" t="s">
        <v>599</v>
      </c>
      <c r="C501" s="78" t="s">
        <v>171</v>
      </c>
      <c r="D501" s="185">
        <f t="shared" si="4"/>
        <v>290000</v>
      </c>
      <c r="E501" s="91"/>
      <c r="F501" s="77">
        <v>250000</v>
      </c>
    </row>
    <row r="502" spans="2:11" ht="31.2" x14ac:dyDescent="0.3">
      <c r="B502" s="57" t="s">
        <v>598</v>
      </c>
      <c r="C502" s="78" t="s">
        <v>532</v>
      </c>
      <c r="D502" s="185">
        <f>+F502*1.16*1.06</f>
        <v>0</v>
      </c>
      <c r="E502" s="91"/>
      <c r="F502" s="77"/>
    </row>
    <row r="503" spans="2:11" ht="31.2" x14ac:dyDescent="0.3">
      <c r="B503" s="57" t="s">
        <v>597</v>
      </c>
      <c r="C503" s="78" t="s">
        <v>532</v>
      </c>
      <c r="D503" s="185">
        <f t="shared" ref="D503:D510" si="5">+F503*1.16</f>
        <v>174000</v>
      </c>
      <c r="E503" s="91"/>
      <c r="F503" s="77">
        <v>150000</v>
      </c>
    </row>
    <row r="504" spans="2:11" ht="31.2" x14ac:dyDescent="0.3">
      <c r="B504" s="57" t="s">
        <v>596</v>
      </c>
      <c r="C504" s="78" t="s">
        <v>532</v>
      </c>
      <c r="D504" s="185">
        <f t="shared" si="5"/>
        <v>417600</v>
      </c>
      <c r="E504" s="91"/>
      <c r="F504" s="77">
        <v>360000</v>
      </c>
    </row>
    <row r="505" spans="2:11" ht="31.2" x14ac:dyDescent="0.3">
      <c r="B505" s="57" t="s">
        <v>595</v>
      </c>
      <c r="C505" s="78" t="s">
        <v>532</v>
      </c>
      <c r="D505" s="185">
        <f t="shared" si="5"/>
        <v>556800</v>
      </c>
      <c r="E505" s="91"/>
      <c r="F505" s="77">
        <v>480000</v>
      </c>
    </row>
    <row r="506" spans="2:11" ht="31.2" x14ac:dyDescent="0.3">
      <c r="B506" s="57" t="s">
        <v>594</v>
      </c>
      <c r="C506" s="78" t="s">
        <v>532</v>
      </c>
      <c r="D506" s="185">
        <f t="shared" si="5"/>
        <v>696000</v>
      </c>
      <c r="E506" s="91"/>
      <c r="F506" s="77">
        <v>600000</v>
      </c>
    </row>
    <row r="507" spans="2:11" ht="31.2" x14ac:dyDescent="0.3">
      <c r="B507" s="57" t="s">
        <v>593</v>
      </c>
      <c r="C507" s="78" t="s">
        <v>532</v>
      </c>
      <c r="D507" s="185">
        <f t="shared" si="5"/>
        <v>788800</v>
      </c>
      <c r="E507" s="91"/>
      <c r="F507" s="77">
        <v>680000</v>
      </c>
    </row>
    <row r="508" spans="2:11" x14ac:dyDescent="0.3">
      <c r="B508" s="113" t="s">
        <v>592</v>
      </c>
      <c r="C508" s="78" t="s">
        <v>72</v>
      </c>
      <c r="D508" s="185">
        <f t="shared" si="5"/>
        <v>5220</v>
      </c>
      <c r="E508" s="91"/>
      <c r="F508" s="77">
        <v>4500</v>
      </c>
      <c r="I508" s="117"/>
      <c r="J508" s="116"/>
      <c r="K508" s="115"/>
    </row>
    <row r="509" spans="2:11" x14ac:dyDescent="0.3">
      <c r="B509" s="113" t="s">
        <v>591</v>
      </c>
      <c r="C509" s="78" t="s">
        <v>532</v>
      </c>
      <c r="D509" s="185">
        <f t="shared" si="5"/>
        <v>7539.9999999999991</v>
      </c>
      <c r="E509" s="91"/>
      <c r="F509" s="77">
        <v>6500</v>
      </c>
      <c r="I509" s="117"/>
      <c r="J509" s="116"/>
      <c r="K509" s="115"/>
    </row>
    <row r="510" spans="2:11" x14ac:dyDescent="0.3">
      <c r="B510" s="113" t="s">
        <v>590</v>
      </c>
      <c r="C510" s="78" t="s">
        <v>129</v>
      </c>
      <c r="D510" s="185">
        <f t="shared" si="5"/>
        <v>266800</v>
      </c>
      <c r="E510" s="91"/>
      <c r="F510" s="77">
        <v>230000</v>
      </c>
      <c r="I510" s="117"/>
      <c r="J510" s="116"/>
      <c r="K510" s="115"/>
    </row>
    <row r="511" spans="2:11" x14ac:dyDescent="0.3">
      <c r="B511" s="113" t="s">
        <v>589</v>
      </c>
      <c r="C511" s="78" t="s">
        <v>525</v>
      </c>
      <c r="D511" s="185">
        <v>300000</v>
      </c>
      <c r="E511" s="120"/>
      <c r="F511" s="77"/>
      <c r="G511" s="119"/>
      <c r="H511" s="118"/>
      <c r="I511" s="117"/>
      <c r="J511" s="116"/>
      <c r="K511" s="115"/>
    </row>
    <row r="512" spans="2:11" x14ac:dyDescent="0.3">
      <c r="B512" s="113" t="s">
        <v>588</v>
      </c>
      <c r="C512" s="78" t="s">
        <v>525</v>
      </c>
      <c r="D512" s="185">
        <f t="shared" ref="D512:D538" si="6">+F512*1.16</f>
        <v>30159.999999999996</v>
      </c>
      <c r="E512" s="120"/>
      <c r="F512" s="77">
        <v>26000</v>
      </c>
      <c r="G512" s="119"/>
      <c r="H512" s="118"/>
      <c r="I512" s="117"/>
      <c r="J512" s="116"/>
      <c r="K512" s="115"/>
    </row>
    <row r="513" spans="1:13" x14ac:dyDescent="0.3">
      <c r="B513" s="113" t="s">
        <v>587</v>
      </c>
      <c r="C513" s="78" t="s">
        <v>525</v>
      </c>
      <c r="D513" s="185">
        <f t="shared" si="6"/>
        <v>25520</v>
      </c>
      <c r="E513" s="120"/>
      <c r="F513" s="77">
        <v>22000</v>
      </c>
      <c r="G513" s="119"/>
      <c r="H513" s="118"/>
      <c r="I513" s="117"/>
      <c r="J513" s="116"/>
      <c r="K513" s="115"/>
    </row>
    <row r="514" spans="1:13" x14ac:dyDescent="0.3">
      <c r="B514" s="113" t="s">
        <v>586</v>
      </c>
      <c r="C514" s="78" t="s">
        <v>525</v>
      </c>
      <c r="D514" s="185">
        <f t="shared" si="6"/>
        <v>22040</v>
      </c>
      <c r="E514" s="120"/>
      <c r="F514" s="77">
        <v>19000</v>
      </c>
      <c r="G514" s="119"/>
      <c r="H514" s="118"/>
      <c r="I514" s="117"/>
      <c r="J514" s="116"/>
      <c r="K514" s="115"/>
    </row>
    <row r="515" spans="1:13" x14ac:dyDescent="0.3">
      <c r="B515" s="113" t="s">
        <v>585</v>
      </c>
      <c r="C515" s="78" t="s">
        <v>532</v>
      </c>
      <c r="D515" s="185">
        <f t="shared" si="6"/>
        <v>60319.999999999993</v>
      </c>
      <c r="E515" s="120"/>
      <c r="F515" s="77">
        <v>52000</v>
      </c>
      <c r="G515" s="119"/>
      <c r="H515" s="118"/>
      <c r="I515" s="117"/>
      <c r="J515" s="116"/>
      <c r="K515" s="115"/>
    </row>
    <row r="516" spans="1:13" x14ac:dyDescent="0.3">
      <c r="B516" s="113" t="s">
        <v>584</v>
      </c>
      <c r="C516" s="78" t="s">
        <v>532</v>
      </c>
      <c r="D516" s="185">
        <f t="shared" si="6"/>
        <v>46980</v>
      </c>
      <c r="E516" s="120"/>
      <c r="F516" s="77">
        <v>40500</v>
      </c>
      <c r="G516" s="119"/>
      <c r="H516" s="118"/>
      <c r="I516" s="117"/>
      <c r="J516" s="116"/>
      <c r="K516" s="115"/>
    </row>
    <row r="517" spans="1:13" x14ac:dyDescent="0.3">
      <c r="B517" s="113" t="s">
        <v>583</v>
      </c>
      <c r="C517" s="78" t="s">
        <v>532</v>
      </c>
      <c r="D517" s="185">
        <f t="shared" si="6"/>
        <v>75400</v>
      </c>
      <c r="E517" s="120"/>
      <c r="F517" s="77">
        <v>65000</v>
      </c>
      <c r="G517" s="119"/>
      <c r="H517" s="118"/>
      <c r="I517" s="117"/>
      <c r="J517" s="116"/>
      <c r="K517" s="115"/>
    </row>
    <row r="518" spans="1:13" x14ac:dyDescent="0.3">
      <c r="B518" s="57" t="s">
        <v>582</v>
      </c>
      <c r="C518" s="78" t="s">
        <v>129</v>
      </c>
      <c r="D518" s="185">
        <f t="shared" si="6"/>
        <v>19140</v>
      </c>
      <c r="E518" s="91"/>
      <c r="F518" s="77">
        <v>16500</v>
      </c>
    </row>
    <row r="519" spans="1:13" x14ac:dyDescent="0.3">
      <c r="B519" s="57" t="s">
        <v>579</v>
      </c>
      <c r="C519" s="78" t="s">
        <v>171</v>
      </c>
      <c r="D519" s="185">
        <f t="shared" si="6"/>
        <v>2881.4399999999996</v>
      </c>
      <c r="E519" s="91"/>
      <c r="F519" s="77">
        <v>2484</v>
      </c>
    </row>
    <row r="520" spans="1:13" x14ac:dyDescent="0.3">
      <c r="B520" s="57" t="s">
        <v>581</v>
      </c>
      <c r="C520" s="78" t="s">
        <v>171</v>
      </c>
      <c r="D520" s="185">
        <f t="shared" si="6"/>
        <v>87242.439999999988</v>
      </c>
      <c r="E520" s="91"/>
      <c r="F520" s="77">
        <v>75209</v>
      </c>
    </row>
    <row r="521" spans="1:13" x14ac:dyDescent="0.3">
      <c r="B521" s="57" t="s">
        <v>580</v>
      </c>
      <c r="C521" s="78" t="s">
        <v>129</v>
      </c>
      <c r="D521" s="185">
        <f t="shared" si="6"/>
        <v>22040</v>
      </c>
      <c r="E521" s="91"/>
      <c r="F521" s="77">
        <v>19000</v>
      </c>
    </row>
    <row r="522" spans="1:13" x14ac:dyDescent="0.3">
      <c r="B522" s="57" t="s">
        <v>579</v>
      </c>
      <c r="C522" s="78" t="s">
        <v>171</v>
      </c>
      <c r="D522" s="185">
        <f t="shared" si="6"/>
        <v>2623.9199999999996</v>
      </c>
      <c r="E522" s="91"/>
      <c r="F522" s="77">
        <v>2262</v>
      </c>
    </row>
    <row r="523" spans="1:13" x14ac:dyDescent="0.3">
      <c r="B523" s="57" t="s">
        <v>578</v>
      </c>
      <c r="C523" s="78" t="s">
        <v>171</v>
      </c>
      <c r="D523" s="185">
        <f t="shared" si="6"/>
        <v>85395.72</v>
      </c>
      <c r="E523" s="91"/>
      <c r="F523" s="77">
        <v>73617</v>
      </c>
    </row>
    <row r="524" spans="1:13" ht="31.2" x14ac:dyDescent="0.3">
      <c r="B524" s="57" t="s">
        <v>577</v>
      </c>
      <c r="C524" s="78" t="s">
        <v>171</v>
      </c>
      <c r="D524" s="185">
        <f t="shared" si="6"/>
        <v>24916.799999999999</v>
      </c>
      <c r="E524" s="91"/>
      <c r="F524" s="77">
        <v>21480</v>
      </c>
    </row>
    <row r="525" spans="1:13" x14ac:dyDescent="0.3">
      <c r="B525" s="57" t="s">
        <v>576</v>
      </c>
      <c r="C525" s="78" t="s">
        <v>171</v>
      </c>
      <c r="D525" s="185">
        <f t="shared" si="6"/>
        <v>24391.32</v>
      </c>
      <c r="E525" s="91"/>
      <c r="F525" s="77">
        <v>21027</v>
      </c>
    </row>
    <row r="526" spans="1:13" s="67" customFormat="1" x14ac:dyDescent="0.3">
      <c r="A526" s="71"/>
      <c r="B526" s="57" t="s">
        <v>575</v>
      </c>
      <c r="C526" s="78" t="s">
        <v>129</v>
      </c>
      <c r="D526" s="185">
        <f t="shared" si="6"/>
        <v>127599.99999999999</v>
      </c>
      <c r="E526" s="91"/>
      <c r="F526" s="77">
        <v>110000</v>
      </c>
      <c r="G526" s="55"/>
      <c r="H526" s="66"/>
      <c r="I526" s="66"/>
      <c r="J526" s="66"/>
      <c r="K526" s="55"/>
      <c r="L526" s="55"/>
      <c r="M526" s="55"/>
    </row>
    <row r="527" spans="1:13" s="67" customFormat="1" x14ac:dyDescent="0.3">
      <c r="A527" s="71"/>
      <c r="B527" s="57" t="s">
        <v>574</v>
      </c>
      <c r="C527" s="78" t="s">
        <v>171</v>
      </c>
      <c r="D527" s="185">
        <f t="shared" si="6"/>
        <v>59601.96</v>
      </c>
      <c r="E527" s="91"/>
      <c r="F527" s="77">
        <v>51381</v>
      </c>
      <c r="G527" s="55"/>
      <c r="H527" s="66"/>
      <c r="I527" s="66"/>
      <c r="J527" s="66"/>
      <c r="K527" s="55"/>
      <c r="L527" s="55"/>
      <c r="M527" s="55"/>
    </row>
    <row r="528" spans="1:13" s="67" customFormat="1" x14ac:dyDescent="0.3">
      <c r="A528" s="71"/>
      <c r="B528" s="57" t="s">
        <v>573</v>
      </c>
      <c r="C528" s="78" t="s">
        <v>129</v>
      </c>
      <c r="D528" s="185">
        <f t="shared" si="6"/>
        <v>812000</v>
      </c>
      <c r="E528" s="91"/>
      <c r="F528" s="77">
        <v>700000</v>
      </c>
      <c r="G528" s="55"/>
      <c r="H528" s="66"/>
      <c r="I528" s="66"/>
      <c r="J528" s="66"/>
      <c r="K528" s="55"/>
      <c r="L528" s="55"/>
      <c r="M528" s="55"/>
    </row>
    <row r="529" spans="1:13" s="67" customFormat="1" x14ac:dyDescent="0.3">
      <c r="A529" s="71"/>
      <c r="B529" s="57" t="s">
        <v>572</v>
      </c>
      <c r="C529" s="78" t="s">
        <v>442</v>
      </c>
      <c r="D529" s="185">
        <f t="shared" si="6"/>
        <v>2931.3199999999997</v>
      </c>
      <c r="E529" s="91"/>
      <c r="F529" s="77">
        <v>2527</v>
      </c>
      <c r="G529" s="55"/>
      <c r="H529" s="66"/>
      <c r="I529" s="66"/>
      <c r="J529" s="66"/>
      <c r="K529" s="55"/>
      <c r="L529" s="55"/>
      <c r="M529" s="55"/>
    </row>
    <row r="530" spans="1:13" s="67" customFormat="1" x14ac:dyDescent="0.3">
      <c r="A530" s="71"/>
      <c r="B530" s="57" t="s">
        <v>571</v>
      </c>
      <c r="C530" s="78" t="s">
        <v>426</v>
      </c>
      <c r="D530" s="185">
        <f t="shared" si="6"/>
        <v>2690.04</v>
      </c>
      <c r="E530" s="91"/>
      <c r="F530" s="77">
        <v>2319</v>
      </c>
      <c r="G530" s="55"/>
      <c r="H530" s="66"/>
      <c r="I530" s="66"/>
      <c r="J530" s="66"/>
      <c r="K530" s="55"/>
      <c r="L530" s="55"/>
      <c r="M530" s="55"/>
    </row>
    <row r="531" spans="1:13" s="67" customFormat="1" x14ac:dyDescent="0.3">
      <c r="A531" s="71"/>
      <c r="B531" s="57" t="s">
        <v>570</v>
      </c>
      <c r="C531" s="78" t="s">
        <v>72</v>
      </c>
      <c r="D531" s="185">
        <f t="shared" si="6"/>
        <v>6594.5999999999995</v>
      </c>
      <c r="E531" s="91"/>
      <c r="F531" s="77">
        <v>5685</v>
      </c>
      <c r="G531" s="55"/>
      <c r="H531" s="66"/>
      <c r="I531" s="66"/>
      <c r="J531" s="66"/>
      <c r="K531" s="55"/>
      <c r="L531" s="55"/>
      <c r="M531" s="55"/>
    </row>
    <row r="532" spans="1:13" s="66" customFormat="1" x14ac:dyDescent="0.3">
      <c r="A532" s="71"/>
      <c r="B532" s="57" t="s">
        <v>569</v>
      </c>
      <c r="C532" s="78" t="s">
        <v>171</v>
      </c>
      <c r="D532" s="185">
        <f t="shared" si="6"/>
        <v>2881.4399999999996</v>
      </c>
      <c r="E532" s="91"/>
      <c r="F532" s="77">
        <v>2484</v>
      </c>
      <c r="G532" s="55"/>
      <c r="K532" s="55"/>
      <c r="L532" s="55"/>
      <c r="M532" s="55"/>
    </row>
    <row r="533" spans="1:13" s="67" customFormat="1" x14ac:dyDescent="0.3">
      <c r="A533" s="71"/>
      <c r="B533" s="57" t="s">
        <v>568</v>
      </c>
      <c r="C533" s="78" t="s">
        <v>171</v>
      </c>
      <c r="D533" s="185">
        <f t="shared" si="6"/>
        <v>22579.399999999998</v>
      </c>
      <c r="E533" s="91"/>
      <c r="F533" s="77">
        <v>19465</v>
      </c>
      <c r="G533" s="55"/>
      <c r="H533" s="66"/>
      <c r="I533" s="66"/>
      <c r="J533" s="66"/>
      <c r="K533" s="55"/>
      <c r="L533" s="55"/>
      <c r="M533" s="55"/>
    </row>
    <row r="534" spans="1:13" x14ac:dyDescent="0.3">
      <c r="B534" s="57" t="s">
        <v>567</v>
      </c>
      <c r="C534" s="78" t="s">
        <v>171</v>
      </c>
      <c r="D534" s="185">
        <f t="shared" si="6"/>
        <v>121799.99999999999</v>
      </c>
      <c r="E534" s="91"/>
      <c r="F534" s="77">
        <v>105000</v>
      </c>
    </row>
    <row r="535" spans="1:13" x14ac:dyDescent="0.3">
      <c r="B535" s="57" t="s">
        <v>566</v>
      </c>
      <c r="C535" s="78" t="s">
        <v>129</v>
      </c>
      <c r="D535" s="185">
        <f t="shared" si="6"/>
        <v>142680</v>
      </c>
      <c r="E535" s="91"/>
      <c r="F535" s="77">
        <v>123000</v>
      </c>
    </row>
    <row r="536" spans="1:13" x14ac:dyDescent="0.3">
      <c r="B536" s="57" t="s">
        <v>565</v>
      </c>
      <c r="C536" s="78" t="s">
        <v>72</v>
      </c>
      <c r="D536" s="185">
        <f t="shared" si="6"/>
        <v>7914.6799999999994</v>
      </c>
      <c r="E536" s="91"/>
      <c r="F536" s="77">
        <v>6823</v>
      </c>
    </row>
    <row r="537" spans="1:13" x14ac:dyDescent="0.3">
      <c r="B537" s="57" t="s">
        <v>564</v>
      </c>
      <c r="C537" s="78" t="s">
        <v>72</v>
      </c>
      <c r="D537" s="185">
        <f t="shared" si="6"/>
        <v>19153.919999999998</v>
      </c>
      <c r="E537" s="91"/>
      <c r="F537" s="77">
        <v>16512</v>
      </c>
    </row>
    <row r="538" spans="1:13" s="67" customFormat="1" x14ac:dyDescent="0.3">
      <c r="A538" s="71"/>
      <c r="B538" s="57" t="s">
        <v>563</v>
      </c>
      <c r="C538" s="78" t="s">
        <v>84</v>
      </c>
      <c r="D538" s="185">
        <f t="shared" si="6"/>
        <v>56918.879999999997</v>
      </c>
      <c r="E538" s="91"/>
      <c r="F538" s="77">
        <v>49068</v>
      </c>
      <c r="G538" s="55"/>
      <c r="H538" s="66"/>
      <c r="I538" s="66"/>
      <c r="J538" s="66"/>
      <c r="K538" s="55"/>
      <c r="L538" s="55"/>
      <c r="M538" s="55"/>
    </row>
    <row r="539" spans="1:13" s="67" customFormat="1" x14ac:dyDescent="0.3">
      <c r="A539" s="71"/>
      <c r="B539" s="73"/>
      <c r="C539" s="114"/>
      <c r="D539" s="185"/>
      <c r="E539" s="91"/>
      <c r="F539" s="92"/>
      <c r="G539" s="55"/>
      <c r="H539" s="66"/>
      <c r="I539" s="66"/>
      <c r="J539" s="66"/>
      <c r="K539" s="55"/>
      <c r="L539" s="55"/>
      <c r="M539" s="55"/>
    </row>
    <row r="540" spans="1:13" s="67" customFormat="1" x14ac:dyDescent="0.3">
      <c r="A540" s="110"/>
      <c r="B540" s="62" t="s">
        <v>562</v>
      </c>
      <c r="C540" s="78"/>
      <c r="D540" s="185"/>
      <c r="E540" s="91"/>
      <c r="F540" s="92"/>
      <c r="G540" s="55"/>
      <c r="H540" s="66"/>
      <c r="I540" s="66"/>
      <c r="J540" s="66"/>
      <c r="K540" s="55"/>
      <c r="L540" s="55"/>
      <c r="M540" s="55"/>
    </row>
    <row r="541" spans="1:13" s="67" customFormat="1" ht="31.2" x14ac:dyDescent="0.3">
      <c r="A541" s="110"/>
      <c r="B541" s="57" t="s">
        <v>561</v>
      </c>
      <c r="C541" s="78" t="s">
        <v>171</v>
      </c>
      <c r="D541" s="185">
        <f t="shared" ref="D541:D560" si="7">+F541*1.16</f>
        <v>162400</v>
      </c>
      <c r="E541" s="91"/>
      <c r="F541" s="77">
        <v>140000</v>
      </c>
      <c r="G541" s="55"/>
      <c r="H541" s="66"/>
      <c r="I541" s="66"/>
      <c r="J541" s="66"/>
      <c r="K541" s="55"/>
      <c r="L541" s="55"/>
      <c r="M541" s="55"/>
    </row>
    <row r="542" spans="1:13" s="67" customFormat="1" ht="31.2" x14ac:dyDescent="0.3">
      <c r="A542" s="110"/>
      <c r="B542" s="57" t="s">
        <v>560</v>
      </c>
      <c r="C542" s="78" t="s">
        <v>171</v>
      </c>
      <c r="D542" s="185">
        <f t="shared" si="7"/>
        <v>208800</v>
      </c>
      <c r="E542" s="91"/>
      <c r="F542" s="77">
        <v>180000</v>
      </c>
      <c r="G542" s="55"/>
      <c r="H542" s="66"/>
      <c r="I542" s="66"/>
      <c r="J542" s="66"/>
      <c r="K542" s="55"/>
      <c r="L542" s="55"/>
      <c r="M542" s="55"/>
    </row>
    <row r="543" spans="1:13" s="67" customFormat="1" ht="31.2" x14ac:dyDescent="0.3">
      <c r="A543" s="110"/>
      <c r="B543" s="57" t="s">
        <v>559</v>
      </c>
      <c r="C543" s="78" t="s">
        <v>129</v>
      </c>
      <c r="D543" s="185">
        <f t="shared" si="7"/>
        <v>48256</v>
      </c>
      <c r="E543" s="91"/>
      <c r="F543" s="77">
        <v>41600</v>
      </c>
      <c r="G543" s="55"/>
      <c r="H543" s="66"/>
      <c r="I543" s="66"/>
      <c r="J543" s="66"/>
      <c r="K543" s="55"/>
      <c r="L543" s="55"/>
      <c r="M543" s="55"/>
    </row>
    <row r="544" spans="1:13" s="67" customFormat="1" ht="31.2" x14ac:dyDescent="0.3">
      <c r="A544" s="110"/>
      <c r="B544" s="57" t="s">
        <v>558</v>
      </c>
      <c r="C544" s="78" t="s">
        <v>129</v>
      </c>
      <c r="D544" s="185">
        <f t="shared" si="7"/>
        <v>71920</v>
      </c>
      <c r="E544" s="91"/>
      <c r="F544" s="77">
        <v>62000</v>
      </c>
      <c r="G544" s="55"/>
      <c r="H544" s="66"/>
      <c r="I544" s="66"/>
      <c r="J544" s="66"/>
      <c r="K544" s="55"/>
      <c r="L544" s="55"/>
      <c r="M544" s="55"/>
    </row>
    <row r="545" spans="1:13" s="67" customFormat="1" ht="31.2" x14ac:dyDescent="0.3">
      <c r="A545" s="110"/>
      <c r="B545" s="60" t="s">
        <v>557</v>
      </c>
      <c r="C545" s="78" t="s">
        <v>72</v>
      </c>
      <c r="D545" s="185">
        <f t="shared" si="7"/>
        <v>12783.673469387753</v>
      </c>
      <c r="E545" s="91"/>
      <c r="F545" s="77">
        <f>54000/4.9</f>
        <v>11020.408163265305</v>
      </c>
      <c r="G545" s="55"/>
      <c r="H545" s="66"/>
      <c r="I545" s="66"/>
      <c r="J545" s="66"/>
      <c r="K545" s="55"/>
      <c r="L545" s="55"/>
      <c r="M545" s="55"/>
    </row>
    <row r="546" spans="1:13" s="67" customFormat="1" ht="31.2" x14ac:dyDescent="0.3">
      <c r="A546" s="110"/>
      <c r="B546" s="60" t="s">
        <v>556</v>
      </c>
      <c r="C546" s="78" t="s">
        <v>72</v>
      </c>
      <c r="D546" s="185">
        <f t="shared" si="7"/>
        <v>14677.55102040816</v>
      </c>
      <c r="E546" s="91"/>
      <c r="F546" s="77">
        <f>62000/4.9</f>
        <v>12653.061224489795</v>
      </c>
      <c r="G546" s="55"/>
      <c r="H546" s="66"/>
      <c r="I546" s="66"/>
      <c r="J546" s="66"/>
      <c r="K546" s="55"/>
      <c r="L546" s="55"/>
      <c r="M546" s="55"/>
    </row>
    <row r="547" spans="1:13" s="67" customFormat="1" ht="31.2" x14ac:dyDescent="0.3">
      <c r="A547" s="110"/>
      <c r="B547" s="60" t="s">
        <v>555</v>
      </c>
      <c r="C547" s="78" t="s">
        <v>72</v>
      </c>
      <c r="D547" s="185">
        <f t="shared" si="7"/>
        <v>11600</v>
      </c>
      <c r="E547" s="91"/>
      <c r="F547" s="77">
        <f>58000/5.8</f>
        <v>10000</v>
      </c>
      <c r="G547" s="55"/>
      <c r="H547" s="66"/>
      <c r="I547" s="66"/>
      <c r="J547" s="66"/>
      <c r="K547" s="55"/>
      <c r="L547" s="55"/>
      <c r="M547" s="55"/>
    </row>
    <row r="548" spans="1:13" s="67" customFormat="1" ht="31.2" x14ac:dyDescent="0.3">
      <c r="A548" s="110"/>
      <c r="B548" s="60" t="s">
        <v>554</v>
      </c>
      <c r="C548" s="78" t="s">
        <v>72</v>
      </c>
      <c r="D548" s="185">
        <f t="shared" si="7"/>
        <v>13200</v>
      </c>
      <c r="E548" s="91"/>
      <c r="F548" s="77">
        <f>66000/5.8</f>
        <v>11379.310344827587</v>
      </c>
      <c r="G548" s="55"/>
      <c r="H548" s="66"/>
      <c r="I548" s="66"/>
      <c r="J548" s="66"/>
      <c r="K548" s="55"/>
      <c r="L548" s="55"/>
      <c r="M548" s="55"/>
    </row>
    <row r="549" spans="1:13" s="67" customFormat="1" ht="31.2" x14ac:dyDescent="0.3">
      <c r="A549" s="110"/>
      <c r="B549" s="60" t="s">
        <v>553</v>
      </c>
      <c r="C549" s="78" t="s">
        <v>129</v>
      </c>
      <c r="D549" s="185">
        <f t="shared" si="7"/>
        <v>139200</v>
      </c>
      <c r="E549" s="91"/>
      <c r="F549" s="77">
        <v>120000</v>
      </c>
      <c r="G549" s="55"/>
      <c r="H549" s="66"/>
      <c r="I549" s="66"/>
      <c r="J549" s="66"/>
      <c r="K549" s="55"/>
      <c r="L549" s="55"/>
      <c r="M549" s="55"/>
    </row>
    <row r="550" spans="1:13" s="67" customFormat="1" ht="31.5" customHeight="1" x14ac:dyDescent="0.3">
      <c r="A550" s="110"/>
      <c r="B550" s="60" t="s">
        <v>552</v>
      </c>
      <c r="C550" s="78" t="s">
        <v>72</v>
      </c>
      <c r="D550" s="185">
        <f t="shared" si="7"/>
        <v>87000</v>
      </c>
      <c r="E550" s="91"/>
      <c r="F550" s="77">
        <v>75000</v>
      </c>
      <c r="G550" s="55"/>
      <c r="H550" s="66"/>
      <c r="I550" s="66"/>
      <c r="J550" s="66"/>
      <c r="K550" s="55"/>
      <c r="L550" s="55"/>
      <c r="M550" s="55"/>
    </row>
    <row r="551" spans="1:13" s="67" customFormat="1" ht="31.2" x14ac:dyDescent="0.3">
      <c r="A551" s="110"/>
      <c r="B551" s="60" t="s">
        <v>551</v>
      </c>
      <c r="C551" s="78" t="s">
        <v>129</v>
      </c>
      <c r="D551" s="185">
        <f t="shared" si="7"/>
        <v>98600</v>
      </c>
      <c r="E551" s="91"/>
      <c r="F551" s="77">
        <v>85000</v>
      </c>
      <c r="G551" s="55"/>
      <c r="H551" s="66"/>
      <c r="I551" s="66"/>
      <c r="J551" s="66"/>
      <c r="K551" s="55"/>
      <c r="L551" s="55"/>
      <c r="M551" s="55"/>
    </row>
    <row r="552" spans="1:13" s="67" customFormat="1" ht="31.2" x14ac:dyDescent="0.3">
      <c r="A552" s="110"/>
      <c r="B552" s="60" t="s">
        <v>550</v>
      </c>
      <c r="C552" s="78" t="s">
        <v>129</v>
      </c>
      <c r="D552" s="185">
        <f t="shared" si="7"/>
        <v>90480</v>
      </c>
      <c r="E552" s="91"/>
      <c r="F552" s="77">
        <v>78000</v>
      </c>
      <c r="G552" s="55"/>
      <c r="H552" s="66"/>
      <c r="I552" s="66"/>
      <c r="J552" s="66"/>
      <c r="K552" s="55"/>
      <c r="L552" s="55"/>
      <c r="M552" s="55"/>
    </row>
    <row r="553" spans="1:13" s="67" customFormat="1" ht="46.8" x14ac:dyDescent="0.3">
      <c r="A553" s="110"/>
      <c r="B553" s="60" t="s">
        <v>549</v>
      </c>
      <c r="C553" s="78" t="s">
        <v>129</v>
      </c>
      <c r="D553" s="185">
        <f t="shared" si="7"/>
        <v>92800</v>
      </c>
      <c r="E553" s="91"/>
      <c r="F553" s="77">
        <v>80000</v>
      </c>
      <c r="G553" s="55"/>
      <c r="H553" s="66"/>
      <c r="I553" s="66"/>
      <c r="J553" s="66"/>
      <c r="K553" s="55"/>
      <c r="L553" s="55"/>
      <c r="M553" s="55"/>
    </row>
    <row r="554" spans="1:13" s="67" customFormat="1" ht="46.8" x14ac:dyDescent="0.3">
      <c r="A554" s="110"/>
      <c r="B554" s="60" t="s">
        <v>548</v>
      </c>
      <c r="C554" s="78" t="s">
        <v>129</v>
      </c>
      <c r="D554" s="185">
        <f t="shared" si="7"/>
        <v>110199.99999999999</v>
      </c>
      <c r="E554" s="91"/>
      <c r="F554" s="77">
        <v>95000</v>
      </c>
      <c r="G554" s="55"/>
      <c r="H554" s="66"/>
      <c r="I554" s="66"/>
      <c r="J554" s="66"/>
      <c r="K554" s="55"/>
      <c r="L554" s="55"/>
      <c r="M554" s="55"/>
    </row>
    <row r="555" spans="1:13" s="67" customFormat="1" ht="62.4" x14ac:dyDescent="0.3">
      <c r="A555" s="110"/>
      <c r="B555" s="60" t="s">
        <v>547</v>
      </c>
      <c r="C555" s="78" t="s">
        <v>129</v>
      </c>
      <c r="D555" s="185">
        <f t="shared" si="7"/>
        <v>113679.99999999999</v>
      </c>
      <c r="E555" s="91"/>
      <c r="F555" s="77">
        <v>98000</v>
      </c>
      <c r="G555" s="55"/>
      <c r="H555" s="66"/>
      <c r="I555" s="66"/>
      <c r="J555" s="66"/>
      <c r="K555" s="55"/>
      <c r="L555" s="55"/>
      <c r="M555" s="55"/>
    </row>
    <row r="556" spans="1:13" s="67" customFormat="1" ht="46.8" x14ac:dyDescent="0.3">
      <c r="A556" s="110"/>
      <c r="B556" s="60" t="s">
        <v>546</v>
      </c>
      <c r="C556" s="78" t="s">
        <v>387</v>
      </c>
      <c r="D556" s="185">
        <f t="shared" si="7"/>
        <v>3248000</v>
      </c>
      <c r="E556" s="91"/>
      <c r="F556" s="77">
        <v>2800000</v>
      </c>
      <c r="G556" s="55"/>
      <c r="H556" s="66"/>
      <c r="I556" s="66"/>
      <c r="J556" s="66"/>
      <c r="K556" s="55"/>
      <c r="L556" s="55"/>
      <c r="M556" s="55"/>
    </row>
    <row r="557" spans="1:13" s="67" customFormat="1" ht="31.2" x14ac:dyDescent="0.3">
      <c r="A557" s="110"/>
      <c r="B557" s="60" t="s">
        <v>545</v>
      </c>
      <c r="C557" s="78" t="s">
        <v>387</v>
      </c>
      <c r="D557" s="185">
        <f t="shared" si="7"/>
        <v>3943999.9999999995</v>
      </c>
      <c r="E557" s="91"/>
      <c r="F557" s="77">
        <v>3400000</v>
      </c>
      <c r="G557" s="55"/>
      <c r="H557" s="66"/>
      <c r="I557" s="66"/>
      <c r="J557" s="66"/>
      <c r="K557" s="55"/>
      <c r="L557" s="55"/>
      <c r="M557" s="55"/>
    </row>
    <row r="558" spans="1:13" s="67" customFormat="1" ht="46.8" x14ac:dyDescent="0.3">
      <c r="A558" s="71"/>
      <c r="B558" s="60" t="s">
        <v>544</v>
      </c>
      <c r="C558" s="78" t="s">
        <v>171</v>
      </c>
      <c r="D558" s="185">
        <f t="shared" si="7"/>
        <v>62639.999999999993</v>
      </c>
      <c r="E558" s="91"/>
      <c r="F558" s="77">
        <v>54000</v>
      </c>
      <c r="G558" s="55"/>
      <c r="H558" s="66"/>
      <c r="I558" s="66"/>
      <c r="J558" s="66"/>
      <c r="K558" s="55"/>
      <c r="L558" s="55"/>
      <c r="M558" s="55"/>
    </row>
    <row r="559" spans="1:13" s="67" customFormat="1" x14ac:dyDescent="0.3">
      <c r="A559" s="71"/>
      <c r="B559" s="60" t="s">
        <v>543</v>
      </c>
      <c r="C559" s="78" t="s">
        <v>129</v>
      </c>
      <c r="D559" s="185">
        <f t="shared" si="7"/>
        <v>9280</v>
      </c>
      <c r="E559" s="91"/>
      <c r="F559" s="77">
        <v>8000</v>
      </c>
      <c r="G559" s="55"/>
      <c r="H559" s="66"/>
      <c r="I559" s="66"/>
      <c r="J559" s="66"/>
      <c r="K559" s="55"/>
      <c r="L559" s="55"/>
      <c r="M559" s="55"/>
    </row>
    <row r="560" spans="1:13" s="67" customFormat="1" x14ac:dyDescent="0.3">
      <c r="A560" s="71"/>
      <c r="B560" s="57"/>
      <c r="C560" s="78"/>
      <c r="D560" s="185">
        <f t="shared" si="7"/>
        <v>0</v>
      </c>
      <c r="E560" s="91"/>
      <c r="F560" s="77"/>
      <c r="G560" s="55"/>
      <c r="H560" s="66"/>
      <c r="I560" s="66"/>
      <c r="J560" s="66"/>
      <c r="K560" s="55"/>
      <c r="L560" s="55"/>
      <c r="M560" s="55"/>
    </row>
    <row r="561" spans="1:13" s="67" customFormat="1" x14ac:dyDescent="0.3">
      <c r="A561" s="71"/>
      <c r="B561" s="60" t="s">
        <v>522</v>
      </c>
      <c r="C561" s="78" t="s">
        <v>542</v>
      </c>
      <c r="D561" s="185">
        <f>+F561*1.16*1.06</f>
        <v>62710.288575999992</v>
      </c>
      <c r="E561" s="91"/>
      <c r="F561" s="77">
        <v>51000.56</v>
      </c>
      <c r="G561" s="55"/>
      <c r="H561" s="66"/>
      <c r="I561" s="66"/>
      <c r="J561" s="66"/>
      <c r="K561" s="55"/>
      <c r="L561" s="55"/>
      <c r="M561" s="55"/>
    </row>
    <row r="562" spans="1:13" s="67" customFormat="1" x14ac:dyDescent="0.3">
      <c r="A562" s="71"/>
      <c r="B562" s="60" t="s">
        <v>518</v>
      </c>
      <c r="C562" s="78" t="s">
        <v>542</v>
      </c>
      <c r="D562" s="185">
        <f>+F562*1.16*1.06</f>
        <v>62710.288575999992</v>
      </c>
      <c r="E562" s="91"/>
      <c r="F562" s="77">
        <v>51000.56</v>
      </c>
      <c r="G562" s="55"/>
      <c r="H562" s="66"/>
      <c r="I562" s="66"/>
      <c r="J562" s="66"/>
      <c r="K562" s="55"/>
      <c r="L562" s="55"/>
      <c r="M562" s="55"/>
    </row>
    <row r="563" spans="1:13" s="67" customFormat="1" x14ac:dyDescent="0.3">
      <c r="A563" s="71"/>
      <c r="B563" s="60" t="s">
        <v>541</v>
      </c>
      <c r="C563" s="78" t="s">
        <v>532</v>
      </c>
      <c r="D563" s="185">
        <f t="shared" ref="D563:D568" si="8">+F563*1.16</f>
        <v>61711.999999999993</v>
      </c>
      <c r="E563" s="91"/>
      <c r="F563" s="77">
        <v>53200</v>
      </c>
      <c r="G563" s="55"/>
      <c r="H563" s="66"/>
      <c r="I563" s="66"/>
      <c r="J563" s="66"/>
      <c r="K563" s="55"/>
      <c r="L563" s="55"/>
      <c r="M563" s="55"/>
    </row>
    <row r="564" spans="1:13" s="67" customFormat="1" x14ac:dyDescent="0.3">
      <c r="A564" s="71"/>
      <c r="B564" s="60" t="s">
        <v>540</v>
      </c>
      <c r="C564" s="78" t="s">
        <v>532</v>
      </c>
      <c r="D564" s="185">
        <f t="shared" si="8"/>
        <v>1739.9999999999998</v>
      </c>
      <c r="E564" s="91"/>
      <c r="F564" s="77">
        <v>1500</v>
      </c>
      <c r="G564" s="55"/>
      <c r="H564" s="66"/>
      <c r="I564" s="66"/>
      <c r="J564" s="66"/>
      <c r="K564" s="55"/>
      <c r="L564" s="55"/>
      <c r="M564" s="55"/>
    </row>
    <row r="565" spans="1:13" s="67" customFormat="1" x14ac:dyDescent="0.3">
      <c r="A565" s="71"/>
      <c r="B565" s="60" t="s">
        <v>539</v>
      </c>
      <c r="C565" s="78" t="s">
        <v>535</v>
      </c>
      <c r="D565" s="185">
        <f t="shared" si="8"/>
        <v>429199.99999999994</v>
      </c>
      <c r="E565" s="91"/>
      <c r="F565" s="77">
        <v>370000</v>
      </c>
      <c r="G565" s="55"/>
      <c r="H565" s="66"/>
      <c r="I565" s="66"/>
      <c r="J565" s="66"/>
      <c r="K565" s="55"/>
      <c r="L565" s="55"/>
      <c r="M565" s="55"/>
    </row>
    <row r="566" spans="1:13" s="67" customFormat="1" x14ac:dyDescent="0.3">
      <c r="A566" s="71"/>
      <c r="B566" s="60" t="s">
        <v>539</v>
      </c>
      <c r="C566" s="78" t="s">
        <v>535</v>
      </c>
      <c r="D566" s="185">
        <f t="shared" si="8"/>
        <v>313200</v>
      </c>
      <c r="E566" s="91"/>
      <c r="F566" s="77">
        <v>270000</v>
      </c>
      <c r="G566" s="55"/>
      <c r="H566" s="66"/>
      <c r="I566" s="66"/>
      <c r="J566" s="66"/>
      <c r="K566" s="55"/>
      <c r="L566" s="55"/>
      <c r="M566" s="55"/>
    </row>
    <row r="567" spans="1:13" s="67" customFormat="1" x14ac:dyDescent="0.3">
      <c r="A567" s="71"/>
      <c r="B567" s="60" t="s">
        <v>538</v>
      </c>
      <c r="C567" s="78" t="s">
        <v>525</v>
      </c>
      <c r="D567" s="185">
        <f t="shared" si="8"/>
        <v>63799.999999999993</v>
      </c>
      <c r="E567" s="91"/>
      <c r="F567" s="77">
        <v>55000</v>
      </c>
      <c r="G567" s="55"/>
      <c r="H567" s="66"/>
      <c r="I567" s="66"/>
      <c r="J567" s="66"/>
      <c r="K567" s="55"/>
      <c r="L567" s="55"/>
      <c r="M567" s="55"/>
    </row>
    <row r="568" spans="1:13" s="67" customFormat="1" ht="31.2" x14ac:dyDescent="0.3">
      <c r="A568" s="71"/>
      <c r="B568" s="60" t="s">
        <v>537</v>
      </c>
      <c r="C568" s="78" t="s">
        <v>525</v>
      </c>
      <c r="D568" s="185">
        <f t="shared" si="8"/>
        <v>92800</v>
      </c>
      <c r="E568" s="91"/>
      <c r="F568" s="77">
        <v>80000</v>
      </c>
      <c r="G568" s="55"/>
      <c r="H568" s="66"/>
      <c r="I568" s="66"/>
      <c r="J568" s="66"/>
      <c r="K568" s="55"/>
      <c r="L568" s="55"/>
      <c r="M568" s="55"/>
    </row>
    <row r="569" spans="1:13" s="67" customFormat="1" x14ac:dyDescent="0.3">
      <c r="A569" s="71"/>
      <c r="B569" s="60"/>
      <c r="C569" s="78"/>
      <c r="D569" s="185"/>
      <c r="E569" s="91"/>
      <c r="F569" s="77"/>
      <c r="G569" s="55"/>
      <c r="H569" s="66"/>
      <c r="I569" s="66"/>
      <c r="J569" s="66"/>
      <c r="K569" s="55"/>
      <c r="L569" s="55"/>
      <c r="M569" s="55"/>
    </row>
    <row r="570" spans="1:13" s="67" customFormat="1" x14ac:dyDescent="0.3">
      <c r="A570" s="71"/>
      <c r="B570" s="113" t="s">
        <v>536</v>
      </c>
      <c r="C570" s="78" t="s">
        <v>535</v>
      </c>
      <c r="D570" s="185">
        <f>+F570*1.16</f>
        <v>13339.999999999998</v>
      </c>
      <c r="E570" s="91"/>
      <c r="F570" s="77">
        <v>11500</v>
      </c>
      <c r="G570" s="55"/>
      <c r="H570" s="66"/>
      <c r="I570" s="66"/>
      <c r="J570" s="66"/>
      <c r="K570" s="55"/>
      <c r="L570" s="55"/>
      <c r="M570" s="55"/>
    </row>
    <row r="571" spans="1:13" s="67" customFormat="1" x14ac:dyDescent="0.3">
      <c r="A571" s="71"/>
      <c r="B571" s="113" t="s">
        <v>534</v>
      </c>
      <c r="C571" s="78" t="s">
        <v>525</v>
      </c>
      <c r="D571" s="185"/>
      <c r="E571" s="91"/>
      <c r="F571" s="92"/>
      <c r="G571" s="55"/>
      <c r="H571" s="66"/>
      <c r="I571" s="66"/>
      <c r="J571" s="66"/>
      <c r="K571" s="55"/>
      <c r="L571" s="55"/>
      <c r="M571" s="55"/>
    </row>
    <row r="572" spans="1:13" s="67" customFormat="1" x14ac:dyDescent="0.3">
      <c r="A572" s="71"/>
      <c r="B572" s="113" t="s">
        <v>533</v>
      </c>
      <c r="C572" s="78" t="s">
        <v>532</v>
      </c>
      <c r="D572" s="185">
        <f>+F572*1.16</f>
        <v>145001.85599999997</v>
      </c>
      <c r="E572" s="91"/>
      <c r="F572" s="77">
        <f>107760*1.16</f>
        <v>125001.59999999999</v>
      </c>
      <c r="G572" s="55"/>
      <c r="H572" s="66"/>
      <c r="I572" s="66"/>
      <c r="J572" s="66"/>
      <c r="K572" s="55"/>
      <c r="L572" s="55"/>
      <c r="M572" s="55"/>
    </row>
    <row r="573" spans="1:13" s="67" customFormat="1" x14ac:dyDescent="0.3">
      <c r="A573" s="71"/>
      <c r="B573" s="60" t="s">
        <v>531</v>
      </c>
      <c r="C573" s="78" t="s">
        <v>525</v>
      </c>
      <c r="D573" s="185">
        <f>+F573*1.16</f>
        <v>6728000</v>
      </c>
      <c r="E573" s="91"/>
      <c r="F573" s="77">
        <v>5800000</v>
      </c>
      <c r="G573" s="55"/>
      <c r="H573" s="66"/>
      <c r="I573" s="66"/>
      <c r="J573" s="66"/>
      <c r="K573" s="55"/>
      <c r="L573" s="55"/>
      <c r="M573" s="55"/>
    </row>
    <row r="574" spans="1:13" s="67" customFormat="1" x14ac:dyDescent="0.3">
      <c r="A574" s="71"/>
      <c r="B574" s="60" t="s">
        <v>530</v>
      </c>
      <c r="C574" s="78" t="s">
        <v>525</v>
      </c>
      <c r="D574" s="185">
        <f>+F574*1.16</f>
        <v>81200</v>
      </c>
      <c r="E574" s="91"/>
      <c r="F574" s="77">
        <v>70000</v>
      </c>
      <c r="G574" s="55"/>
      <c r="H574" s="66"/>
      <c r="I574" s="66"/>
      <c r="J574" s="66"/>
      <c r="K574" s="55"/>
      <c r="L574" s="55"/>
      <c r="M574" s="55"/>
    </row>
    <row r="575" spans="1:13" s="67" customFormat="1" x14ac:dyDescent="0.3">
      <c r="A575" s="71"/>
      <c r="B575" s="60" t="s">
        <v>529</v>
      </c>
      <c r="C575" s="78" t="s">
        <v>171</v>
      </c>
      <c r="D575" s="185">
        <f>+F575*1.16</f>
        <v>139.19999999999999</v>
      </c>
      <c r="E575" s="91"/>
      <c r="F575" s="77">
        <v>120</v>
      </c>
      <c r="G575" s="55"/>
      <c r="H575" s="66"/>
      <c r="I575" s="66"/>
      <c r="J575" s="66"/>
      <c r="K575" s="55"/>
      <c r="L575" s="55"/>
      <c r="M575" s="55"/>
    </row>
    <row r="576" spans="1:13" s="67" customFormat="1" x14ac:dyDescent="0.3">
      <c r="A576" s="71"/>
      <c r="B576" s="60" t="s">
        <v>528</v>
      </c>
      <c r="C576" s="78" t="s">
        <v>171</v>
      </c>
      <c r="D576" s="185">
        <v>70</v>
      </c>
      <c r="E576" s="91"/>
      <c r="F576" s="92">
        <f>+D580/25</f>
        <v>3140</v>
      </c>
      <c r="G576" s="55"/>
      <c r="H576" s="66"/>
      <c r="I576" s="66"/>
      <c r="J576" s="66"/>
      <c r="K576" s="55"/>
      <c r="L576" s="55"/>
      <c r="M576" s="55"/>
    </row>
    <row r="577" spans="1:13" s="67" customFormat="1" x14ac:dyDescent="0.3">
      <c r="A577" s="71"/>
      <c r="B577" s="60" t="s">
        <v>527</v>
      </c>
      <c r="C577" s="78" t="s">
        <v>525</v>
      </c>
      <c r="D577" s="185">
        <f>+F577*1.16</f>
        <v>19720</v>
      </c>
      <c r="E577" s="91"/>
      <c r="F577" s="77">
        <v>17000</v>
      </c>
      <c r="G577" s="55"/>
      <c r="H577" s="66"/>
      <c r="I577" s="66"/>
      <c r="J577" s="66"/>
      <c r="K577" s="55"/>
      <c r="L577" s="55"/>
      <c r="M577" s="55"/>
    </row>
    <row r="578" spans="1:13" s="67" customFormat="1" x14ac:dyDescent="0.3">
      <c r="A578" s="71"/>
      <c r="B578" s="60" t="s">
        <v>526</v>
      </c>
      <c r="C578" s="78" t="s">
        <v>525</v>
      </c>
      <c r="D578" s="185">
        <f>+F578*1.16</f>
        <v>3248</v>
      </c>
      <c r="E578" s="91"/>
      <c r="F578" s="77">
        <v>2800</v>
      </c>
      <c r="G578" s="55"/>
      <c r="H578" s="66"/>
      <c r="I578" s="66"/>
      <c r="J578" s="66"/>
      <c r="K578" s="55"/>
      <c r="L578" s="55"/>
      <c r="M578" s="55"/>
    </row>
    <row r="579" spans="1:13" s="67" customFormat="1" x14ac:dyDescent="0.3">
      <c r="A579" s="71"/>
      <c r="B579" s="57" t="s">
        <v>524</v>
      </c>
      <c r="C579" s="78" t="s">
        <v>492</v>
      </c>
      <c r="D579" s="185">
        <v>35900</v>
      </c>
      <c r="E579" s="91" t="s">
        <v>520</v>
      </c>
      <c r="F579" s="77"/>
      <c r="G579" s="55"/>
      <c r="H579" s="66"/>
      <c r="I579" s="66"/>
      <c r="J579" s="66"/>
      <c r="K579" s="55"/>
      <c r="L579" s="55"/>
      <c r="M579" s="55"/>
    </row>
    <row r="580" spans="1:13" s="67" customFormat="1" x14ac:dyDescent="0.3">
      <c r="A580" s="71"/>
      <c r="B580" s="57" t="s">
        <v>523</v>
      </c>
      <c r="C580" s="78" t="s">
        <v>492</v>
      </c>
      <c r="D580" s="185">
        <v>78500</v>
      </c>
      <c r="E580" s="91" t="s">
        <v>520</v>
      </c>
      <c r="F580" s="92"/>
      <c r="G580" s="55"/>
      <c r="H580" s="66"/>
      <c r="I580" s="66"/>
      <c r="J580" s="66"/>
      <c r="K580" s="55"/>
      <c r="L580" s="55"/>
      <c r="M580" s="55"/>
    </row>
    <row r="581" spans="1:13" s="67" customFormat="1" x14ac:dyDescent="0.3">
      <c r="A581" s="71"/>
      <c r="B581" s="60" t="s">
        <v>522</v>
      </c>
      <c r="C581" s="78" t="s">
        <v>492</v>
      </c>
      <c r="D581" s="185">
        <v>45553</v>
      </c>
      <c r="E581" s="91"/>
      <c r="F581" s="92">
        <f>0.12*17158</f>
        <v>2058.96</v>
      </c>
      <c r="G581" s="55"/>
      <c r="H581" s="66"/>
      <c r="I581" s="66"/>
      <c r="J581" s="66"/>
      <c r="K581" s="55"/>
      <c r="L581" s="55"/>
      <c r="M581" s="55"/>
    </row>
    <row r="582" spans="1:13" s="67" customFormat="1" x14ac:dyDescent="0.3">
      <c r="A582" s="71"/>
      <c r="B582" s="60" t="s">
        <v>521</v>
      </c>
      <c r="C582" s="78" t="s">
        <v>492</v>
      </c>
      <c r="D582" s="185">
        <v>20857</v>
      </c>
      <c r="E582" s="91" t="s">
        <v>520</v>
      </c>
      <c r="F582" s="84"/>
      <c r="G582" s="55"/>
      <c r="H582" s="66"/>
      <c r="I582" s="66"/>
      <c r="J582" s="66"/>
      <c r="K582" s="55"/>
      <c r="L582" s="55"/>
      <c r="M582" s="55"/>
    </row>
    <row r="583" spans="1:13" s="67" customFormat="1" x14ac:dyDescent="0.3">
      <c r="A583" s="71"/>
      <c r="B583" s="60" t="s">
        <v>519</v>
      </c>
      <c r="C583" s="78" t="s">
        <v>171</v>
      </c>
      <c r="D583" s="185">
        <v>1300</v>
      </c>
      <c r="E583" s="91"/>
      <c r="F583" s="92">
        <v>2531.2800000000002</v>
      </c>
      <c r="G583" s="55"/>
      <c r="H583" s="66"/>
      <c r="I583" s="66"/>
      <c r="J583" s="66"/>
      <c r="K583" s="55"/>
      <c r="L583" s="55"/>
      <c r="M583" s="55"/>
    </row>
    <row r="584" spans="1:13" s="67" customFormat="1" x14ac:dyDescent="0.3">
      <c r="A584" s="71"/>
      <c r="B584" s="60" t="s">
        <v>518</v>
      </c>
      <c r="C584" s="78" t="s">
        <v>492</v>
      </c>
      <c r="D584" s="185">
        <v>45553</v>
      </c>
      <c r="E584" s="91"/>
      <c r="F584" s="92">
        <v>33233.9</v>
      </c>
      <c r="G584" s="55"/>
      <c r="H584" s="66"/>
      <c r="I584" s="66"/>
      <c r="J584" s="66"/>
      <c r="K584" s="55"/>
      <c r="L584" s="55"/>
      <c r="M584" s="55"/>
    </row>
    <row r="585" spans="1:13" s="67" customFormat="1" x14ac:dyDescent="0.3">
      <c r="A585" s="71"/>
      <c r="B585" s="60" t="s">
        <v>517</v>
      </c>
      <c r="C585" s="78" t="s">
        <v>512</v>
      </c>
      <c r="D585" s="185">
        <v>23483</v>
      </c>
      <c r="E585" s="91"/>
      <c r="F585" s="92">
        <v>45437.31</v>
      </c>
      <c r="G585" s="55"/>
      <c r="H585" s="66"/>
      <c r="I585" s="66"/>
      <c r="J585" s="66"/>
      <c r="K585" s="55"/>
      <c r="L585" s="55"/>
      <c r="M585" s="55"/>
    </row>
    <row r="586" spans="1:13" s="67" customFormat="1" x14ac:dyDescent="0.3">
      <c r="A586" s="71"/>
      <c r="B586" s="60" t="s">
        <v>516</v>
      </c>
      <c r="C586" s="78" t="s">
        <v>512</v>
      </c>
      <c r="D586" s="185">
        <v>10867</v>
      </c>
      <c r="E586" s="91"/>
      <c r="F586" s="92"/>
      <c r="G586" s="55"/>
      <c r="H586" s="66"/>
      <c r="I586" s="66"/>
      <c r="J586" s="66"/>
      <c r="K586" s="55"/>
      <c r="L586" s="55"/>
      <c r="M586" s="55"/>
    </row>
    <row r="587" spans="1:13" s="67" customFormat="1" x14ac:dyDescent="0.3">
      <c r="A587" s="71"/>
      <c r="B587" s="60" t="s">
        <v>515</v>
      </c>
      <c r="C587" s="78" t="s">
        <v>512</v>
      </c>
      <c r="D587" s="185">
        <v>1660</v>
      </c>
      <c r="E587" s="91"/>
      <c r="F587" s="86"/>
      <c r="G587" s="55"/>
      <c r="H587" s="66"/>
      <c r="I587" s="66"/>
      <c r="J587" s="66"/>
      <c r="K587" s="55"/>
      <c r="L587" s="55"/>
      <c r="M587" s="55"/>
    </row>
    <row r="588" spans="1:13" s="67" customFormat="1" x14ac:dyDescent="0.3">
      <c r="A588" s="71"/>
      <c r="B588" s="60" t="s">
        <v>514</v>
      </c>
      <c r="C588" s="78" t="s">
        <v>442</v>
      </c>
      <c r="D588" s="185">
        <v>17400</v>
      </c>
      <c r="E588" s="91"/>
      <c r="F588" s="92">
        <f>+F586*1.6</f>
        <v>0</v>
      </c>
      <c r="G588" s="55"/>
      <c r="H588" s="66"/>
      <c r="I588" s="66"/>
      <c r="J588" s="66"/>
      <c r="K588" s="55"/>
      <c r="L588" s="55"/>
      <c r="M588" s="55"/>
    </row>
    <row r="589" spans="1:13" s="67" customFormat="1" x14ac:dyDescent="0.3">
      <c r="A589" s="71"/>
      <c r="B589" s="60" t="s">
        <v>513</v>
      </c>
      <c r="C589" s="78" t="s">
        <v>512</v>
      </c>
      <c r="D589" s="185">
        <v>10424</v>
      </c>
      <c r="E589" s="91"/>
      <c r="F589" s="92">
        <f>+F588-F586</f>
        <v>0</v>
      </c>
      <c r="G589" s="55"/>
      <c r="H589" s="66"/>
      <c r="I589" s="66"/>
      <c r="J589" s="66"/>
      <c r="K589" s="55"/>
      <c r="L589" s="55"/>
      <c r="M589" s="55"/>
    </row>
    <row r="590" spans="1:13" s="67" customFormat="1" x14ac:dyDescent="0.3">
      <c r="A590" s="71"/>
      <c r="B590" s="60" t="s">
        <v>511</v>
      </c>
      <c r="C590" s="78" t="s">
        <v>335</v>
      </c>
      <c r="D590" s="185">
        <v>1574</v>
      </c>
      <c r="E590" s="91"/>
      <c r="F590" s="84"/>
      <c r="G590" s="55"/>
      <c r="H590" s="66"/>
      <c r="I590" s="66"/>
      <c r="J590" s="66"/>
      <c r="K590" s="55"/>
      <c r="L590" s="55"/>
      <c r="M590" s="55"/>
    </row>
    <row r="591" spans="1:13" s="67" customFormat="1" x14ac:dyDescent="0.3">
      <c r="A591" s="71"/>
      <c r="B591" s="60" t="s">
        <v>510</v>
      </c>
      <c r="C591" s="78" t="s">
        <v>442</v>
      </c>
      <c r="D591" s="185">
        <f>+F591/6</f>
        <v>3832.8333333333335</v>
      </c>
      <c r="E591" s="91"/>
      <c r="F591" s="77">
        <f>19825*1.16</f>
        <v>22997</v>
      </c>
      <c r="G591" s="55"/>
      <c r="H591" s="66"/>
      <c r="I591" s="66"/>
      <c r="J591" s="66"/>
      <c r="K591" s="55"/>
      <c r="L591" s="55"/>
      <c r="M591" s="55"/>
    </row>
    <row r="592" spans="1:13" s="67" customFormat="1" x14ac:dyDescent="0.3">
      <c r="A592" s="71"/>
      <c r="B592" s="60" t="s">
        <v>509</v>
      </c>
      <c r="C592" s="78" t="s">
        <v>508</v>
      </c>
      <c r="D592" s="185">
        <f t="shared" ref="D592:D601" si="9">+F592*1.16</f>
        <v>11010.72</v>
      </c>
      <c r="E592" s="91"/>
      <c r="F592" s="77">
        <v>9492</v>
      </c>
      <c r="G592" s="55"/>
      <c r="H592" s="66"/>
      <c r="I592" s="66"/>
      <c r="J592" s="66"/>
      <c r="K592" s="55"/>
      <c r="L592" s="55"/>
      <c r="M592" s="55"/>
    </row>
    <row r="593" spans="1:13" s="67" customFormat="1" x14ac:dyDescent="0.3">
      <c r="A593" s="71"/>
      <c r="B593" s="60" t="s">
        <v>507</v>
      </c>
      <c r="C593" s="78" t="s">
        <v>84</v>
      </c>
      <c r="D593" s="185">
        <f t="shared" si="9"/>
        <v>66991.159999999989</v>
      </c>
      <c r="E593" s="91"/>
      <c r="F593" s="77">
        <v>57751</v>
      </c>
      <c r="G593" s="55"/>
      <c r="H593" s="66"/>
      <c r="I593" s="66"/>
      <c r="J593" s="66"/>
      <c r="K593" s="55"/>
      <c r="L593" s="55"/>
      <c r="M593" s="55"/>
    </row>
    <row r="594" spans="1:13" s="67" customFormat="1" x14ac:dyDescent="0.3">
      <c r="A594" s="71"/>
      <c r="B594" s="60" t="s">
        <v>507</v>
      </c>
      <c r="C594" s="78" t="s">
        <v>506</v>
      </c>
      <c r="D594" s="185">
        <f t="shared" si="9"/>
        <v>328281.15999999997</v>
      </c>
      <c r="E594" s="91"/>
      <c r="F594" s="77">
        <v>283001</v>
      </c>
      <c r="G594" s="55"/>
      <c r="H594" s="66"/>
      <c r="I594" s="66"/>
      <c r="J594" s="66"/>
      <c r="K594" s="55"/>
      <c r="L594" s="55"/>
      <c r="M594" s="55"/>
    </row>
    <row r="595" spans="1:13" s="67" customFormat="1" x14ac:dyDescent="0.3">
      <c r="A595" s="71"/>
      <c r="B595" s="60" t="s">
        <v>505</v>
      </c>
      <c r="C595" s="78" t="s">
        <v>84</v>
      </c>
      <c r="D595" s="185">
        <f t="shared" si="9"/>
        <v>79895</v>
      </c>
      <c r="E595" s="91"/>
      <c r="F595" s="77">
        <v>68875</v>
      </c>
      <c r="G595" s="55"/>
      <c r="H595" s="66"/>
      <c r="I595" s="66"/>
      <c r="J595" s="66"/>
      <c r="K595" s="55"/>
      <c r="L595" s="55"/>
      <c r="M595" s="55"/>
    </row>
    <row r="596" spans="1:13" s="67" customFormat="1" x14ac:dyDescent="0.3">
      <c r="A596" s="71"/>
      <c r="B596" s="60" t="s">
        <v>504</v>
      </c>
      <c r="C596" s="78" t="s">
        <v>84</v>
      </c>
      <c r="D596" s="185">
        <f t="shared" si="9"/>
        <v>134492.72</v>
      </c>
      <c r="E596" s="91"/>
      <c r="F596" s="77">
        <v>115942</v>
      </c>
      <c r="G596" s="55"/>
      <c r="H596" s="66"/>
      <c r="I596" s="66"/>
      <c r="J596" s="66"/>
      <c r="K596" s="55"/>
      <c r="L596" s="55"/>
      <c r="M596" s="55"/>
    </row>
    <row r="597" spans="1:13" s="67" customFormat="1" x14ac:dyDescent="0.3">
      <c r="A597" s="71"/>
      <c r="B597" s="60" t="s">
        <v>503</v>
      </c>
      <c r="C597" s="78" t="s">
        <v>84</v>
      </c>
      <c r="D597" s="185">
        <f t="shared" si="9"/>
        <v>30159.999999999996</v>
      </c>
      <c r="E597" s="91"/>
      <c r="F597" s="77">
        <v>26000</v>
      </c>
      <c r="G597" s="55"/>
      <c r="H597" s="66"/>
      <c r="I597" s="66"/>
      <c r="J597" s="66"/>
      <c r="K597" s="55"/>
      <c r="L597" s="55"/>
      <c r="M597" s="55"/>
    </row>
    <row r="598" spans="1:13" s="67" customFormat="1" ht="31.2" x14ac:dyDescent="0.3">
      <c r="A598" s="71"/>
      <c r="B598" s="60" t="s">
        <v>502</v>
      </c>
      <c r="C598" s="78" t="s">
        <v>171</v>
      </c>
      <c r="D598" s="185">
        <f t="shared" si="9"/>
        <v>92800</v>
      </c>
      <c r="E598" s="91"/>
      <c r="F598" s="77">
        <v>80000</v>
      </c>
      <c r="G598" s="55"/>
      <c r="H598" s="66"/>
      <c r="I598" s="66"/>
      <c r="J598" s="66"/>
      <c r="K598" s="55"/>
      <c r="L598" s="55"/>
      <c r="M598" s="55"/>
    </row>
    <row r="599" spans="1:13" s="67" customFormat="1" x14ac:dyDescent="0.3">
      <c r="A599" s="71"/>
      <c r="B599" s="60" t="s">
        <v>501</v>
      </c>
      <c r="C599" s="102" t="s">
        <v>222</v>
      </c>
      <c r="D599" s="185">
        <f t="shared" si="9"/>
        <v>13067.4</v>
      </c>
      <c r="E599" s="91"/>
      <c r="F599" s="77">
        <v>11265</v>
      </c>
      <c r="G599" s="55"/>
      <c r="H599" s="66"/>
      <c r="I599" s="66"/>
      <c r="J599" s="66"/>
      <c r="K599" s="55"/>
      <c r="L599" s="55"/>
      <c r="M599" s="55"/>
    </row>
    <row r="600" spans="1:13" s="67" customFormat="1" x14ac:dyDescent="0.3">
      <c r="A600" s="71"/>
      <c r="B600" s="60" t="s">
        <v>500</v>
      </c>
      <c r="C600" s="102" t="s">
        <v>83</v>
      </c>
      <c r="D600" s="185">
        <f t="shared" si="9"/>
        <v>8813.68</v>
      </c>
      <c r="E600" s="91"/>
      <c r="F600" s="77">
        <v>7598</v>
      </c>
      <c r="G600" s="55"/>
      <c r="H600" s="66"/>
      <c r="I600" s="66"/>
      <c r="J600" s="66"/>
      <c r="K600" s="55"/>
      <c r="L600" s="55"/>
      <c r="M600" s="55"/>
    </row>
    <row r="601" spans="1:13" s="67" customFormat="1" x14ac:dyDescent="0.3">
      <c r="A601" s="71"/>
      <c r="B601" s="60" t="s">
        <v>499</v>
      </c>
      <c r="C601" s="102" t="s">
        <v>83</v>
      </c>
      <c r="D601" s="185">
        <f t="shared" si="9"/>
        <v>10151.16</v>
      </c>
      <c r="E601" s="91"/>
      <c r="F601" s="77">
        <v>8751</v>
      </c>
      <c r="G601" s="55"/>
      <c r="H601" s="66"/>
      <c r="I601" s="66"/>
      <c r="J601" s="66"/>
      <c r="K601" s="55"/>
      <c r="L601" s="55"/>
      <c r="M601" s="55"/>
    </row>
    <row r="602" spans="1:13" s="67" customFormat="1" x14ac:dyDescent="0.3">
      <c r="A602" s="71"/>
      <c r="B602" s="60" t="s">
        <v>498</v>
      </c>
      <c r="C602" s="102" t="s">
        <v>83</v>
      </c>
      <c r="D602" s="185">
        <v>7615</v>
      </c>
      <c r="E602" s="91"/>
      <c r="F602" s="77">
        <v>7615</v>
      </c>
      <c r="G602" s="55"/>
      <c r="H602" s="66"/>
      <c r="I602" s="66"/>
      <c r="J602" s="66"/>
      <c r="K602" s="55"/>
      <c r="L602" s="55"/>
      <c r="M602" s="55"/>
    </row>
    <row r="603" spans="1:13" s="67" customFormat="1" x14ac:dyDescent="0.3">
      <c r="A603" s="71"/>
      <c r="B603" s="60" t="s">
        <v>497</v>
      </c>
      <c r="C603" s="102" t="s">
        <v>83</v>
      </c>
      <c r="D603" s="185">
        <f t="shared" ref="D603:D647" si="10">+F603*1.16</f>
        <v>348</v>
      </c>
      <c r="E603" s="86"/>
      <c r="F603" s="77">
        <v>300</v>
      </c>
      <c r="G603" s="55"/>
      <c r="H603" s="66"/>
      <c r="I603" s="66"/>
      <c r="J603" s="66"/>
      <c r="K603" s="55"/>
      <c r="L603" s="55"/>
      <c r="M603" s="55"/>
    </row>
    <row r="604" spans="1:13" s="67" customFormat="1" x14ac:dyDescent="0.3">
      <c r="A604" s="71"/>
      <c r="B604" s="60" t="s">
        <v>496</v>
      </c>
      <c r="C604" s="102" t="s">
        <v>83</v>
      </c>
      <c r="D604" s="185">
        <f t="shared" si="10"/>
        <v>522</v>
      </c>
      <c r="E604" s="86"/>
      <c r="F604" s="77">
        <v>450</v>
      </c>
      <c r="G604" s="55"/>
      <c r="H604" s="66"/>
      <c r="I604" s="66"/>
      <c r="J604" s="66"/>
      <c r="K604" s="55"/>
      <c r="L604" s="55"/>
      <c r="M604" s="55"/>
    </row>
    <row r="605" spans="1:13" s="67" customFormat="1" x14ac:dyDescent="0.3">
      <c r="A605" s="71"/>
      <c r="B605" s="60" t="s">
        <v>495</v>
      </c>
      <c r="C605" s="78" t="s">
        <v>84</v>
      </c>
      <c r="D605" s="185">
        <f t="shared" si="10"/>
        <v>49591.159999999996</v>
      </c>
      <c r="E605" s="86"/>
      <c r="F605" s="77">
        <v>42751</v>
      </c>
      <c r="G605" s="55"/>
      <c r="H605" s="66"/>
      <c r="I605" s="66"/>
      <c r="J605" s="66"/>
      <c r="K605" s="55"/>
      <c r="L605" s="55"/>
      <c r="M605" s="55"/>
    </row>
    <row r="606" spans="1:13" s="67" customFormat="1" x14ac:dyDescent="0.3">
      <c r="A606" s="71"/>
      <c r="B606" s="60" t="s">
        <v>494</v>
      </c>
      <c r="C606" s="78" t="s">
        <v>129</v>
      </c>
      <c r="D606" s="185">
        <f t="shared" si="10"/>
        <v>7804.48</v>
      </c>
      <c r="E606" s="86"/>
      <c r="F606" s="77">
        <v>6728</v>
      </c>
      <c r="G606" s="55"/>
      <c r="H606" s="66"/>
      <c r="I606" s="66"/>
      <c r="J606" s="66"/>
      <c r="K606" s="55"/>
      <c r="L606" s="55"/>
      <c r="M606" s="55"/>
    </row>
    <row r="607" spans="1:13" s="67" customFormat="1" x14ac:dyDescent="0.3">
      <c r="A607" s="71"/>
      <c r="B607" s="60" t="s">
        <v>493</v>
      </c>
      <c r="C607" s="78" t="s">
        <v>492</v>
      </c>
      <c r="D607" s="185">
        <f t="shared" si="10"/>
        <v>79461.159999999989</v>
      </c>
      <c r="E607" s="86"/>
      <c r="F607" s="77">
        <v>68501</v>
      </c>
      <c r="G607" s="55"/>
      <c r="H607" s="66"/>
      <c r="I607" s="66"/>
      <c r="J607" s="66"/>
      <c r="K607" s="55"/>
      <c r="L607" s="55"/>
      <c r="M607" s="55"/>
    </row>
    <row r="608" spans="1:13" s="67" customFormat="1" x14ac:dyDescent="0.3">
      <c r="A608" s="71"/>
      <c r="B608" s="60" t="s">
        <v>491</v>
      </c>
      <c r="C608" s="78" t="s">
        <v>84</v>
      </c>
      <c r="D608" s="185">
        <f t="shared" si="10"/>
        <v>87250.559999999998</v>
      </c>
      <c r="E608" s="86"/>
      <c r="F608" s="77">
        <v>75216</v>
      </c>
      <c r="G608" s="55"/>
      <c r="H608" s="66"/>
      <c r="I608" s="66"/>
      <c r="J608" s="66"/>
      <c r="K608" s="55"/>
      <c r="L608" s="55"/>
      <c r="M608" s="55"/>
    </row>
    <row r="609" spans="1:13" s="67" customFormat="1" x14ac:dyDescent="0.3">
      <c r="A609" s="71"/>
      <c r="B609" s="60" t="s">
        <v>490</v>
      </c>
      <c r="C609" s="78" t="s">
        <v>83</v>
      </c>
      <c r="D609" s="185">
        <f t="shared" si="10"/>
        <v>28999.999999999996</v>
      </c>
      <c r="E609" s="86"/>
      <c r="F609" s="77">
        <v>25000</v>
      </c>
      <c r="G609" s="55"/>
      <c r="H609" s="66"/>
      <c r="I609" s="66"/>
      <c r="J609" s="66"/>
      <c r="K609" s="55"/>
      <c r="L609" s="55"/>
      <c r="M609" s="55"/>
    </row>
    <row r="610" spans="1:13" s="67" customFormat="1" x14ac:dyDescent="0.3">
      <c r="A610" s="71"/>
      <c r="B610" s="60" t="s">
        <v>489</v>
      </c>
      <c r="C610" s="78" t="s">
        <v>84</v>
      </c>
      <c r="D610" s="185">
        <f t="shared" si="10"/>
        <v>30739.999999999996</v>
      </c>
      <c r="E610" s="86"/>
      <c r="F610" s="77">
        <v>26500</v>
      </c>
      <c r="G610" s="55"/>
      <c r="H610" s="66"/>
      <c r="I610" s="66"/>
      <c r="J610" s="66"/>
      <c r="K610" s="55"/>
      <c r="L610" s="55"/>
      <c r="M610" s="55"/>
    </row>
    <row r="611" spans="1:13" s="67" customFormat="1" x14ac:dyDescent="0.3">
      <c r="A611" s="71"/>
      <c r="B611" s="60" t="s">
        <v>488</v>
      </c>
      <c r="C611" s="78" t="s">
        <v>171</v>
      </c>
      <c r="D611" s="185">
        <f t="shared" si="10"/>
        <v>470.96</v>
      </c>
      <c r="E611" s="86"/>
      <c r="F611" s="77">
        <v>406</v>
      </c>
      <c r="G611" s="55"/>
      <c r="H611" s="66"/>
      <c r="I611" s="66"/>
      <c r="J611" s="66"/>
      <c r="K611" s="55"/>
      <c r="L611" s="55"/>
      <c r="M611" s="55"/>
    </row>
    <row r="612" spans="1:13" s="67" customFormat="1" x14ac:dyDescent="0.3">
      <c r="A612" s="71"/>
      <c r="B612" s="60" t="s">
        <v>487</v>
      </c>
      <c r="C612" s="78" t="s">
        <v>171</v>
      </c>
      <c r="D612" s="185">
        <f t="shared" si="10"/>
        <v>15782.96</v>
      </c>
      <c r="E612" s="86"/>
      <c r="F612" s="77">
        <v>13606</v>
      </c>
      <c r="G612" s="55"/>
      <c r="H612" s="66"/>
      <c r="I612" s="66"/>
      <c r="J612" s="66"/>
      <c r="K612" s="55"/>
      <c r="L612" s="55"/>
      <c r="M612" s="55"/>
    </row>
    <row r="613" spans="1:13" s="67" customFormat="1" x14ac:dyDescent="0.3">
      <c r="A613" s="71"/>
      <c r="B613" s="60" t="s">
        <v>486</v>
      </c>
      <c r="C613" s="78" t="s">
        <v>171</v>
      </c>
      <c r="D613" s="185">
        <f t="shared" si="10"/>
        <v>261.04639999999995</v>
      </c>
      <c r="E613" s="86"/>
      <c r="F613" s="77">
        <v>225.04</v>
      </c>
      <c r="G613" s="55"/>
      <c r="H613" s="66"/>
      <c r="I613" s="66"/>
      <c r="J613" s="66"/>
      <c r="K613" s="55"/>
      <c r="L613" s="55"/>
      <c r="M613" s="55"/>
    </row>
    <row r="614" spans="1:13" s="67" customFormat="1" x14ac:dyDescent="0.3">
      <c r="A614" s="71"/>
      <c r="B614" s="60" t="s">
        <v>485</v>
      </c>
      <c r="C614" s="78" t="s">
        <v>171</v>
      </c>
      <c r="D614" s="185">
        <f t="shared" si="10"/>
        <v>473.65119999999996</v>
      </c>
      <c r="E614" s="86"/>
      <c r="F614" s="77">
        <v>408.32</v>
      </c>
      <c r="G614" s="55"/>
      <c r="H614" s="66"/>
      <c r="I614" s="66"/>
      <c r="J614" s="66"/>
      <c r="K614" s="55"/>
      <c r="L614" s="55"/>
      <c r="M614" s="55"/>
    </row>
    <row r="615" spans="1:13" s="67" customFormat="1" x14ac:dyDescent="0.3">
      <c r="A615" s="71"/>
      <c r="B615" s="60" t="s">
        <v>484</v>
      </c>
      <c r="C615" s="78" t="s">
        <v>171</v>
      </c>
      <c r="D615" s="185">
        <f t="shared" si="10"/>
        <v>33578.519999999997</v>
      </c>
      <c r="E615" s="112"/>
      <c r="F615" s="77">
        <v>28947</v>
      </c>
      <c r="G615" s="111"/>
      <c r="H615" s="66"/>
      <c r="I615" s="66"/>
      <c r="J615" s="66"/>
      <c r="K615" s="55"/>
      <c r="L615" s="55"/>
      <c r="M615" s="55"/>
    </row>
    <row r="616" spans="1:13" s="67" customFormat="1" x14ac:dyDescent="0.3">
      <c r="A616" s="71"/>
      <c r="B616" s="60" t="s">
        <v>483</v>
      </c>
      <c r="C616" s="78" t="s">
        <v>171</v>
      </c>
      <c r="D616" s="185">
        <f t="shared" si="10"/>
        <v>62974.079999999994</v>
      </c>
      <c r="E616" s="112"/>
      <c r="F616" s="77">
        <v>54288</v>
      </c>
      <c r="G616" s="111"/>
      <c r="H616" s="66"/>
      <c r="I616" s="66"/>
      <c r="J616" s="66"/>
      <c r="K616" s="55"/>
      <c r="L616" s="55"/>
      <c r="M616" s="55"/>
    </row>
    <row r="617" spans="1:13" s="67" customFormat="1" x14ac:dyDescent="0.3">
      <c r="A617" s="71"/>
      <c r="B617" s="60" t="s">
        <v>482</v>
      </c>
      <c r="C617" s="78" t="s">
        <v>171</v>
      </c>
      <c r="D617" s="185">
        <f t="shared" si="10"/>
        <v>70785.51999999999</v>
      </c>
      <c r="E617" s="112"/>
      <c r="F617" s="77">
        <v>61022</v>
      </c>
      <c r="G617" s="111"/>
      <c r="H617" s="66"/>
      <c r="I617" s="66"/>
      <c r="J617" s="66"/>
      <c r="K617" s="55"/>
      <c r="L617" s="55"/>
      <c r="M617" s="55"/>
    </row>
    <row r="618" spans="1:13" s="67" customFormat="1" x14ac:dyDescent="0.3">
      <c r="A618" s="71"/>
      <c r="B618" s="60" t="s">
        <v>481</v>
      </c>
      <c r="C618" s="78" t="s">
        <v>171</v>
      </c>
      <c r="D618" s="185">
        <f t="shared" si="10"/>
        <v>124094.48</v>
      </c>
      <c r="E618" s="112"/>
      <c r="F618" s="77">
        <v>106978</v>
      </c>
      <c r="G618" s="111"/>
      <c r="H618" s="66"/>
      <c r="I618" s="66"/>
      <c r="J618" s="66"/>
      <c r="K618" s="55"/>
      <c r="L618" s="55"/>
      <c r="M618" s="55"/>
    </row>
    <row r="619" spans="1:13" s="67" customFormat="1" x14ac:dyDescent="0.3">
      <c r="A619" s="71"/>
      <c r="B619" s="60" t="s">
        <v>480</v>
      </c>
      <c r="C619" s="78" t="s">
        <v>171</v>
      </c>
      <c r="D619" s="185">
        <f t="shared" si="10"/>
        <v>182491.19999999998</v>
      </c>
      <c r="E619" s="112"/>
      <c r="F619" s="77">
        <v>157320</v>
      </c>
      <c r="G619" s="111"/>
      <c r="H619" s="66"/>
      <c r="I619" s="66"/>
      <c r="J619" s="66"/>
      <c r="K619" s="55"/>
      <c r="L619" s="55"/>
      <c r="M619" s="55"/>
    </row>
    <row r="620" spans="1:13" s="67" customFormat="1" x14ac:dyDescent="0.3">
      <c r="A620" s="71"/>
      <c r="B620" s="60" t="s">
        <v>479</v>
      </c>
      <c r="C620" s="78" t="s">
        <v>171</v>
      </c>
      <c r="D620" s="185">
        <f t="shared" si="10"/>
        <v>44966.239999999998</v>
      </c>
      <c r="E620" s="112"/>
      <c r="F620" s="77">
        <v>38764</v>
      </c>
      <c r="G620" s="111"/>
      <c r="H620" s="66"/>
      <c r="I620" s="66"/>
      <c r="J620" s="66"/>
      <c r="K620" s="55"/>
      <c r="L620" s="55"/>
      <c r="M620" s="55"/>
    </row>
    <row r="621" spans="1:13" s="67" customFormat="1" x14ac:dyDescent="0.3">
      <c r="A621" s="71"/>
      <c r="B621" s="60" t="s">
        <v>478</v>
      </c>
      <c r="C621" s="78" t="s">
        <v>171</v>
      </c>
      <c r="D621" s="185">
        <f t="shared" si="10"/>
        <v>31934.799999999999</v>
      </c>
      <c r="E621" s="112"/>
      <c r="F621" s="77">
        <v>27530</v>
      </c>
      <c r="G621" s="111"/>
      <c r="H621" s="66"/>
      <c r="I621" s="66"/>
      <c r="J621" s="66"/>
      <c r="K621" s="55"/>
      <c r="L621" s="55"/>
      <c r="M621" s="55"/>
    </row>
    <row r="622" spans="1:13" s="67" customFormat="1" x14ac:dyDescent="0.3">
      <c r="A622" s="71"/>
      <c r="B622" s="60" t="s">
        <v>477</v>
      </c>
      <c r="C622" s="78" t="s">
        <v>171</v>
      </c>
      <c r="D622" s="185">
        <f t="shared" si="10"/>
        <v>41059.360000000001</v>
      </c>
      <c r="E622" s="112"/>
      <c r="F622" s="77">
        <v>35396</v>
      </c>
      <c r="G622" s="111"/>
      <c r="H622" s="66"/>
      <c r="I622" s="66"/>
      <c r="J622" s="66"/>
      <c r="K622" s="55"/>
      <c r="L622" s="55"/>
      <c r="M622" s="55"/>
    </row>
    <row r="623" spans="1:13" s="67" customFormat="1" x14ac:dyDescent="0.3">
      <c r="A623" s="71"/>
      <c r="B623" s="60" t="s">
        <v>476</v>
      </c>
      <c r="C623" s="78" t="s">
        <v>171</v>
      </c>
      <c r="D623" s="185">
        <f t="shared" si="10"/>
        <v>59308.479999999996</v>
      </c>
      <c r="E623" s="112"/>
      <c r="F623" s="77">
        <v>51128</v>
      </c>
      <c r="G623" s="111"/>
      <c r="H623" s="66"/>
      <c r="I623" s="66"/>
      <c r="J623" s="66"/>
      <c r="K623" s="55"/>
      <c r="L623" s="55"/>
      <c r="M623" s="55"/>
    </row>
    <row r="624" spans="1:13" s="67" customFormat="1" x14ac:dyDescent="0.3">
      <c r="A624" s="71"/>
      <c r="B624" s="60" t="s">
        <v>475</v>
      </c>
      <c r="C624" s="78" t="s">
        <v>171</v>
      </c>
      <c r="D624" s="185">
        <f t="shared" si="10"/>
        <v>120164.4</v>
      </c>
      <c r="E624" s="112"/>
      <c r="F624" s="77">
        <v>103590</v>
      </c>
      <c r="G624" s="111"/>
      <c r="H624" s="66"/>
      <c r="I624" s="66"/>
      <c r="J624" s="66"/>
      <c r="K624" s="55"/>
      <c r="L624" s="55"/>
      <c r="M624" s="55"/>
    </row>
    <row r="625" spans="1:13" s="67" customFormat="1" x14ac:dyDescent="0.3">
      <c r="A625" s="71"/>
      <c r="B625" s="60" t="s">
        <v>474</v>
      </c>
      <c r="C625" s="78" t="s">
        <v>171</v>
      </c>
      <c r="D625" s="185">
        <f t="shared" si="10"/>
        <v>192557.68</v>
      </c>
      <c r="E625" s="112"/>
      <c r="F625" s="77">
        <v>165998</v>
      </c>
      <c r="G625" s="111"/>
      <c r="H625" s="66"/>
      <c r="I625" s="66"/>
      <c r="J625" s="66"/>
      <c r="K625" s="55"/>
      <c r="L625" s="55"/>
      <c r="M625" s="55"/>
    </row>
    <row r="626" spans="1:13" s="67" customFormat="1" x14ac:dyDescent="0.3">
      <c r="A626" s="71"/>
      <c r="B626" s="60" t="s">
        <v>473</v>
      </c>
      <c r="C626" s="78" t="s">
        <v>171</v>
      </c>
      <c r="D626" s="185">
        <f t="shared" si="10"/>
        <v>991.70719999999983</v>
      </c>
      <c r="E626" s="112"/>
      <c r="F626" s="77">
        <v>854.92</v>
      </c>
      <c r="G626" s="111"/>
      <c r="H626" s="66"/>
      <c r="I626" s="66"/>
      <c r="J626" s="66"/>
      <c r="K626" s="55"/>
      <c r="L626" s="55"/>
      <c r="M626" s="55"/>
    </row>
    <row r="627" spans="1:13" s="67" customFormat="1" x14ac:dyDescent="0.3">
      <c r="A627" s="71"/>
      <c r="B627" s="60" t="s">
        <v>472</v>
      </c>
      <c r="C627" s="78" t="s">
        <v>171</v>
      </c>
      <c r="D627" s="185">
        <f t="shared" si="10"/>
        <v>2888.3999999999996</v>
      </c>
      <c r="E627" s="112"/>
      <c r="F627" s="77">
        <v>2490</v>
      </c>
      <c r="G627" s="111"/>
      <c r="H627" s="66"/>
      <c r="I627" s="66"/>
      <c r="J627" s="66"/>
      <c r="K627" s="55"/>
      <c r="L627" s="55"/>
      <c r="M627" s="55"/>
    </row>
    <row r="628" spans="1:13" s="67" customFormat="1" x14ac:dyDescent="0.3">
      <c r="A628" s="71"/>
      <c r="B628" s="60" t="s">
        <v>471</v>
      </c>
      <c r="C628" s="78" t="s">
        <v>171</v>
      </c>
      <c r="D628" s="185">
        <f t="shared" si="10"/>
        <v>151148.00510399998</v>
      </c>
      <c r="E628" s="112"/>
      <c r="F628" s="77">
        <f>112327.59*1.16</f>
        <v>130300.00439999999</v>
      </c>
      <c r="G628" s="111"/>
      <c r="H628" s="66"/>
      <c r="I628" s="66"/>
      <c r="J628" s="66"/>
      <c r="K628" s="55"/>
      <c r="L628" s="55"/>
      <c r="M628" s="55"/>
    </row>
    <row r="629" spans="1:13" s="67" customFormat="1" x14ac:dyDescent="0.3">
      <c r="A629" s="71"/>
      <c r="B629" s="60" t="s">
        <v>470</v>
      </c>
      <c r="C629" s="78" t="s">
        <v>171</v>
      </c>
      <c r="D629" s="185">
        <f t="shared" si="10"/>
        <v>96628</v>
      </c>
      <c r="E629" s="112"/>
      <c r="F629" s="77">
        <v>83300</v>
      </c>
      <c r="G629" s="111"/>
      <c r="H629" s="66"/>
      <c r="I629" s="66"/>
      <c r="J629" s="66"/>
      <c r="K629" s="55"/>
      <c r="L629" s="55"/>
      <c r="M629" s="55"/>
    </row>
    <row r="630" spans="1:13" s="67" customFormat="1" x14ac:dyDescent="0.3">
      <c r="A630" s="71"/>
      <c r="B630" s="60" t="s">
        <v>469</v>
      </c>
      <c r="C630" s="78" t="s">
        <v>171</v>
      </c>
      <c r="D630" s="185">
        <f t="shared" si="10"/>
        <v>81084</v>
      </c>
      <c r="E630" s="112"/>
      <c r="F630" s="77">
        <v>69900</v>
      </c>
      <c r="G630" s="111"/>
      <c r="H630" s="66"/>
      <c r="I630" s="66"/>
      <c r="J630" s="66"/>
      <c r="K630" s="55"/>
      <c r="L630" s="55"/>
      <c r="M630" s="55"/>
    </row>
    <row r="631" spans="1:13" s="67" customFormat="1" x14ac:dyDescent="0.3">
      <c r="A631" s="71"/>
      <c r="B631" s="60" t="s">
        <v>468</v>
      </c>
      <c r="C631" s="78" t="s">
        <v>171</v>
      </c>
      <c r="D631" s="185">
        <f t="shared" si="10"/>
        <v>90364</v>
      </c>
      <c r="E631" s="112"/>
      <c r="F631" s="77">
        <v>77900</v>
      </c>
      <c r="G631" s="111"/>
      <c r="H631" s="66"/>
      <c r="I631" s="66"/>
      <c r="J631" s="66"/>
      <c r="K631" s="55"/>
      <c r="L631" s="55"/>
      <c r="M631" s="55"/>
    </row>
    <row r="632" spans="1:13" s="67" customFormat="1" ht="31.2" x14ac:dyDescent="0.3">
      <c r="A632" s="71"/>
      <c r="B632" s="60" t="s">
        <v>467</v>
      </c>
      <c r="C632" s="78" t="s">
        <v>171</v>
      </c>
      <c r="D632" s="185">
        <f t="shared" si="10"/>
        <v>110083.99999999999</v>
      </c>
      <c r="E632" s="112"/>
      <c r="F632" s="77">
        <v>94900</v>
      </c>
      <c r="G632" s="111"/>
      <c r="H632" s="66"/>
      <c r="I632" s="66"/>
      <c r="J632" s="66"/>
      <c r="K632" s="55"/>
      <c r="L632" s="55"/>
      <c r="M632" s="55"/>
    </row>
    <row r="633" spans="1:13" s="67" customFormat="1" x14ac:dyDescent="0.3">
      <c r="A633" s="71"/>
      <c r="B633" s="60" t="s">
        <v>466</v>
      </c>
      <c r="C633" s="78" t="s">
        <v>171</v>
      </c>
      <c r="D633" s="185">
        <f t="shared" si="10"/>
        <v>75284</v>
      </c>
      <c r="E633" s="86"/>
      <c r="F633" s="77">
        <v>64900</v>
      </c>
      <c r="G633" s="55"/>
      <c r="H633" s="66"/>
      <c r="I633" s="66"/>
      <c r="J633" s="66"/>
      <c r="K633" s="55"/>
      <c r="L633" s="55"/>
      <c r="M633" s="55"/>
    </row>
    <row r="634" spans="1:13" s="67" customFormat="1" ht="31.2" x14ac:dyDescent="0.3">
      <c r="A634" s="71"/>
      <c r="B634" s="60" t="s">
        <v>465</v>
      </c>
      <c r="C634" s="78" t="s">
        <v>171</v>
      </c>
      <c r="D634" s="185">
        <f t="shared" si="10"/>
        <v>214599.99999999997</v>
      </c>
      <c r="E634" s="86"/>
      <c r="F634" s="77">
        <v>185000</v>
      </c>
      <c r="G634" s="55"/>
      <c r="H634" s="66"/>
      <c r="I634" s="66"/>
      <c r="J634" s="66"/>
      <c r="K634" s="55"/>
      <c r="L634" s="55"/>
      <c r="M634" s="55"/>
    </row>
    <row r="635" spans="1:13" s="67" customFormat="1" x14ac:dyDescent="0.3">
      <c r="A635" s="71"/>
      <c r="B635" s="60" t="s">
        <v>464</v>
      </c>
      <c r="C635" s="78" t="s">
        <v>171</v>
      </c>
      <c r="D635" s="185">
        <f t="shared" si="10"/>
        <v>64263.999999999993</v>
      </c>
      <c r="E635" s="86"/>
      <c r="F635" s="77">
        <v>55400</v>
      </c>
      <c r="G635" s="55"/>
      <c r="H635" s="66"/>
      <c r="I635" s="66"/>
      <c r="J635" s="66"/>
      <c r="K635" s="55"/>
      <c r="L635" s="55"/>
      <c r="M635" s="55"/>
    </row>
    <row r="636" spans="1:13" s="67" customFormat="1" x14ac:dyDescent="0.3">
      <c r="A636" s="71"/>
      <c r="B636" s="60" t="s">
        <v>463</v>
      </c>
      <c r="C636" s="78" t="s">
        <v>171</v>
      </c>
      <c r="D636" s="185">
        <f t="shared" si="10"/>
        <v>204044</v>
      </c>
      <c r="E636" s="86"/>
      <c r="F636" s="77">
        <v>175900</v>
      </c>
      <c r="G636" s="55"/>
      <c r="H636" s="66"/>
      <c r="I636" s="66"/>
      <c r="J636" s="66"/>
      <c r="K636" s="55"/>
      <c r="L636" s="55"/>
      <c r="M636" s="55"/>
    </row>
    <row r="637" spans="1:13" x14ac:dyDescent="0.3">
      <c r="B637" s="60" t="s">
        <v>462</v>
      </c>
      <c r="C637" s="78" t="s">
        <v>171</v>
      </c>
      <c r="D637" s="185">
        <f t="shared" si="10"/>
        <v>150800</v>
      </c>
      <c r="E637" s="86"/>
      <c r="F637" s="77">
        <v>130000</v>
      </c>
    </row>
    <row r="638" spans="1:13" x14ac:dyDescent="0.3">
      <c r="B638" s="60" t="s">
        <v>461</v>
      </c>
      <c r="C638" s="78" t="s">
        <v>171</v>
      </c>
      <c r="D638" s="185">
        <f t="shared" si="10"/>
        <v>672684</v>
      </c>
      <c r="E638" s="86"/>
      <c r="F638" s="77">
        <v>579900</v>
      </c>
    </row>
    <row r="639" spans="1:13" s="67" customFormat="1" x14ac:dyDescent="0.3">
      <c r="A639" s="71"/>
      <c r="B639" s="60" t="s">
        <v>460</v>
      </c>
      <c r="C639" s="78" t="s">
        <v>171</v>
      </c>
      <c r="D639" s="185">
        <f t="shared" si="10"/>
        <v>280604</v>
      </c>
      <c r="E639" s="86"/>
      <c r="F639" s="77">
        <v>241900</v>
      </c>
      <c r="G639" s="55"/>
      <c r="H639" s="66"/>
      <c r="I639" s="66"/>
      <c r="J639" s="66"/>
      <c r="K639" s="55"/>
      <c r="L639" s="55"/>
      <c r="M639" s="55"/>
    </row>
    <row r="640" spans="1:13" s="67" customFormat="1" x14ac:dyDescent="0.3">
      <c r="A640" s="71"/>
      <c r="B640" s="60" t="s">
        <v>459</v>
      </c>
      <c r="C640" s="78" t="s">
        <v>171</v>
      </c>
      <c r="D640" s="185">
        <f t="shared" si="10"/>
        <v>545084</v>
      </c>
      <c r="E640" s="86"/>
      <c r="F640" s="77">
        <v>469900</v>
      </c>
      <c r="G640" s="55"/>
      <c r="H640" s="66"/>
      <c r="I640" s="66"/>
      <c r="J640" s="66"/>
      <c r="K640" s="55"/>
      <c r="L640" s="55"/>
      <c r="M640" s="55"/>
    </row>
    <row r="641" spans="1:13" s="67" customFormat="1" x14ac:dyDescent="0.3">
      <c r="A641" s="71"/>
      <c r="B641" s="60" t="s">
        <v>458</v>
      </c>
      <c r="C641" s="78" t="s">
        <v>171</v>
      </c>
      <c r="D641" s="185">
        <f t="shared" si="10"/>
        <v>82360</v>
      </c>
      <c r="E641" s="86"/>
      <c r="F641" s="77">
        <v>71000</v>
      </c>
      <c r="G641" s="55"/>
      <c r="H641" s="66"/>
      <c r="I641" s="66"/>
      <c r="J641" s="66"/>
      <c r="K641" s="55"/>
      <c r="L641" s="55"/>
      <c r="M641" s="55"/>
    </row>
    <row r="642" spans="1:13" s="67" customFormat="1" x14ac:dyDescent="0.3">
      <c r="A642" s="71"/>
      <c r="B642" s="60" t="s">
        <v>457</v>
      </c>
      <c r="C642" s="78" t="s">
        <v>171</v>
      </c>
      <c r="D642" s="185">
        <f t="shared" si="10"/>
        <v>41644</v>
      </c>
      <c r="E642" s="86"/>
      <c r="F642" s="77">
        <v>35900</v>
      </c>
      <c r="G642" s="55"/>
      <c r="H642" s="66"/>
      <c r="I642" s="66"/>
      <c r="J642" s="66"/>
      <c r="K642" s="55"/>
      <c r="L642" s="55"/>
      <c r="M642" s="55"/>
    </row>
    <row r="643" spans="1:13" s="67" customFormat="1" x14ac:dyDescent="0.3">
      <c r="A643" s="71"/>
      <c r="B643" s="60" t="s">
        <v>456</v>
      </c>
      <c r="C643" s="78" t="s">
        <v>171</v>
      </c>
      <c r="D643" s="185">
        <f t="shared" si="10"/>
        <v>255084.04639999996</v>
      </c>
      <c r="E643" s="86"/>
      <c r="F643" s="77">
        <f>189569*1.16</f>
        <v>219900.03999999998</v>
      </c>
      <c r="G643" s="55"/>
      <c r="H643" s="66"/>
      <c r="I643" s="66"/>
      <c r="J643" s="66"/>
      <c r="K643" s="55"/>
      <c r="L643" s="55"/>
      <c r="M643" s="55"/>
    </row>
    <row r="644" spans="1:13" s="67" customFormat="1" x14ac:dyDescent="0.3">
      <c r="A644" s="71"/>
      <c r="B644" s="60" t="s">
        <v>455</v>
      </c>
      <c r="C644" s="78" t="s">
        <v>171</v>
      </c>
      <c r="D644" s="185">
        <f t="shared" si="10"/>
        <v>330753.86239999993</v>
      </c>
      <c r="E644" s="86"/>
      <c r="F644" s="77">
        <f>245804*1.16</f>
        <v>285132.63999999996</v>
      </c>
      <c r="G644" s="55"/>
      <c r="H644" s="66"/>
      <c r="I644" s="66"/>
      <c r="J644" s="66"/>
      <c r="K644" s="55"/>
      <c r="L644" s="55"/>
      <c r="M644" s="55"/>
    </row>
    <row r="645" spans="1:13" s="67" customFormat="1" ht="31.2" x14ac:dyDescent="0.3">
      <c r="A645" s="71"/>
      <c r="B645" s="60" t="s">
        <v>454</v>
      </c>
      <c r="C645" s="78" t="s">
        <v>453</v>
      </c>
      <c r="D645" s="185">
        <f t="shared" si="10"/>
        <v>81084</v>
      </c>
      <c r="E645" s="86"/>
      <c r="F645" s="77">
        <v>69900</v>
      </c>
      <c r="G645" s="55"/>
      <c r="H645" s="66"/>
      <c r="I645" s="66"/>
      <c r="J645" s="66"/>
      <c r="K645" s="55"/>
      <c r="L645" s="55"/>
      <c r="M645" s="55"/>
    </row>
    <row r="646" spans="1:13" s="67" customFormat="1" x14ac:dyDescent="0.3">
      <c r="A646" s="71"/>
      <c r="B646" s="60" t="s">
        <v>452</v>
      </c>
      <c r="C646" s="78" t="s">
        <v>171</v>
      </c>
      <c r="D646" s="185">
        <f t="shared" si="10"/>
        <v>423284.04639999993</v>
      </c>
      <c r="E646" s="86"/>
      <c r="F646" s="77">
        <f>314569*1.16</f>
        <v>364900.04</v>
      </c>
      <c r="G646" s="55"/>
      <c r="H646" s="66"/>
      <c r="I646" s="66"/>
      <c r="J646" s="66"/>
      <c r="K646" s="55"/>
      <c r="L646" s="55"/>
      <c r="M646" s="55"/>
    </row>
    <row r="647" spans="1:13" s="67" customFormat="1" ht="31.2" x14ac:dyDescent="0.3">
      <c r="A647" s="71"/>
      <c r="B647" s="60" t="s">
        <v>451</v>
      </c>
      <c r="C647" s="78" t="s">
        <v>171</v>
      </c>
      <c r="D647" s="185">
        <f t="shared" si="10"/>
        <v>129804.64959999999</v>
      </c>
      <c r="E647" s="86"/>
      <c r="F647" s="77">
        <f>96466*1.16</f>
        <v>111900.56</v>
      </c>
      <c r="G647" s="55"/>
      <c r="H647" s="66"/>
      <c r="I647" s="66"/>
      <c r="J647" s="66"/>
      <c r="K647" s="55"/>
      <c r="L647" s="55"/>
      <c r="M647" s="55"/>
    </row>
    <row r="648" spans="1:13" s="67" customFormat="1" ht="31.2" x14ac:dyDescent="0.3">
      <c r="A648" s="71"/>
      <c r="B648" s="60" t="s">
        <v>450</v>
      </c>
      <c r="C648" s="78" t="s">
        <v>171</v>
      </c>
      <c r="D648" s="185">
        <f>89125*1.16</f>
        <v>103385</v>
      </c>
      <c r="E648" s="91"/>
      <c r="F648" s="84"/>
      <c r="G648" s="55"/>
      <c r="H648" s="66"/>
      <c r="I648" s="66"/>
      <c r="J648" s="66"/>
      <c r="K648" s="55"/>
      <c r="L648" s="55"/>
      <c r="M648" s="55"/>
    </row>
    <row r="649" spans="1:13" s="67" customFormat="1" x14ac:dyDescent="0.3">
      <c r="A649" s="71"/>
      <c r="B649" s="60" t="s">
        <v>449</v>
      </c>
      <c r="C649" s="78" t="s">
        <v>171</v>
      </c>
      <c r="D649" s="185">
        <f t="shared" ref="D649:D654" si="11">+F649*1.16</f>
        <v>4431.2</v>
      </c>
      <c r="E649" s="86"/>
      <c r="F649" s="77">
        <v>3820</v>
      </c>
      <c r="G649" s="55"/>
      <c r="H649" s="66"/>
      <c r="I649" s="66"/>
      <c r="J649" s="66"/>
      <c r="K649" s="55"/>
      <c r="L649" s="55"/>
      <c r="M649" s="55"/>
    </row>
    <row r="650" spans="1:13" s="67" customFormat="1" x14ac:dyDescent="0.3">
      <c r="A650" s="71"/>
      <c r="B650" s="60" t="s">
        <v>448</v>
      </c>
      <c r="C650" s="78" t="s">
        <v>171</v>
      </c>
      <c r="D650" s="185">
        <f t="shared" si="11"/>
        <v>638000</v>
      </c>
      <c r="E650" s="86"/>
      <c r="F650" s="77">
        <v>550000</v>
      </c>
      <c r="G650" s="55"/>
      <c r="H650" s="66"/>
      <c r="I650" s="66"/>
      <c r="J650" s="66"/>
      <c r="K650" s="55"/>
      <c r="L650" s="55"/>
      <c r="M650" s="55"/>
    </row>
    <row r="651" spans="1:13" s="67" customFormat="1" x14ac:dyDescent="0.3">
      <c r="A651" s="71"/>
      <c r="B651" s="60" t="s">
        <v>447</v>
      </c>
      <c r="C651" s="78" t="s">
        <v>171</v>
      </c>
      <c r="D651" s="185">
        <f t="shared" si="11"/>
        <v>53243.999999999993</v>
      </c>
      <c r="E651" s="86"/>
      <c r="F651" s="77">
        <v>45900</v>
      </c>
      <c r="G651" s="55"/>
      <c r="H651" s="66"/>
      <c r="I651" s="66"/>
      <c r="J651" s="66"/>
      <c r="K651" s="55"/>
      <c r="L651" s="55"/>
      <c r="M651" s="55"/>
    </row>
    <row r="652" spans="1:13" s="67" customFormat="1" x14ac:dyDescent="0.3">
      <c r="A652" s="71"/>
      <c r="B652" s="60" t="s">
        <v>446</v>
      </c>
      <c r="C652" s="78" t="s">
        <v>171</v>
      </c>
      <c r="D652" s="185">
        <f t="shared" si="11"/>
        <v>102660</v>
      </c>
      <c r="E652" s="86"/>
      <c r="F652" s="77">
        <v>88500</v>
      </c>
      <c r="G652" s="55"/>
      <c r="H652" s="66"/>
      <c r="I652" s="66"/>
      <c r="J652" s="66"/>
      <c r="K652" s="55"/>
      <c r="L652" s="55"/>
      <c r="M652" s="55"/>
    </row>
    <row r="653" spans="1:13" s="67" customFormat="1" x14ac:dyDescent="0.3">
      <c r="A653" s="71"/>
      <c r="B653" s="60" t="s">
        <v>445</v>
      </c>
      <c r="C653" s="78" t="s">
        <v>171</v>
      </c>
      <c r="D653" s="185">
        <f t="shared" si="11"/>
        <v>382800</v>
      </c>
      <c r="E653" s="86"/>
      <c r="F653" s="77">
        <v>330000</v>
      </c>
      <c r="G653" s="55"/>
      <c r="H653" s="66"/>
      <c r="I653" s="66"/>
      <c r="J653" s="66"/>
      <c r="K653" s="55"/>
      <c r="L653" s="55"/>
      <c r="M653" s="55"/>
    </row>
    <row r="654" spans="1:13" s="66" customFormat="1" x14ac:dyDescent="0.3">
      <c r="A654" s="71"/>
      <c r="B654" s="60" t="s">
        <v>444</v>
      </c>
      <c r="C654" s="78" t="s">
        <v>171</v>
      </c>
      <c r="D654" s="185">
        <f t="shared" si="11"/>
        <v>580</v>
      </c>
      <c r="E654" s="86"/>
      <c r="F654" s="77">
        <v>500</v>
      </c>
      <c r="K654" s="55"/>
      <c r="L654" s="55"/>
      <c r="M654" s="55"/>
    </row>
    <row r="655" spans="1:13" s="66" customFormat="1" x14ac:dyDescent="0.3">
      <c r="A655" s="71"/>
      <c r="B655" s="60" t="s">
        <v>443</v>
      </c>
      <c r="C655" s="78" t="s">
        <v>442</v>
      </c>
      <c r="D655" s="185">
        <v>752</v>
      </c>
      <c r="E655" s="86" t="s">
        <v>441</v>
      </c>
      <c r="F655" s="77"/>
      <c r="G655" s="55"/>
      <c r="K655" s="55"/>
      <c r="L655" s="55"/>
      <c r="M655" s="55"/>
    </row>
    <row r="656" spans="1:13" s="66" customFormat="1" x14ac:dyDescent="0.3">
      <c r="A656" s="71"/>
      <c r="B656" s="60" t="s">
        <v>440</v>
      </c>
      <c r="C656" s="78" t="s">
        <v>171</v>
      </c>
      <c r="D656" s="185">
        <f>+F656*1.16</f>
        <v>37676.799999999996</v>
      </c>
      <c r="E656" s="86"/>
      <c r="F656" s="77">
        <v>32480</v>
      </c>
      <c r="G656" s="55"/>
      <c r="K656" s="55"/>
      <c r="L656" s="55"/>
      <c r="M656" s="55"/>
    </row>
    <row r="657" spans="1:13" s="66" customFormat="1" x14ac:dyDescent="0.3">
      <c r="A657" s="71"/>
      <c r="B657" s="60" t="s">
        <v>439</v>
      </c>
      <c r="C657" s="78" t="s">
        <v>72</v>
      </c>
      <c r="D657" s="185">
        <f>+F657*1.16</f>
        <v>12760</v>
      </c>
      <c r="E657" s="86"/>
      <c r="F657" s="77">
        <v>11000</v>
      </c>
      <c r="G657" s="55"/>
      <c r="K657" s="55"/>
      <c r="L657" s="55"/>
      <c r="M657" s="55"/>
    </row>
    <row r="658" spans="1:13" s="66" customFormat="1" ht="18" x14ac:dyDescent="0.35">
      <c r="A658" s="71"/>
      <c r="B658" s="60" t="s">
        <v>438</v>
      </c>
      <c r="C658" s="78" t="s">
        <v>72</v>
      </c>
      <c r="D658" s="185">
        <v>36534</v>
      </c>
      <c r="E658" s="109">
        <v>2021</v>
      </c>
      <c r="F658" s="92"/>
      <c r="G658" s="67"/>
      <c r="H658" s="108"/>
      <c r="K658" s="55"/>
      <c r="L658" s="55"/>
      <c r="M658" s="55"/>
    </row>
    <row r="659" spans="1:13" s="66" customFormat="1" ht="18" x14ac:dyDescent="0.35">
      <c r="A659" s="110"/>
      <c r="B659" s="60" t="s">
        <v>437</v>
      </c>
      <c r="C659" s="78" t="s">
        <v>72</v>
      </c>
      <c r="D659" s="185">
        <v>75054</v>
      </c>
      <c r="E659" s="109">
        <v>2021</v>
      </c>
      <c r="F659" s="92">
        <f>137866*1.16/6</f>
        <v>26654.093333333334</v>
      </c>
      <c r="G659" s="67"/>
      <c r="H659" s="108"/>
      <c r="K659" s="55"/>
      <c r="L659" s="55"/>
      <c r="M659" s="55"/>
    </row>
    <row r="660" spans="1:13" s="66" customFormat="1" ht="18" x14ac:dyDescent="0.35">
      <c r="A660" s="71"/>
      <c r="B660" s="60" t="s">
        <v>436</v>
      </c>
      <c r="C660" s="78" t="s">
        <v>72</v>
      </c>
      <c r="D660" s="185">
        <v>41060</v>
      </c>
      <c r="E660" s="109">
        <v>2021</v>
      </c>
      <c r="F660" s="84"/>
      <c r="G660" s="108"/>
      <c r="H660" s="108"/>
      <c r="K660" s="55"/>
      <c r="L660" s="55"/>
      <c r="M660" s="55"/>
    </row>
    <row r="661" spans="1:13" s="66" customFormat="1" ht="18" x14ac:dyDescent="0.35">
      <c r="A661" s="71"/>
      <c r="B661" s="60" t="s">
        <v>435</v>
      </c>
      <c r="C661" s="78" t="s">
        <v>129</v>
      </c>
      <c r="D661" s="185">
        <v>32933</v>
      </c>
      <c r="E661" s="109">
        <v>2021</v>
      </c>
      <c r="F661" s="92">
        <f>26294*1.16/2</f>
        <v>15250.519999999999</v>
      </c>
      <c r="G661" s="67"/>
      <c r="H661" s="108"/>
      <c r="K661" s="55"/>
      <c r="L661" s="55"/>
      <c r="M661" s="55"/>
    </row>
    <row r="662" spans="1:13" s="66" customFormat="1" x14ac:dyDescent="0.3">
      <c r="A662" s="71"/>
      <c r="B662" s="60" t="s">
        <v>434</v>
      </c>
      <c r="C662" s="78" t="s">
        <v>433</v>
      </c>
      <c r="D662" s="185">
        <f>+F662*1.16</f>
        <v>3846.56</v>
      </c>
      <c r="E662" s="91"/>
      <c r="F662" s="77">
        <v>3316</v>
      </c>
      <c r="G662" s="55"/>
      <c r="K662" s="55"/>
      <c r="L662" s="55"/>
      <c r="M662" s="55"/>
    </row>
    <row r="663" spans="1:13" s="67" customFormat="1" x14ac:dyDescent="0.3">
      <c r="A663" s="71"/>
      <c r="B663" s="60" t="s">
        <v>429</v>
      </c>
      <c r="C663" s="78" t="s">
        <v>171</v>
      </c>
      <c r="D663" s="185">
        <v>6122000</v>
      </c>
      <c r="E663" s="107" t="s">
        <v>432</v>
      </c>
      <c r="F663" s="77">
        <v>4200000</v>
      </c>
      <c r="G663" s="55"/>
      <c r="H663" s="66"/>
      <c r="I663" s="66"/>
      <c r="J663" s="66"/>
      <c r="K663" s="55"/>
      <c r="L663" s="55"/>
      <c r="M663" s="55"/>
    </row>
    <row r="664" spans="1:13" s="67" customFormat="1" x14ac:dyDescent="0.3">
      <c r="A664" s="71"/>
      <c r="B664" s="60" t="s">
        <v>431</v>
      </c>
      <c r="C664" s="78" t="s">
        <v>171</v>
      </c>
      <c r="D664" s="185">
        <v>10000</v>
      </c>
      <c r="E664" s="91"/>
      <c r="F664" s="84"/>
      <c r="G664" s="55"/>
      <c r="H664" s="66"/>
      <c r="I664" s="66"/>
      <c r="J664" s="66"/>
      <c r="K664" s="55"/>
      <c r="L664" s="55"/>
      <c r="M664" s="55"/>
    </row>
    <row r="665" spans="1:13" s="67" customFormat="1" x14ac:dyDescent="0.3">
      <c r="A665" s="71"/>
      <c r="B665" s="60" t="s">
        <v>430</v>
      </c>
      <c r="C665" s="78" t="s">
        <v>171</v>
      </c>
      <c r="D665" s="185">
        <v>104000</v>
      </c>
      <c r="E665" s="91"/>
      <c r="F665" s="84"/>
      <c r="G665" s="55"/>
      <c r="H665" s="66"/>
      <c r="I665" s="66"/>
      <c r="J665" s="66"/>
      <c r="K665" s="55"/>
      <c r="L665" s="55"/>
      <c r="M665" s="55"/>
    </row>
    <row r="666" spans="1:13" s="67" customFormat="1" x14ac:dyDescent="0.3">
      <c r="A666" s="71"/>
      <c r="B666" s="60" t="s">
        <v>429</v>
      </c>
      <c r="C666" s="78" t="s">
        <v>171</v>
      </c>
      <c r="D666" s="185">
        <v>2100000</v>
      </c>
      <c r="E666" s="91"/>
      <c r="F666" s="84"/>
      <c r="G666" s="55"/>
      <c r="H666" s="66"/>
      <c r="I666" s="66"/>
      <c r="J666" s="66"/>
      <c r="K666" s="55"/>
      <c r="L666" s="55"/>
      <c r="M666" s="55"/>
    </row>
    <row r="667" spans="1:13" s="67" customFormat="1" x14ac:dyDescent="0.3">
      <c r="A667" s="71"/>
      <c r="B667" s="60" t="s">
        <v>428</v>
      </c>
      <c r="C667" s="78" t="s">
        <v>129</v>
      </c>
      <c r="D667" s="185">
        <f>+F667</f>
        <v>3441.4681778552745</v>
      </c>
      <c r="E667" s="91"/>
      <c r="F667" s="84">
        <f>34029*1.16/11.47</f>
        <v>3441.4681778552745</v>
      </c>
      <c r="H667" s="66"/>
      <c r="I667" s="66"/>
      <c r="J667" s="66"/>
      <c r="K667" s="55"/>
      <c r="L667" s="55"/>
      <c r="M667" s="55"/>
    </row>
    <row r="668" spans="1:13" s="67" customFormat="1" x14ac:dyDescent="0.3">
      <c r="A668" s="71"/>
      <c r="B668" s="60" t="s">
        <v>427</v>
      </c>
      <c r="C668" s="78" t="s">
        <v>426</v>
      </c>
      <c r="D668" s="185">
        <v>31900</v>
      </c>
      <c r="E668" s="91"/>
      <c r="F668" s="84"/>
      <c r="G668" s="55"/>
      <c r="H668" s="66"/>
      <c r="I668" s="66"/>
      <c r="J668" s="66"/>
      <c r="K668" s="55"/>
      <c r="L668" s="55"/>
      <c r="M668" s="55"/>
    </row>
    <row r="669" spans="1:13" s="67" customFormat="1" x14ac:dyDescent="0.3">
      <c r="A669" s="71"/>
      <c r="B669" s="60" t="s">
        <v>425</v>
      </c>
      <c r="C669" s="78" t="s">
        <v>171</v>
      </c>
      <c r="D669" s="185">
        <v>2500000</v>
      </c>
      <c r="E669" s="91"/>
      <c r="F669" s="84"/>
      <c r="G669" s="55"/>
      <c r="H669" s="66"/>
      <c r="I669" s="66"/>
      <c r="J669" s="66"/>
      <c r="K669" s="55"/>
      <c r="L669" s="55"/>
      <c r="M669" s="55"/>
    </row>
    <row r="670" spans="1:13" s="67" customFormat="1" x14ac:dyDescent="0.3">
      <c r="A670" s="71"/>
      <c r="B670" s="60" t="s">
        <v>424</v>
      </c>
      <c r="C670" s="78" t="s">
        <v>216</v>
      </c>
      <c r="D670" s="185">
        <v>80000</v>
      </c>
      <c r="E670" s="91"/>
      <c r="F670" s="84"/>
      <c r="G670" s="55"/>
      <c r="H670" s="66"/>
      <c r="I670" s="66"/>
      <c r="J670" s="66"/>
      <c r="K670" s="55"/>
      <c r="L670" s="55"/>
      <c r="M670" s="55"/>
    </row>
    <row r="671" spans="1:13" s="67" customFormat="1" x14ac:dyDescent="0.3">
      <c r="A671" s="71"/>
      <c r="B671" s="60" t="s">
        <v>423</v>
      </c>
      <c r="C671" s="78" t="s">
        <v>420</v>
      </c>
      <c r="D671" s="185">
        <v>5000</v>
      </c>
      <c r="E671" s="91"/>
      <c r="F671" s="84"/>
      <c r="G671" s="55"/>
      <c r="H671" s="66"/>
      <c r="I671" s="66"/>
      <c r="J671" s="66"/>
      <c r="K671" s="55"/>
      <c r="L671" s="55"/>
      <c r="M671" s="55"/>
    </row>
    <row r="672" spans="1:13" s="67" customFormat="1" x14ac:dyDescent="0.3">
      <c r="A672" s="71"/>
      <c r="B672" s="60" t="s">
        <v>422</v>
      </c>
      <c r="C672" s="78" t="s">
        <v>420</v>
      </c>
      <c r="D672" s="185">
        <v>40000</v>
      </c>
      <c r="E672" s="91"/>
      <c r="F672" s="84"/>
      <c r="G672" s="55"/>
      <c r="H672" s="66"/>
      <c r="I672" s="66"/>
      <c r="J672" s="66"/>
      <c r="K672" s="55"/>
      <c r="L672" s="55"/>
      <c r="M672" s="55"/>
    </row>
    <row r="673" spans="1:13" s="67" customFormat="1" x14ac:dyDescent="0.3">
      <c r="A673" s="71"/>
      <c r="B673" s="60" t="s">
        <v>421</v>
      </c>
      <c r="C673" s="78" t="s">
        <v>420</v>
      </c>
      <c r="D673" s="185">
        <v>70000</v>
      </c>
      <c r="E673" s="91"/>
      <c r="F673" s="84"/>
      <c r="G673" s="55"/>
      <c r="H673" s="66"/>
      <c r="I673" s="66"/>
      <c r="J673" s="66"/>
      <c r="K673" s="55"/>
      <c r="L673" s="55"/>
      <c r="M673" s="55"/>
    </row>
    <row r="674" spans="1:13" s="67" customFormat="1" x14ac:dyDescent="0.3">
      <c r="A674" s="71"/>
      <c r="B674" s="60" t="s">
        <v>419</v>
      </c>
      <c r="C674" s="78" t="s">
        <v>114</v>
      </c>
      <c r="D674" s="185">
        <v>17000</v>
      </c>
      <c r="E674" s="91"/>
      <c r="F674" s="84"/>
      <c r="G674" s="55"/>
      <c r="H674" s="66"/>
      <c r="I674" s="66"/>
      <c r="J674" s="66"/>
      <c r="K674" s="55"/>
      <c r="L674" s="55"/>
      <c r="M674" s="55"/>
    </row>
    <row r="675" spans="1:13" x14ac:dyDescent="0.3">
      <c r="B675" s="60" t="s">
        <v>418</v>
      </c>
      <c r="C675" s="78" t="s">
        <v>129</v>
      </c>
      <c r="D675" s="185">
        <v>12000</v>
      </c>
      <c r="E675" s="84"/>
      <c r="F675" s="84"/>
    </row>
    <row r="676" spans="1:13" x14ac:dyDescent="0.3">
      <c r="B676" s="60" t="s">
        <v>417</v>
      </c>
      <c r="C676" s="78" t="s">
        <v>171</v>
      </c>
      <c r="D676" s="185">
        <v>250000</v>
      </c>
      <c r="E676" s="84"/>
      <c r="F676" s="84"/>
    </row>
    <row r="677" spans="1:13" x14ac:dyDescent="0.3">
      <c r="B677" s="60" t="s">
        <v>416</v>
      </c>
      <c r="C677" s="78" t="s">
        <v>83</v>
      </c>
      <c r="D677" s="185">
        <v>5975</v>
      </c>
      <c r="E677" s="91"/>
      <c r="F677" s="84"/>
    </row>
    <row r="678" spans="1:13" ht="62.4" x14ac:dyDescent="0.3">
      <c r="B678" s="60" t="s">
        <v>415</v>
      </c>
      <c r="C678" s="78" t="s">
        <v>3</v>
      </c>
      <c r="D678" s="185">
        <v>150000</v>
      </c>
      <c r="E678" s="91"/>
      <c r="F678" s="84"/>
    </row>
    <row r="679" spans="1:13" s="67" customFormat="1" ht="49.5" customHeight="1" x14ac:dyDescent="0.3">
      <c r="A679" s="71"/>
      <c r="B679" s="60" t="s">
        <v>415</v>
      </c>
      <c r="C679" s="78" t="s">
        <v>3</v>
      </c>
      <c r="D679" s="185">
        <v>120000</v>
      </c>
      <c r="E679" s="91"/>
      <c r="F679" s="84"/>
      <c r="G679" s="55"/>
      <c r="H679" s="66"/>
      <c r="I679" s="66"/>
      <c r="J679" s="66"/>
      <c r="K679" s="55"/>
      <c r="L679" s="55"/>
      <c r="M679" s="55"/>
    </row>
    <row r="680" spans="1:13" s="67" customFormat="1" ht="31.2" x14ac:dyDescent="0.3">
      <c r="A680" s="71"/>
      <c r="B680" s="60" t="s">
        <v>414</v>
      </c>
      <c r="C680" s="78" t="s">
        <v>3</v>
      </c>
      <c r="D680" s="185">
        <v>2500000</v>
      </c>
      <c r="E680" s="91"/>
      <c r="F680" s="84"/>
      <c r="G680" s="55"/>
      <c r="H680" s="66"/>
      <c r="I680" s="66"/>
      <c r="J680" s="66"/>
      <c r="K680" s="55"/>
      <c r="L680" s="55"/>
      <c r="M680" s="55"/>
    </row>
    <row r="681" spans="1:13" s="67" customFormat="1" ht="35.25" customHeight="1" x14ac:dyDescent="0.3">
      <c r="A681" s="71"/>
      <c r="B681" s="60" t="s">
        <v>413</v>
      </c>
      <c r="C681" s="78" t="s">
        <v>3</v>
      </c>
      <c r="D681" s="185">
        <f>+F681*1.16</f>
        <v>214599.99999999997</v>
      </c>
      <c r="E681" s="86"/>
      <c r="F681" s="77">
        <v>185000</v>
      </c>
      <c r="G681" s="55"/>
      <c r="H681" s="66"/>
      <c r="I681" s="66"/>
      <c r="J681" s="66"/>
      <c r="K681" s="55"/>
      <c r="L681" s="55"/>
      <c r="M681" s="55"/>
    </row>
    <row r="682" spans="1:13" s="67" customFormat="1" x14ac:dyDescent="0.3">
      <c r="A682" s="71"/>
      <c r="B682" s="60" t="s">
        <v>412</v>
      </c>
      <c r="C682" s="78" t="s">
        <v>3</v>
      </c>
      <c r="D682" s="185">
        <v>6550000</v>
      </c>
      <c r="E682" s="91"/>
      <c r="F682" s="84"/>
      <c r="G682" s="55"/>
      <c r="H682" s="66"/>
      <c r="I682" s="66"/>
      <c r="J682" s="66"/>
      <c r="K682" s="55"/>
      <c r="L682" s="55"/>
      <c r="M682" s="55"/>
    </row>
    <row r="683" spans="1:13" s="67" customFormat="1" x14ac:dyDescent="0.3">
      <c r="A683" s="71"/>
      <c r="B683" s="60" t="s">
        <v>411</v>
      </c>
      <c r="C683" s="78" t="s">
        <v>3</v>
      </c>
      <c r="D683" s="185">
        <f>+F683*1.16</f>
        <v>1566000</v>
      </c>
      <c r="E683" s="91"/>
      <c r="F683" s="77">
        <v>1350000</v>
      </c>
      <c r="G683" s="55"/>
      <c r="H683" s="66"/>
      <c r="I683" s="66"/>
      <c r="J683" s="66"/>
      <c r="K683" s="55"/>
      <c r="L683" s="55"/>
      <c r="M683" s="55"/>
    </row>
    <row r="684" spans="1:13" s="67" customFormat="1" x14ac:dyDescent="0.3">
      <c r="A684" s="71"/>
      <c r="B684" s="60" t="s">
        <v>410</v>
      </c>
      <c r="C684" s="78" t="s">
        <v>3</v>
      </c>
      <c r="D684" s="185">
        <f>E684*1.06</f>
        <v>641300</v>
      </c>
      <c r="E684" s="77">
        <v>605000</v>
      </c>
      <c r="F684" s="84"/>
      <c r="G684" s="55"/>
      <c r="H684" s="66"/>
      <c r="I684" s="66"/>
      <c r="J684" s="66"/>
      <c r="K684" s="55"/>
      <c r="L684" s="55"/>
      <c r="M684" s="55"/>
    </row>
    <row r="685" spans="1:13" s="67" customFormat="1" ht="31.2" x14ac:dyDescent="0.3">
      <c r="A685" s="71"/>
      <c r="B685" s="60" t="s">
        <v>409</v>
      </c>
      <c r="C685" s="78" t="s">
        <v>3</v>
      </c>
      <c r="D685" s="185">
        <f>264000/1.16</f>
        <v>227586.20689655174</v>
      </c>
      <c r="E685" s="91"/>
      <c r="F685" s="84"/>
      <c r="G685" s="55"/>
      <c r="H685" s="66"/>
      <c r="I685" s="66"/>
      <c r="J685" s="66"/>
      <c r="K685" s="55"/>
      <c r="L685" s="55"/>
      <c r="M685" s="55"/>
    </row>
    <row r="686" spans="1:13" s="67" customFormat="1" ht="104.25" customHeight="1" x14ac:dyDescent="0.3">
      <c r="A686" s="71"/>
      <c r="B686" s="60" t="s">
        <v>408</v>
      </c>
      <c r="C686" s="78" t="s">
        <v>3</v>
      </c>
      <c r="D686" s="185">
        <v>5030000</v>
      </c>
      <c r="E686" s="91"/>
      <c r="F686" s="84"/>
      <c r="G686" s="55"/>
      <c r="H686" s="66"/>
      <c r="I686" s="66"/>
      <c r="J686" s="66"/>
      <c r="K686" s="55"/>
      <c r="L686" s="55"/>
      <c r="M686" s="55"/>
    </row>
    <row r="687" spans="1:13" x14ac:dyDescent="0.3">
      <c r="B687" s="60" t="s">
        <v>397</v>
      </c>
      <c r="C687" s="93" t="s">
        <v>3</v>
      </c>
      <c r="D687" s="190">
        <v>88800</v>
      </c>
      <c r="E687" s="96"/>
      <c r="F687" s="84"/>
    </row>
    <row r="688" spans="1:13" x14ac:dyDescent="0.3">
      <c r="B688" s="60" t="s">
        <v>396</v>
      </c>
      <c r="C688" s="93" t="s">
        <v>3</v>
      </c>
      <c r="D688" s="190">
        <v>54668.4</v>
      </c>
      <c r="E688" s="96"/>
      <c r="F688" s="84"/>
    </row>
    <row r="689" spans="2:6" x14ac:dyDescent="0.3">
      <c r="B689" s="60" t="s">
        <v>407</v>
      </c>
      <c r="C689" s="93" t="s">
        <v>3</v>
      </c>
      <c r="D689" s="190">
        <v>44400</v>
      </c>
      <c r="E689" s="96"/>
      <c r="F689" s="84"/>
    </row>
    <row r="690" spans="2:6" x14ac:dyDescent="0.3">
      <c r="B690" s="60" t="s">
        <v>406</v>
      </c>
      <c r="C690" s="93" t="s">
        <v>3</v>
      </c>
      <c r="D690" s="190">
        <v>19200</v>
      </c>
      <c r="E690" s="96"/>
      <c r="F690" s="84"/>
    </row>
    <row r="691" spans="2:6" x14ac:dyDescent="0.3">
      <c r="B691" s="60" t="s">
        <v>392</v>
      </c>
      <c r="C691" s="93" t="s">
        <v>3</v>
      </c>
      <c r="D691" s="190">
        <v>32800.800000000003</v>
      </c>
      <c r="E691" s="96"/>
      <c r="F691" s="84"/>
    </row>
    <row r="692" spans="2:6" x14ac:dyDescent="0.3">
      <c r="B692" s="60" t="s">
        <v>391</v>
      </c>
      <c r="C692" s="93" t="s">
        <v>3</v>
      </c>
      <c r="D692" s="190">
        <v>21867.599999999999</v>
      </c>
      <c r="E692" s="96"/>
      <c r="F692" s="84"/>
    </row>
    <row r="693" spans="2:6" x14ac:dyDescent="0.3">
      <c r="B693" s="60" t="s">
        <v>390</v>
      </c>
      <c r="C693" s="93" t="s">
        <v>3</v>
      </c>
      <c r="D693" s="190">
        <v>32800.800000000003</v>
      </c>
      <c r="E693" s="96"/>
      <c r="F693" s="84"/>
    </row>
    <row r="694" spans="2:6" x14ac:dyDescent="0.3">
      <c r="B694" s="60" t="s">
        <v>405</v>
      </c>
      <c r="C694" s="93" t="s">
        <v>3</v>
      </c>
      <c r="D694" s="190">
        <v>13120.8</v>
      </c>
      <c r="E694" s="96"/>
      <c r="F694" s="84"/>
    </row>
    <row r="695" spans="2:6" ht="48.75" customHeight="1" x14ac:dyDescent="0.3">
      <c r="B695" s="60" t="s">
        <v>404</v>
      </c>
      <c r="C695" s="93" t="s">
        <v>3</v>
      </c>
      <c r="D695" s="190">
        <v>68400</v>
      </c>
      <c r="E695" s="96"/>
      <c r="F695" s="84"/>
    </row>
    <row r="696" spans="2:6" x14ac:dyDescent="0.3">
      <c r="B696" s="60" t="s">
        <v>403</v>
      </c>
      <c r="C696" s="93" t="s">
        <v>3</v>
      </c>
      <c r="D696" s="190">
        <v>84000</v>
      </c>
      <c r="E696" s="96"/>
      <c r="F696" s="84"/>
    </row>
    <row r="697" spans="2:6" ht="36.75" customHeight="1" x14ac:dyDescent="0.3">
      <c r="B697" s="60" t="s">
        <v>377</v>
      </c>
      <c r="C697" s="93" t="s">
        <v>3</v>
      </c>
      <c r="D697" s="190">
        <v>38400</v>
      </c>
      <c r="E697" s="96"/>
      <c r="F697" s="84"/>
    </row>
    <row r="698" spans="2:6" x14ac:dyDescent="0.3">
      <c r="B698" s="60" t="s">
        <v>370</v>
      </c>
      <c r="C698" s="93" t="s">
        <v>3</v>
      </c>
      <c r="D698" s="190">
        <v>36000</v>
      </c>
      <c r="E698" s="96"/>
      <c r="F698" s="84"/>
    </row>
    <row r="699" spans="2:6" ht="30" customHeight="1" x14ac:dyDescent="0.3">
      <c r="B699" s="60" t="s">
        <v>369</v>
      </c>
      <c r="C699" s="93" t="s">
        <v>3</v>
      </c>
      <c r="D699" s="190">
        <v>36000</v>
      </c>
      <c r="E699" s="96"/>
      <c r="F699" s="84"/>
    </row>
    <row r="700" spans="2:6" ht="34.5" customHeight="1" x14ac:dyDescent="0.3">
      <c r="B700" s="60" t="s">
        <v>368</v>
      </c>
      <c r="C700" s="93" t="s">
        <v>3</v>
      </c>
      <c r="D700" s="190">
        <v>7980</v>
      </c>
      <c r="E700" s="96"/>
      <c r="F700" s="84"/>
    </row>
    <row r="701" spans="2:6" ht="18" customHeight="1" x14ac:dyDescent="0.3">
      <c r="B701" s="60" t="s">
        <v>367</v>
      </c>
      <c r="C701" s="93" t="s">
        <v>3</v>
      </c>
      <c r="D701" s="190">
        <v>2763.6</v>
      </c>
      <c r="E701" s="96"/>
      <c r="F701" s="84"/>
    </row>
    <row r="702" spans="2:6" x14ac:dyDescent="0.3">
      <c r="B702" s="60" t="s">
        <v>366</v>
      </c>
      <c r="C702" s="93" t="s">
        <v>3</v>
      </c>
      <c r="D702" s="190">
        <v>10200</v>
      </c>
      <c r="E702" s="96"/>
      <c r="F702" s="84"/>
    </row>
    <row r="703" spans="2:6" x14ac:dyDescent="0.3">
      <c r="B703" s="60" t="s">
        <v>365</v>
      </c>
      <c r="C703" s="93" t="s">
        <v>3</v>
      </c>
      <c r="D703" s="190">
        <v>6240</v>
      </c>
      <c r="E703" s="96"/>
      <c r="F703" s="84"/>
    </row>
    <row r="704" spans="2:6" x14ac:dyDescent="0.3">
      <c r="B704" s="60" t="s">
        <v>364</v>
      </c>
      <c r="C704" s="93" t="s">
        <v>3</v>
      </c>
      <c r="D704" s="190">
        <v>9000</v>
      </c>
      <c r="E704" s="96"/>
      <c r="F704" s="84"/>
    </row>
    <row r="705" spans="1:6" x14ac:dyDescent="0.3">
      <c r="B705" s="60" t="s">
        <v>363</v>
      </c>
      <c r="C705" s="93" t="s">
        <v>83</v>
      </c>
      <c r="D705" s="190">
        <v>6929</v>
      </c>
      <c r="E705" s="96" t="s">
        <v>170</v>
      </c>
      <c r="F705" s="84"/>
    </row>
    <row r="706" spans="1:6" x14ac:dyDescent="0.3">
      <c r="B706" s="60" t="s">
        <v>362</v>
      </c>
      <c r="C706" s="93" t="s">
        <v>83</v>
      </c>
      <c r="D706" s="190">
        <v>6929</v>
      </c>
      <c r="E706" s="96" t="s">
        <v>170</v>
      </c>
      <c r="F706" s="84"/>
    </row>
    <row r="707" spans="1:6" x14ac:dyDescent="0.3">
      <c r="B707" s="60" t="s">
        <v>402</v>
      </c>
      <c r="C707" s="93" t="s">
        <v>3</v>
      </c>
      <c r="D707" s="190">
        <v>264000</v>
      </c>
      <c r="E707" s="96"/>
      <c r="F707" s="84"/>
    </row>
    <row r="708" spans="1:6" x14ac:dyDescent="0.3">
      <c r="B708" s="60" t="s">
        <v>356</v>
      </c>
      <c r="C708" s="93" t="s">
        <v>3</v>
      </c>
      <c r="D708" s="190">
        <v>540000</v>
      </c>
      <c r="E708" s="96"/>
      <c r="F708" s="84"/>
    </row>
    <row r="709" spans="1:6" x14ac:dyDescent="0.3">
      <c r="B709" s="60" t="s">
        <v>353</v>
      </c>
      <c r="C709" s="93" t="s">
        <v>3</v>
      </c>
      <c r="D709" s="190">
        <v>4800</v>
      </c>
      <c r="E709" s="96"/>
      <c r="F709" s="84"/>
    </row>
    <row r="710" spans="1:6" x14ac:dyDescent="0.3">
      <c r="B710" s="60" t="s">
        <v>355</v>
      </c>
      <c r="C710" s="93" t="s">
        <v>3</v>
      </c>
      <c r="D710" s="190">
        <v>24000</v>
      </c>
      <c r="E710" s="96"/>
      <c r="F710" s="84"/>
    </row>
    <row r="711" spans="1:6" x14ac:dyDescent="0.3">
      <c r="B711" s="60" t="s">
        <v>401</v>
      </c>
      <c r="C711" s="93" t="s">
        <v>84</v>
      </c>
      <c r="D711" s="190">
        <v>38556</v>
      </c>
      <c r="E711" s="96"/>
      <c r="F711" s="84"/>
    </row>
    <row r="712" spans="1:6" x14ac:dyDescent="0.3">
      <c r="B712" s="60" t="s">
        <v>400</v>
      </c>
      <c r="C712" s="93" t="s">
        <v>84</v>
      </c>
      <c r="D712" s="190">
        <v>39384</v>
      </c>
      <c r="E712" s="96"/>
      <c r="F712" s="84"/>
    </row>
    <row r="713" spans="1:6" x14ac:dyDescent="0.3">
      <c r="B713" s="60" t="s">
        <v>399</v>
      </c>
      <c r="C713" s="93" t="s">
        <v>84</v>
      </c>
      <c r="D713" s="190">
        <v>55800</v>
      </c>
      <c r="E713" s="96"/>
      <c r="F713" s="84"/>
    </row>
    <row r="714" spans="1:6" x14ac:dyDescent="0.3">
      <c r="A714" s="103"/>
      <c r="B714" s="60" t="s">
        <v>398</v>
      </c>
      <c r="C714" s="93" t="s">
        <v>3</v>
      </c>
      <c r="D714" s="190">
        <v>88800</v>
      </c>
      <c r="E714" s="96"/>
      <c r="F714" s="84"/>
    </row>
    <row r="715" spans="1:6" x14ac:dyDescent="0.3">
      <c r="A715" s="103"/>
      <c r="B715" s="60" t="s">
        <v>397</v>
      </c>
      <c r="C715" s="93" t="s">
        <v>3</v>
      </c>
      <c r="D715" s="190">
        <v>65601.600000000006</v>
      </c>
      <c r="E715" s="96"/>
      <c r="F715" s="84"/>
    </row>
    <row r="716" spans="1:6" x14ac:dyDescent="0.3">
      <c r="A716" s="103"/>
      <c r="B716" s="60" t="s">
        <v>396</v>
      </c>
      <c r="C716" s="93" t="s">
        <v>3</v>
      </c>
      <c r="D716" s="190">
        <v>54668</v>
      </c>
      <c r="E716" s="96"/>
      <c r="F716" s="84"/>
    </row>
    <row r="717" spans="1:6" x14ac:dyDescent="0.3">
      <c r="A717" s="103"/>
      <c r="B717" s="60" t="s">
        <v>395</v>
      </c>
      <c r="C717" s="93" t="s">
        <v>3</v>
      </c>
      <c r="D717" s="190">
        <v>43734.400000000001</v>
      </c>
      <c r="E717" s="96"/>
      <c r="F717" s="84"/>
    </row>
    <row r="718" spans="1:6" x14ac:dyDescent="0.3">
      <c r="A718" s="103"/>
      <c r="B718" s="60" t="s">
        <v>394</v>
      </c>
      <c r="C718" s="93" t="s">
        <v>393</v>
      </c>
      <c r="D718" s="190">
        <v>21867.200000000001</v>
      </c>
      <c r="E718" s="96"/>
      <c r="F718" s="84"/>
    </row>
    <row r="719" spans="1:6" x14ac:dyDescent="0.3">
      <c r="A719" s="103"/>
      <c r="B719" s="60" t="s">
        <v>392</v>
      </c>
      <c r="C719" s="93" t="s">
        <v>3</v>
      </c>
      <c r="D719" s="190">
        <v>32800.800000000003</v>
      </c>
      <c r="E719" s="96"/>
      <c r="F719" s="84"/>
    </row>
    <row r="720" spans="1:6" x14ac:dyDescent="0.3">
      <c r="A720" s="103"/>
      <c r="B720" s="60" t="s">
        <v>391</v>
      </c>
      <c r="C720" s="93" t="s">
        <v>3</v>
      </c>
      <c r="D720" s="190">
        <v>21867.200000000001</v>
      </c>
      <c r="E720" s="96"/>
      <c r="F720" s="84"/>
    </row>
    <row r="721" spans="1:6" x14ac:dyDescent="0.3">
      <c r="A721" s="103"/>
      <c r="B721" s="60" t="s">
        <v>390</v>
      </c>
      <c r="C721" s="93" t="s">
        <v>3</v>
      </c>
      <c r="D721" s="190">
        <v>32800.800000000003</v>
      </c>
      <c r="E721" s="96"/>
      <c r="F721" s="84"/>
    </row>
    <row r="722" spans="1:6" x14ac:dyDescent="0.3">
      <c r="A722" s="103"/>
      <c r="B722" s="60" t="s">
        <v>389</v>
      </c>
      <c r="C722" s="93" t="s">
        <v>3</v>
      </c>
      <c r="D722" s="190">
        <v>13120.32</v>
      </c>
      <c r="E722" s="96"/>
      <c r="F722" s="84"/>
    </row>
    <row r="723" spans="1:6" ht="34.5" customHeight="1" x14ac:dyDescent="0.3">
      <c r="A723" s="106"/>
      <c r="B723" s="60" t="s">
        <v>388</v>
      </c>
      <c r="C723" s="93" t="s">
        <v>387</v>
      </c>
      <c r="D723" s="190">
        <v>60000</v>
      </c>
      <c r="E723" s="96"/>
      <c r="F723" s="84"/>
    </row>
    <row r="724" spans="1:6" ht="36" customHeight="1" x14ac:dyDescent="0.3">
      <c r="A724" s="103"/>
      <c r="B724" s="60" t="s">
        <v>386</v>
      </c>
      <c r="C724" s="93" t="s">
        <v>3</v>
      </c>
      <c r="D724" s="190">
        <v>57000</v>
      </c>
      <c r="E724" s="96"/>
      <c r="F724" s="84"/>
    </row>
    <row r="725" spans="1:6" ht="48" customHeight="1" x14ac:dyDescent="0.3">
      <c r="A725" s="103"/>
      <c r="B725" s="60" t="s">
        <v>385</v>
      </c>
      <c r="C725" s="93" t="s">
        <v>3</v>
      </c>
      <c r="D725" s="190">
        <v>127680</v>
      </c>
      <c r="E725" s="96"/>
      <c r="F725" s="84"/>
    </row>
    <row r="726" spans="1:6" ht="36.75" customHeight="1" x14ac:dyDescent="0.3">
      <c r="A726" s="103"/>
      <c r="B726" s="60" t="s">
        <v>384</v>
      </c>
      <c r="C726" s="93" t="s">
        <v>3</v>
      </c>
      <c r="D726" s="190">
        <v>38760</v>
      </c>
      <c r="E726" s="96"/>
      <c r="F726" s="84"/>
    </row>
    <row r="727" spans="1:6" ht="39" customHeight="1" x14ac:dyDescent="0.3">
      <c r="A727" s="103"/>
      <c r="B727" s="60" t="s">
        <v>383</v>
      </c>
      <c r="C727" s="93" t="s">
        <v>3</v>
      </c>
      <c r="D727" s="190">
        <v>52920</v>
      </c>
      <c r="E727" s="96"/>
      <c r="F727" s="84"/>
    </row>
    <row r="728" spans="1:6" ht="38.25" customHeight="1" x14ac:dyDescent="0.3">
      <c r="A728" s="103"/>
      <c r="B728" s="60" t="s">
        <v>382</v>
      </c>
      <c r="C728" s="93" t="s">
        <v>3</v>
      </c>
      <c r="D728" s="190">
        <v>114000</v>
      </c>
      <c r="E728" s="96"/>
      <c r="F728" s="84"/>
    </row>
    <row r="729" spans="1:6" ht="33.75" customHeight="1" x14ac:dyDescent="0.3">
      <c r="A729" s="103"/>
      <c r="B729" s="60" t="s">
        <v>381</v>
      </c>
      <c r="C729" s="93" t="s">
        <v>3</v>
      </c>
      <c r="D729" s="190">
        <v>114000</v>
      </c>
      <c r="E729" s="96"/>
      <c r="F729" s="84"/>
    </row>
    <row r="730" spans="1:6" ht="33.75" customHeight="1" x14ac:dyDescent="0.3">
      <c r="A730" s="103"/>
      <c r="B730" s="60" t="s">
        <v>380</v>
      </c>
      <c r="C730" s="93" t="s">
        <v>3</v>
      </c>
      <c r="D730" s="190">
        <v>30000</v>
      </c>
      <c r="E730" s="96"/>
      <c r="F730" s="84"/>
    </row>
    <row r="731" spans="1:6" ht="36" customHeight="1" x14ac:dyDescent="0.3">
      <c r="A731" s="103"/>
      <c r="B731" s="60" t="s">
        <v>379</v>
      </c>
      <c r="C731" s="93" t="s">
        <v>3</v>
      </c>
      <c r="D731" s="190">
        <v>252000</v>
      </c>
      <c r="E731" s="96"/>
      <c r="F731" s="84"/>
    </row>
    <row r="732" spans="1:6" ht="20.25" customHeight="1" x14ac:dyDescent="0.3">
      <c r="A732" s="103"/>
      <c r="B732" s="60" t="s">
        <v>378</v>
      </c>
      <c r="C732" s="93" t="s">
        <v>72</v>
      </c>
      <c r="D732" s="190">
        <v>7980</v>
      </c>
      <c r="E732" s="96"/>
      <c r="F732" s="84"/>
    </row>
    <row r="733" spans="1:6" ht="30.75" customHeight="1" x14ac:dyDescent="0.3">
      <c r="A733" s="103"/>
      <c r="B733" s="60" t="s">
        <v>377</v>
      </c>
      <c r="C733" s="93" t="s">
        <v>3</v>
      </c>
      <c r="D733" s="190">
        <v>38400</v>
      </c>
      <c r="E733" s="96"/>
      <c r="F733" s="84"/>
    </row>
    <row r="734" spans="1:6" ht="30" customHeight="1" x14ac:dyDescent="0.3">
      <c r="A734" s="103"/>
      <c r="B734" s="60" t="s">
        <v>376</v>
      </c>
      <c r="C734" s="93" t="s">
        <v>3</v>
      </c>
      <c r="D734" s="190">
        <v>57600</v>
      </c>
      <c r="E734" s="96"/>
      <c r="F734" s="84"/>
    </row>
    <row r="735" spans="1:6" ht="36" customHeight="1" x14ac:dyDescent="0.3">
      <c r="A735" s="103"/>
      <c r="B735" s="60" t="s">
        <v>375</v>
      </c>
      <c r="C735" s="93" t="s">
        <v>3</v>
      </c>
      <c r="D735" s="190">
        <v>48000</v>
      </c>
      <c r="E735" s="96"/>
      <c r="F735" s="84"/>
    </row>
    <row r="736" spans="1:6" ht="17.25" customHeight="1" x14ac:dyDescent="0.3">
      <c r="A736" s="103"/>
      <c r="B736" s="60" t="s">
        <v>374</v>
      </c>
      <c r="C736" s="93" t="s">
        <v>72</v>
      </c>
      <c r="D736" s="190">
        <v>7980</v>
      </c>
      <c r="E736" s="96"/>
      <c r="F736" s="84"/>
    </row>
    <row r="737" spans="1:6" ht="20.25" customHeight="1" x14ac:dyDescent="0.3">
      <c r="A737" s="103"/>
      <c r="B737" s="60" t="s">
        <v>373</v>
      </c>
      <c r="C737" s="93" t="s">
        <v>72</v>
      </c>
      <c r="D737" s="190">
        <v>13860</v>
      </c>
      <c r="E737" s="96"/>
      <c r="F737" s="84"/>
    </row>
    <row r="738" spans="1:6" ht="20.25" customHeight="1" x14ac:dyDescent="0.3">
      <c r="A738" s="103"/>
      <c r="B738" s="60" t="s">
        <v>372</v>
      </c>
      <c r="C738" s="93" t="s">
        <v>3</v>
      </c>
      <c r="D738" s="190">
        <v>168000</v>
      </c>
      <c r="E738" s="96"/>
      <c r="F738" s="84"/>
    </row>
    <row r="739" spans="1:6" ht="34.5" customHeight="1" x14ac:dyDescent="0.3">
      <c r="A739" s="103"/>
      <c r="B739" s="60" t="s">
        <v>371</v>
      </c>
      <c r="C739" s="93" t="s">
        <v>3</v>
      </c>
      <c r="D739" s="190">
        <v>90000</v>
      </c>
      <c r="E739" s="96"/>
      <c r="F739" s="84"/>
    </row>
    <row r="740" spans="1:6" ht="17.25" customHeight="1" x14ac:dyDescent="0.3">
      <c r="A740" s="103"/>
      <c r="B740" s="60" t="s">
        <v>370</v>
      </c>
      <c r="C740" s="93" t="s">
        <v>3</v>
      </c>
      <c r="D740" s="190">
        <v>36000</v>
      </c>
      <c r="E740" s="96"/>
      <c r="F740" s="84"/>
    </row>
    <row r="741" spans="1:6" ht="30.75" customHeight="1" x14ac:dyDescent="0.3">
      <c r="A741" s="103"/>
      <c r="B741" s="60" t="s">
        <v>369</v>
      </c>
      <c r="C741" s="93" t="s">
        <v>3</v>
      </c>
      <c r="D741" s="190">
        <v>36000</v>
      </c>
      <c r="E741" s="96"/>
      <c r="F741" s="84"/>
    </row>
    <row r="742" spans="1:6" ht="33" customHeight="1" x14ac:dyDescent="0.3">
      <c r="A742" s="103"/>
      <c r="B742" s="60" t="s">
        <v>368</v>
      </c>
      <c r="C742" s="93" t="s">
        <v>3</v>
      </c>
      <c r="D742" s="190">
        <v>7980</v>
      </c>
      <c r="E742" s="96"/>
      <c r="F742" s="84"/>
    </row>
    <row r="743" spans="1:6" ht="20.25" customHeight="1" x14ac:dyDescent="0.3">
      <c r="A743" s="103"/>
      <c r="B743" s="60" t="s">
        <v>367</v>
      </c>
      <c r="C743" s="93" t="s">
        <v>175</v>
      </c>
      <c r="D743" s="190">
        <v>2763.6</v>
      </c>
      <c r="E743" s="96"/>
      <c r="F743" s="84"/>
    </row>
    <row r="744" spans="1:6" ht="20.25" customHeight="1" x14ac:dyDescent="0.3">
      <c r="A744" s="103"/>
      <c r="B744" s="60" t="s">
        <v>366</v>
      </c>
      <c r="C744" s="93" t="s">
        <v>3</v>
      </c>
      <c r="D744" s="190">
        <v>10200</v>
      </c>
      <c r="E744" s="96"/>
      <c r="F744" s="84"/>
    </row>
    <row r="745" spans="1:6" x14ac:dyDescent="0.3">
      <c r="A745" s="103"/>
      <c r="B745" s="60" t="s">
        <v>365</v>
      </c>
      <c r="C745" s="93" t="s">
        <v>3</v>
      </c>
      <c r="D745" s="190">
        <v>6240</v>
      </c>
      <c r="E745" s="96"/>
      <c r="F745" s="84"/>
    </row>
    <row r="746" spans="1:6" x14ac:dyDescent="0.3">
      <c r="A746" s="103"/>
      <c r="B746" s="60" t="s">
        <v>364</v>
      </c>
      <c r="C746" s="93" t="s">
        <v>3</v>
      </c>
      <c r="D746" s="190">
        <v>9000</v>
      </c>
      <c r="E746" s="96"/>
      <c r="F746" s="84"/>
    </row>
    <row r="747" spans="1:6" x14ac:dyDescent="0.3">
      <c r="A747" s="103"/>
      <c r="B747" s="60" t="s">
        <v>363</v>
      </c>
      <c r="C747" s="93" t="s">
        <v>83</v>
      </c>
      <c r="D747" s="190">
        <v>5113.2</v>
      </c>
      <c r="E747" s="96"/>
      <c r="F747" s="84"/>
    </row>
    <row r="748" spans="1:6" x14ac:dyDescent="0.3">
      <c r="A748" s="103"/>
      <c r="B748" s="60" t="s">
        <v>362</v>
      </c>
      <c r="C748" s="93" t="s">
        <v>83</v>
      </c>
      <c r="D748" s="190">
        <v>5113.2</v>
      </c>
      <c r="E748" s="96"/>
      <c r="F748" s="84"/>
    </row>
    <row r="749" spans="1:6" x14ac:dyDescent="0.3">
      <c r="A749" s="103"/>
      <c r="B749" s="60" t="s">
        <v>361</v>
      </c>
      <c r="C749" s="93" t="s">
        <v>175</v>
      </c>
      <c r="D749" s="190">
        <v>36000</v>
      </c>
      <c r="E749" s="96"/>
      <c r="F749" s="84"/>
    </row>
    <row r="750" spans="1:6" x14ac:dyDescent="0.3">
      <c r="A750" s="103"/>
      <c r="B750" s="60" t="s">
        <v>360</v>
      </c>
      <c r="C750" s="93" t="s">
        <v>3</v>
      </c>
      <c r="D750" s="190">
        <v>84000</v>
      </c>
      <c r="E750" s="96"/>
      <c r="F750" s="84"/>
    </row>
    <row r="751" spans="1:6" x14ac:dyDescent="0.3">
      <c r="A751" s="103"/>
      <c r="B751" s="60" t="s">
        <v>359</v>
      </c>
      <c r="C751" s="93" t="s">
        <v>3</v>
      </c>
      <c r="D751" s="190">
        <v>10200</v>
      </c>
      <c r="E751" s="96"/>
      <c r="F751" s="84"/>
    </row>
    <row r="752" spans="1:6" x14ac:dyDescent="0.3">
      <c r="A752" s="103"/>
      <c r="B752" s="60" t="s">
        <v>358</v>
      </c>
      <c r="C752" s="93" t="s">
        <v>3</v>
      </c>
      <c r="D752" s="190">
        <v>2280000</v>
      </c>
      <c r="E752" s="96"/>
      <c r="F752" s="84"/>
    </row>
    <row r="753" spans="1:13" x14ac:dyDescent="0.3">
      <c r="A753" s="103"/>
      <c r="B753" s="60" t="s">
        <v>357</v>
      </c>
      <c r="C753" s="93" t="s">
        <v>3</v>
      </c>
      <c r="D753" s="190">
        <v>1140000</v>
      </c>
      <c r="E753" s="96"/>
      <c r="F753" s="84"/>
    </row>
    <row r="754" spans="1:13" x14ac:dyDescent="0.3">
      <c r="A754" s="103"/>
      <c r="B754" s="60" t="s">
        <v>356</v>
      </c>
      <c r="C754" s="93" t="s">
        <v>3</v>
      </c>
      <c r="D754" s="190">
        <v>540000</v>
      </c>
      <c r="E754" s="96"/>
      <c r="F754" s="84"/>
    </row>
    <row r="755" spans="1:13" x14ac:dyDescent="0.3">
      <c r="A755" s="103"/>
      <c r="B755" s="60" t="s">
        <v>355</v>
      </c>
      <c r="C755" s="93" t="s">
        <v>3</v>
      </c>
      <c r="D755" s="190">
        <v>24000</v>
      </c>
      <c r="E755" s="96"/>
      <c r="F755" s="84"/>
    </row>
    <row r="756" spans="1:13" x14ac:dyDescent="0.3">
      <c r="A756" s="103"/>
      <c r="B756" s="60" t="s">
        <v>354</v>
      </c>
      <c r="C756" s="93" t="s">
        <v>3</v>
      </c>
      <c r="D756" s="190">
        <v>27600</v>
      </c>
      <c r="E756" s="96"/>
      <c r="F756" s="84"/>
    </row>
    <row r="757" spans="1:13" x14ac:dyDescent="0.3">
      <c r="A757" s="103"/>
      <c r="B757" s="60" t="s">
        <v>353</v>
      </c>
      <c r="C757" s="93" t="s">
        <v>3</v>
      </c>
      <c r="D757" s="190">
        <v>4800</v>
      </c>
      <c r="E757" s="96"/>
      <c r="F757" s="84"/>
    </row>
    <row r="758" spans="1:13" x14ac:dyDescent="0.3">
      <c r="A758" s="103"/>
      <c r="B758" s="60" t="s">
        <v>352</v>
      </c>
      <c r="C758" s="93" t="s">
        <v>3</v>
      </c>
      <c r="D758" s="190">
        <v>90000</v>
      </c>
      <c r="E758" s="63"/>
      <c r="F758" s="92" t="s">
        <v>351</v>
      </c>
    </row>
    <row r="759" spans="1:13" x14ac:dyDescent="0.3">
      <c r="A759" s="103"/>
      <c r="B759" s="60" t="s">
        <v>350</v>
      </c>
      <c r="C759" s="93" t="s">
        <v>3</v>
      </c>
      <c r="D759" s="187">
        <f>F759*1.16</f>
        <v>13050000</v>
      </c>
      <c r="E759" s="63"/>
      <c r="F759" s="92">
        <v>11250000</v>
      </c>
    </row>
    <row r="760" spans="1:13" x14ac:dyDescent="0.3">
      <c r="A760" s="103"/>
      <c r="B760" s="105" t="s">
        <v>349</v>
      </c>
      <c r="C760" s="104" t="s">
        <v>3</v>
      </c>
      <c r="D760" s="187">
        <f>F760*1.16</f>
        <v>619440</v>
      </c>
      <c r="E760" s="96"/>
      <c r="F760" s="84">
        <v>534000</v>
      </c>
    </row>
    <row r="761" spans="1:13" x14ac:dyDescent="0.3">
      <c r="A761" s="103"/>
      <c r="B761" s="57" t="s">
        <v>348</v>
      </c>
      <c r="C761" s="102" t="s">
        <v>171</v>
      </c>
      <c r="D761" s="190">
        <v>35330</v>
      </c>
      <c r="E761" s="63"/>
      <c r="F761" s="92"/>
    </row>
    <row r="762" spans="1:13" s="67" customFormat="1" x14ac:dyDescent="0.3">
      <c r="A762" s="71"/>
      <c r="B762" s="60" t="s">
        <v>347</v>
      </c>
      <c r="C762" s="78" t="s">
        <v>3</v>
      </c>
      <c r="D762" s="187">
        <f>F762*1.16</f>
        <v>521999.99999999994</v>
      </c>
      <c r="E762" s="86"/>
      <c r="F762" s="92">
        <v>450000</v>
      </c>
      <c r="G762" s="55"/>
      <c r="H762" s="66"/>
      <c r="I762" s="66"/>
      <c r="J762" s="66"/>
      <c r="K762" s="55"/>
      <c r="L762" s="55"/>
      <c r="M762" s="55"/>
    </row>
    <row r="763" spans="1:13" s="67" customFormat="1" x14ac:dyDescent="0.3">
      <c r="A763" s="71"/>
      <c r="B763" s="60" t="s">
        <v>346</v>
      </c>
      <c r="C763" s="78" t="s">
        <v>3</v>
      </c>
      <c r="D763" s="187">
        <f>F763*1.16</f>
        <v>139200</v>
      </c>
      <c r="E763" s="86"/>
      <c r="F763" s="92">
        <v>120000</v>
      </c>
      <c r="G763" s="55"/>
      <c r="H763" s="66"/>
      <c r="I763" s="66"/>
      <c r="J763" s="66"/>
      <c r="K763" s="55"/>
      <c r="L763" s="55"/>
      <c r="M763" s="55"/>
    </row>
    <row r="764" spans="1:13" s="67" customFormat="1" ht="31.2" x14ac:dyDescent="0.3">
      <c r="A764" s="71"/>
      <c r="B764" s="60" t="s">
        <v>345</v>
      </c>
      <c r="C764" s="78" t="s">
        <v>3</v>
      </c>
      <c r="D764" s="187">
        <f>F764*1.16</f>
        <v>249399.99999999997</v>
      </c>
      <c r="E764" s="86"/>
      <c r="F764" s="92">
        <v>215000</v>
      </c>
      <c r="G764" s="55"/>
      <c r="H764" s="66"/>
      <c r="I764" s="66"/>
      <c r="J764" s="66"/>
      <c r="K764" s="55"/>
      <c r="L764" s="55"/>
      <c r="M764" s="55"/>
    </row>
    <row r="765" spans="1:13" s="66" customFormat="1" ht="27" customHeight="1" x14ac:dyDescent="0.3">
      <c r="A765" s="71"/>
      <c r="B765" s="60" t="s">
        <v>344</v>
      </c>
      <c r="C765" s="78" t="s">
        <v>3</v>
      </c>
      <c r="D765" s="187">
        <f>F765*1.16</f>
        <v>371200</v>
      </c>
      <c r="E765" s="86"/>
      <c r="F765" s="92">
        <v>320000</v>
      </c>
      <c r="G765" s="55"/>
      <c r="K765" s="55"/>
      <c r="L765" s="55"/>
      <c r="M765" s="55"/>
    </row>
    <row r="766" spans="1:13" s="66" customFormat="1" x14ac:dyDescent="0.3">
      <c r="A766" s="71"/>
      <c r="B766" s="60" t="s">
        <v>343</v>
      </c>
      <c r="C766" s="78" t="s">
        <v>84</v>
      </c>
      <c r="D766" s="185">
        <v>85000</v>
      </c>
      <c r="E766" s="91"/>
      <c r="F766" s="84"/>
      <c r="G766" s="55"/>
      <c r="K766" s="55"/>
      <c r="L766" s="55"/>
      <c r="M766" s="55"/>
    </row>
    <row r="767" spans="1:13" s="66" customFormat="1" x14ac:dyDescent="0.3">
      <c r="A767" s="71"/>
      <c r="B767" s="60" t="s">
        <v>342</v>
      </c>
      <c r="C767" s="78" t="s">
        <v>299</v>
      </c>
      <c r="D767" s="185">
        <v>30000</v>
      </c>
      <c r="E767" s="91"/>
      <c r="F767" s="84"/>
      <c r="G767" s="55"/>
      <c r="K767" s="55"/>
      <c r="L767" s="55"/>
      <c r="M767" s="55"/>
    </row>
    <row r="768" spans="1:13" s="66" customFormat="1" x14ac:dyDescent="0.3">
      <c r="A768" s="71"/>
      <c r="B768" s="60" t="s">
        <v>341</v>
      </c>
      <c r="C768" s="78" t="s">
        <v>171</v>
      </c>
      <c r="D768" s="185">
        <f>(287356*1.16)/6</f>
        <v>55555.493333333325</v>
      </c>
      <c r="E768" s="91"/>
      <c r="F768" s="84"/>
      <c r="G768" s="55"/>
      <c r="K768" s="55"/>
      <c r="L768" s="55"/>
      <c r="M768" s="55"/>
    </row>
    <row r="769" spans="1:13" s="66" customFormat="1" x14ac:dyDescent="0.3">
      <c r="A769" s="71"/>
      <c r="B769" s="60" t="s">
        <v>340</v>
      </c>
      <c r="C769" s="78" t="s">
        <v>114</v>
      </c>
      <c r="D769" s="185">
        <f>(118474*1.16)/6</f>
        <v>22904.973333333332</v>
      </c>
      <c r="E769" s="91"/>
      <c r="F769" s="84"/>
      <c r="G769" s="55"/>
      <c r="K769" s="55"/>
      <c r="L769" s="55"/>
      <c r="M769" s="55"/>
    </row>
    <row r="770" spans="1:13" s="66" customFormat="1" x14ac:dyDescent="0.3">
      <c r="A770" s="71"/>
      <c r="B770" s="60" t="s">
        <v>339</v>
      </c>
      <c r="C770" s="78" t="s">
        <v>72</v>
      </c>
      <c r="D770" s="185">
        <v>1300</v>
      </c>
      <c r="E770" s="91"/>
      <c r="F770" s="84"/>
      <c r="G770" s="55"/>
      <c r="K770" s="55"/>
      <c r="L770" s="55"/>
      <c r="M770" s="55"/>
    </row>
    <row r="771" spans="1:13" s="66" customFormat="1" x14ac:dyDescent="0.3">
      <c r="A771" s="71"/>
      <c r="B771" s="60" t="s">
        <v>338</v>
      </c>
      <c r="C771" s="78" t="s">
        <v>72</v>
      </c>
      <c r="D771" s="185">
        <v>15885</v>
      </c>
      <c r="E771" s="91"/>
      <c r="F771" s="84"/>
      <c r="G771" s="55"/>
      <c r="K771" s="55"/>
      <c r="L771" s="55"/>
      <c r="M771" s="55"/>
    </row>
    <row r="772" spans="1:13" s="66" customFormat="1" x14ac:dyDescent="0.3">
      <c r="A772" s="71"/>
      <c r="B772" s="60" t="s">
        <v>338</v>
      </c>
      <c r="C772" s="78" t="s">
        <v>72</v>
      </c>
      <c r="D772" s="185">
        <f>+D771</f>
        <v>15885</v>
      </c>
      <c r="E772" s="85"/>
      <c r="F772" s="84"/>
      <c r="G772" s="83"/>
      <c r="K772" s="55"/>
      <c r="L772" s="55"/>
      <c r="M772" s="55"/>
    </row>
    <row r="773" spans="1:13" s="66" customFormat="1" x14ac:dyDescent="0.3">
      <c r="A773" s="71"/>
      <c r="B773" s="60" t="s">
        <v>337</v>
      </c>
      <c r="C773" s="78" t="s">
        <v>72</v>
      </c>
      <c r="D773" s="185">
        <v>1784</v>
      </c>
      <c r="E773" s="85"/>
      <c r="F773" s="84"/>
      <c r="G773" s="83"/>
      <c r="K773" s="55"/>
      <c r="L773" s="55"/>
      <c r="M773" s="55"/>
    </row>
    <row r="774" spans="1:13" s="66" customFormat="1" x14ac:dyDescent="0.3">
      <c r="A774" s="71"/>
      <c r="B774" s="57" t="s">
        <v>336</v>
      </c>
      <c r="C774" s="78" t="s">
        <v>335</v>
      </c>
      <c r="D774" s="185">
        <v>34741</v>
      </c>
      <c r="E774" s="101" t="s">
        <v>334</v>
      </c>
      <c r="F774" s="84"/>
      <c r="G774" s="83"/>
      <c r="K774" s="55"/>
      <c r="L774" s="55"/>
      <c r="M774" s="55"/>
    </row>
    <row r="775" spans="1:13" s="66" customFormat="1" x14ac:dyDescent="0.3">
      <c r="A775" s="71"/>
      <c r="B775" s="60" t="s">
        <v>333</v>
      </c>
      <c r="C775" s="78" t="s">
        <v>72</v>
      </c>
      <c r="D775" s="185">
        <v>200000</v>
      </c>
      <c r="E775" s="85"/>
      <c r="F775" s="84"/>
      <c r="G775" s="83"/>
      <c r="K775" s="55"/>
      <c r="L775" s="55"/>
      <c r="M775" s="55"/>
    </row>
    <row r="776" spans="1:13" s="66" customFormat="1" x14ac:dyDescent="0.3">
      <c r="A776" s="71"/>
      <c r="B776" s="60" t="s">
        <v>332</v>
      </c>
      <c r="C776" s="78" t="s">
        <v>72</v>
      </c>
      <c r="D776" s="185">
        <v>120000</v>
      </c>
      <c r="E776" s="85"/>
      <c r="F776" s="84"/>
      <c r="G776" s="83"/>
      <c r="K776" s="55"/>
      <c r="L776" s="55"/>
      <c r="M776" s="55"/>
    </row>
    <row r="777" spans="1:13" s="66" customFormat="1" x14ac:dyDescent="0.3">
      <c r="A777" s="71"/>
      <c r="B777" s="60" t="s">
        <v>331</v>
      </c>
      <c r="C777" s="78" t="s">
        <v>72</v>
      </c>
      <c r="D777" s="185">
        <v>270000</v>
      </c>
      <c r="E777" s="85"/>
      <c r="F777" s="84"/>
      <c r="G777" s="83"/>
      <c r="K777" s="55"/>
      <c r="L777" s="55"/>
      <c r="M777" s="55"/>
    </row>
    <row r="778" spans="1:13" s="66" customFormat="1" x14ac:dyDescent="0.3">
      <c r="A778" s="71"/>
      <c r="B778" s="57" t="s">
        <v>330</v>
      </c>
      <c r="C778" s="78" t="s">
        <v>129</v>
      </c>
      <c r="D778" s="185">
        <v>18560</v>
      </c>
      <c r="E778" s="85"/>
      <c r="F778" s="84"/>
      <c r="G778" s="83"/>
      <c r="K778" s="55"/>
      <c r="L778" s="55"/>
      <c r="M778" s="55"/>
    </row>
    <row r="779" spans="1:13" s="66" customFormat="1" x14ac:dyDescent="0.3">
      <c r="A779" s="71"/>
      <c r="B779" s="57" t="s">
        <v>329</v>
      </c>
      <c r="C779" s="78" t="s">
        <v>129</v>
      </c>
      <c r="D779" s="185">
        <v>22968</v>
      </c>
      <c r="E779" s="85"/>
      <c r="F779" s="84"/>
      <c r="G779" s="83"/>
      <c r="K779" s="55"/>
      <c r="L779" s="55"/>
      <c r="M779" s="55"/>
    </row>
    <row r="780" spans="1:13" s="66" customFormat="1" x14ac:dyDescent="0.3">
      <c r="A780" s="71"/>
      <c r="B780" s="57" t="s">
        <v>328</v>
      </c>
      <c r="C780" s="78" t="s">
        <v>129</v>
      </c>
      <c r="D780" s="185">
        <v>23200</v>
      </c>
      <c r="E780" s="85"/>
      <c r="F780" s="84"/>
      <c r="G780" s="83"/>
      <c r="K780" s="55"/>
      <c r="L780" s="55"/>
      <c r="M780" s="55"/>
    </row>
    <row r="781" spans="1:13" s="66" customFormat="1" x14ac:dyDescent="0.3">
      <c r="A781" s="71"/>
      <c r="B781" s="57" t="s">
        <v>327</v>
      </c>
      <c r="C781" s="78"/>
      <c r="D781" s="185"/>
      <c r="E781" s="85"/>
      <c r="F781" s="84"/>
      <c r="G781" s="83"/>
      <c r="K781" s="55"/>
      <c r="L781" s="55"/>
      <c r="M781" s="55"/>
    </row>
    <row r="782" spans="1:13" s="66" customFormat="1" x14ac:dyDescent="0.3">
      <c r="A782" s="71"/>
      <c r="B782" s="57" t="s">
        <v>326</v>
      </c>
      <c r="C782" s="78" t="s">
        <v>129</v>
      </c>
      <c r="D782" s="185">
        <v>19972</v>
      </c>
      <c r="E782" s="85"/>
      <c r="F782" s="84"/>
      <c r="G782" s="83"/>
      <c r="K782" s="55"/>
      <c r="L782" s="55"/>
      <c r="M782" s="55"/>
    </row>
    <row r="783" spans="1:13" s="66" customFormat="1" x14ac:dyDescent="0.3">
      <c r="A783" s="71"/>
      <c r="B783" s="57" t="s">
        <v>325</v>
      </c>
      <c r="C783" s="78" t="s">
        <v>129</v>
      </c>
      <c r="D783" s="185">
        <v>18180</v>
      </c>
      <c r="E783" s="85"/>
      <c r="F783" s="84"/>
      <c r="G783" s="83"/>
      <c r="K783" s="55"/>
      <c r="L783" s="55"/>
      <c r="M783" s="55"/>
    </row>
    <row r="784" spans="1:13" s="66" customFormat="1" x14ac:dyDescent="0.3">
      <c r="A784" s="71"/>
      <c r="B784" s="57" t="s">
        <v>324</v>
      </c>
      <c r="C784" s="78" t="s">
        <v>129</v>
      </c>
      <c r="D784" s="185">
        <v>18180</v>
      </c>
      <c r="E784" s="85"/>
      <c r="F784" s="84"/>
      <c r="G784" s="83"/>
      <c r="K784" s="55"/>
      <c r="L784" s="55"/>
      <c r="M784" s="55"/>
    </row>
    <row r="785" spans="1:13" s="66" customFormat="1" x14ac:dyDescent="0.3">
      <c r="A785" s="71"/>
      <c r="B785" s="57" t="s">
        <v>323</v>
      </c>
      <c r="C785" s="78" t="s">
        <v>129</v>
      </c>
      <c r="D785" s="185">
        <v>18180</v>
      </c>
      <c r="E785" s="85"/>
      <c r="F785" s="84"/>
      <c r="G785" s="83"/>
      <c r="K785" s="55"/>
      <c r="L785" s="55"/>
      <c r="M785" s="55"/>
    </row>
    <row r="786" spans="1:13" s="66" customFormat="1" x14ac:dyDescent="0.3">
      <c r="A786" s="71"/>
      <c r="B786" s="57" t="s">
        <v>322</v>
      </c>
      <c r="C786" s="78" t="s">
        <v>129</v>
      </c>
      <c r="D786" s="185">
        <v>18180</v>
      </c>
      <c r="E786" s="85"/>
      <c r="F786" s="84"/>
      <c r="G786" s="83"/>
      <c r="K786" s="55"/>
      <c r="L786" s="55"/>
      <c r="M786" s="55"/>
    </row>
    <row r="787" spans="1:13" s="66" customFormat="1" x14ac:dyDescent="0.3">
      <c r="A787" s="71"/>
      <c r="B787" s="57" t="s">
        <v>321</v>
      </c>
      <c r="C787" s="78" t="s">
        <v>129</v>
      </c>
      <c r="D787" s="185">
        <v>18180</v>
      </c>
      <c r="E787" s="85"/>
      <c r="F787" s="84"/>
      <c r="G787" s="83"/>
      <c r="K787" s="55"/>
      <c r="L787" s="55"/>
      <c r="M787" s="55"/>
    </row>
    <row r="788" spans="1:13" s="66" customFormat="1" x14ac:dyDescent="0.3">
      <c r="A788" s="71"/>
      <c r="B788" s="57" t="s">
        <v>320</v>
      </c>
      <c r="C788" s="78" t="s">
        <v>129</v>
      </c>
      <c r="D788" s="185">
        <v>17400</v>
      </c>
      <c r="E788" s="85"/>
      <c r="F788" s="84"/>
      <c r="G788" s="83"/>
      <c r="K788" s="55"/>
      <c r="L788" s="55"/>
      <c r="M788" s="55"/>
    </row>
    <row r="789" spans="1:13" s="66" customFormat="1" x14ac:dyDescent="0.3">
      <c r="A789" s="71"/>
      <c r="B789" s="57" t="s">
        <v>319</v>
      </c>
      <c r="C789" s="78" t="s">
        <v>129</v>
      </c>
      <c r="D789" s="185">
        <v>22524</v>
      </c>
      <c r="E789" s="85"/>
      <c r="F789" s="84"/>
      <c r="G789" s="83"/>
      <c r="K789" s="55"/>
      <c r="L789" s="55"/>
      <c r="M789" s="55"/>
    </row>
    <row r="790" spans="1:13" s="66" customFormat="1" x14ac:dyDescent="0.3">
      <c r="A790" s="71"/>
      <c r="B790" s="57" t="s">
        <v>318</v>
      </c>
      <c r="C790" s="78" t="s">
        <v>129</v>
      </c>
      <c r="D790" s="185">
        <v>16299</v>
      </c>
      <c r="E790" s="85"/>
      <c r="F790" s="84"/>
      <c r="G790" s="83"/>
      <c r="K790" s="55"/>
      <c r="L790" s="55"/>
      <c r="M790" s="55"/>
    </row>
    <row r="791" spans="1:13" s="66" customFormat="1" x14ac:dyDescent="0.3">
      <c r="A791" s="71"/>
      <c r="B791" s="57" t="s">
        <v>317</v>
      </c>
      <c r="C791" s="78" t="s">
        <v>308</v>
      </c>
      <c r="D791" s="185">
        <v>1500</v>
      </c>
      <c r="E791" s="85" t="s">
        <v>316</v>
      </c>
      <c r="F791" s="84"/>
      <c r="G791" s="83"/>
      <c r="K791" s="55"/>
      <c r="L791" s="55"/>
      <c r="M791" s="55"/>
    </row>
    <row r="792" spans="1:13" s="66" customFormat="1" x14ac:dyDescent="0.3">
      <c r="A792" s="71"/>
      <c r="B792" s="57" t="s">
        <v>315</v>
      </c>
      <c r="C792" s="78" t="s">
        <v>308</v>
      </c>
      <c r="D792" s="185">
        <v>1012</v>
      </c>
      <c r="E792" s="100" t="s">
        <v>307</v>
      </c>
      <c r="F792" s="84"/>
      <c r="G792" s="83"/>
      <c r="K792" s="55"/>
      <c r="L792" s="55"/>
      <c r="M792" s="55"/>
    </row>
    <row r="793" spans="1:13" s="66" customFormat="1" x14ac:dyDescent="0.3">
      <c r="A793" s="71"/>
      <c r="B793" s="57" t="s">
        <v>314</v>
      </c>
      <c r="C793" s="78" t="s">
        <v>308</v>
      </c>
      <c r="D793" s="185">
        <v>900</v>
      </c>
      <c r="E793" s="85"/>
      <c r="F793" s="84"/>
      <c r="G793" s="83"/>
      <c r="K793" s="55"/>
      <c r="L793" s="55"/>
      <c r="M793" s="55"/>
    </row>
    <row r="794" spans="1:13" s="66" customFormat="1" x14ac:dyDescent="0.3">
      <c r="A794" s="71"/>
      <c r="B794" s="57" t="s">
        <v>313</v>
      </c>
      <c r="C794" s="78" t="s">
        <v>308</v>
      </c>
      <c r="D794" s="185">
        <v>1200</v>
      </c>
      <c r="E794" s="100" t="s">
        <v>172</v>
      </c>
      <c r="F794" s="84"/>
      <c r="G794" s="83"/>
      <c r="K794" s="55"/>
      <c r="L794" s="55"/>
      <c r="M794" s="55"/>
    </row>
    <row r="795" spans="1:13" s="66" customFormat="1" x14ac:dyDescent="0.3">
      <c r="A795" s="71"/>
      <c r="B795" s="57" t="s">
        <v>312</v>
      </c>
      <c r="C795" s="78" t="s">
        <v>308</v>
      </c>
      <c r="D795" s="185">
        <v>1200</v>
      </c>
      <c r="E795" s="100" t="s">
        <v>172</v>
      </c>
      <c r="F795" s="84"/>
      <c r="G795" s="83"/>
      <c r="K795" s="55"/>
      <c r="L795" s="55"/>
      <c r="M795" s="55"/>
    </row>
    <row r="796" spans="1:13" s="66" customFormat="1" x14ac:dyDescent="0.3">
      <c r="A796" s="71"/>
      <c r="B796" s="57" t="s">
        <v>311</v>
      </c>
      <c r="C796" s="78" t="s">
        <v>308</v>
      </c>
      <c r="D796" s="185">
        <v>1200</v>
      </c>
      <c r="E796" s="100" t="s">
        <v>172</v>
      </c>
      <c r="F796" s="84"/>
      <c r="G796" s="83"/>
      <c r="K796" s="55"/>
      <c r="L796" s="55"/>
      <c r="M796" s="55"/>
    </row>
    <row r="797" spans="1:13" s="66" customFormat="1" x14ac:dyDescent="0.3">
      <c r="A797" s="71"/>
      <c r="B797" s="57" t="s">
        <v>310</v>
      </c>
      <c r="C797" s="78" t="s">
        <v>308</v>
      </c>
      <c r="D797" s="185">
        <v>2280</v>
      </c>
      <c r="E797" s="100" t="s">
        <v>172</v>
      </c>
      <c r="F797" s="84"/>
      <c r="G797" s="83"/>
      <c r="K797" s="55"/>
      <c r="L797" s="55"/>
      <c r="M797" s="55"/>
    </row>
    <row r="798" spans="1:13" s="66" customFormat="1" x14ac:dyDescent="0.3">
      <c r="A798" s="71"/>
      <c r="B798" s="57" t="s">
        <v>309</v>
      </c>
      <c r="C798" s="78" t="s">
        <v>308</v>
      </c>
      <c r="D798" s="185">
        <v>2700</v>
      </c>
      <c r="E798" s="100" t="s">
        <v>307</v>
      </c>
      <c r="F798" s="84"/>
      <c r="G798" s="83"/>
      <c r="K798" s="55"/>
      <c r="L798" s="55"/>
      <c r="M798" s="55"/>
    </row>
    <row r="799" spans="1:13" s="66" customFormat="1" x14ac:dyDescent="0.3">
      <c r="A799" s="71"/>
      <c r="B799" s="57" t="s">
        <v>306</v>
      </c>
      <c r="C799" s="78" t="s">
        <v>305</v>
      </c>
      <c r="D799" s="185">
        <v>90000</v>
      </c>
      <c r="F799" s="84"/>
      <c r="G799" s="83"/>
      <c r="K799" s="55"/>
      <c r="L799" s="55"/>
      <c r="M799" s="55"/>
    </row>
    <row r="800" spans="1:13" s="66" customFormat="1" x14ac:dyDescent="0.3">
      <c r="A800" s="71"/>
      <c r="B800" s="60" t="s">
        <v>304</v>
      </c>
      <c r="C800" s="78" t="s">
        <v>171</v>
      </c>
      <c r="D800" s="185">
        <v>64736</v>
      </c>
      <c r="E800" s="99">
        <v>2021</v>
      </c>
      <c r="F800" s="84"/>
      <c r="G800" s="83"/>
      <c r="K800" s="55"/>
      <c r="L800" s="55"/>
      <c r="M800" s="55"/>
    </row>
    <row r="801" spans="1:13" s="66" customFormat="1" x14ac:dyDescent="0.3">
      <c r="A801" s="71"/>
      <c r="B801" s="60" t="s">
        <v>303</v>
      </c>
      <c r="C801" s="78" t="s">
        <v>171</v>
      </c>
      <c r="D801" s="185">
        <v>106000</v>
      </c>
      <c r="E801" s="67"/>
      <c r="F801" s="84"/>
      <c r="G801" s="83"/>
      <c r="K801" s="55"/>
      <c r="L801" s="55"/>
      <c r="M801" s="55"/>
    </row>
    <row r="802" spans="1:13" s="66" customFormat="1" x14ac:dyDescent="0.3">
      <c r="A802" s="71"/>
      <c r="B802" s="57" t="s">
        <v>302</v>
      </c>
      <c r="C802" s="78" t="s">
        <v>301</v>
      </c>
      <c r="D802" s="185">
        <v>60960</v>
      </c>
      <c r="E802" s="85"/>
      <c r="F802" s="84"/>
      <c r="G802" s="83"/>
      <c r="K802" s="55"/>
      <c r="L802" s="55"/>
      <c r="M802" s="55"/>
    </row>
    <row r="803" spans="1:13" s="95" customFormat="1" x14ac:dyDescent="0.3">
      <c r="A803" s="98"/>
      <c r="B803" s="60" t="s">
        <v>300</v>
      </c>
      <c r="C803" s="78" t="s">
        <v>299</v>
      </c>
      <c r="D803" s="185">
        <v>240000</v>
      </c>
      <c r="E803" s="88">
        <v>2023</v>
      </c>
      <c r="F803" s="84"/>
      <c r="G803" s="97"/>
      <c r="K803" s="96"/>
      <c r="L803" s="96"/>
      <c r="M803" s="96"/>
    </row>
    <row r="804" spans="1:13" s="66" customFormat="1" x14ac:dyDescent="0.3">
      <c r="A804" s="71"/>
      <c r="B804" s="60" t="s">
        <v>298</v>
      </c>
      <c r="C804" s="94" t="s">
        <v>171</v>
      </c>
      <c r="D804" s="185">
        <v>1148648</v>
      </c>
      <c r="E804" s="88">
        <v>2023</v>
      </c>
      <c r="F804" s="92">
        <v>628320</v>
      </c>
      <c r="G804" s="83"/>
      <c r="K804" s="55"/>
      <c r="L804" s="55"/>
      <c r="M804" s="55"/>
    </row>
    <row r="805" spans="1:13" s="66" customFormat="1" x14ac:dyDescent="0.3">
      <c r="A805" s="71"/>
      <c r="B805" s="60" t="s">
        <v>297</v>
      </c>
      <c r="C805" s="94" t="s">
        <v>171</v>
      </c>
      <c r="D805" s="185">
        <v>362950</v>
      </c>
      <c r="E805" s="88">
        <v>2023</v>
      </c>
      <c r="F805" s="92">
        <v>175000</v>
      </c>
      <c r="G805" s="83"/>
      <c r="K805" s="55"/>
      <c r="L805" s="55"/>
      <c r="M805" s="55"/>
    </row>
    <row r="806" spans="1:13" s="66" customFormat="1" x14ac:dyDescent="0.3">
      <c r="A806" s="71"/>
      <c r="B806" s="57" t="s">
        <v>296</v>
      </c>
      <c r="C806" s="94" t="s">
        <v>171</v>
      </c>
      <c r="D806" s="185">
        <v>750000</v>
      </c>
      <c r="E806" s="85" t="s">
        <v>295</v>
      </c>
      <c r="F806" s="84"/>
      <c r="G806" s="83"/>
      <c r="K806" s="55"/>
      <c r="L806" s="55"/>
      <c r="M806" s="55"/>
    </row>
    <row r="807" spans="1:13" s="66" customFormat="1" x14ac:dyDescent="0.3">
      <c r="A807" s="71"/>
      <c r="B807" s="60" t="s">
        <v>294</v>
      </c>
      <c r="C807" s="93" t="s">
        <v>3</v>
      </c>
      <c r="D807" s="187">
        <f>F807*1.16</f>
        <v>139200</v>
      </c>
      <c r="E807" s="63"/>
      <c r="F807" s="92">
        <v>120000</v>
      </c>
      <c r="G807" s="83"/>
      <c r="K807" s="55"/>
      <c r="L807" s="55"/>
      <c r="M807" s="55"/>
    </row>
    <row r="808" spans="1:13" s="66" customFormat="1" ht="31.2" x14ac:dyDescent="0.3">
      <c r="A808" s="71"/>
      <c r="B808" s="60" t="s">
        <v>293</v>
      </c>
      <c r="C808" s="78" t="s">
        <v>3</v>
      </c>
      <c r="D808" s="187">
        <f>F808*1.16</f>
        <v>1392000</v>
      </c>
      <c r="E808" s="86"/>
      <c r="F808" s="92">
        <v>1200000</v>
      </c>
      <c r="G808" s="83"/>
      <c r="K808" s="55"/>
      <c r="L808" s="55"/>
      <c r="M808" s="55"/>
    </row>
    <row r="809" spans="1:13" s="66" customFormat="1" x14ac:dyDescent="0.3">
      <c r="A809" s="71"/>
      <c r="B809" s="60" t="s">
        <v>292</v>
      </c>
      <c r="C809" s="93" t="s">
        <v>3</v>
      </c>
      <c r="D809" s="187">
        <f>F809*1.16</f>
        <v>247079.99999999997</v>
      </c>
      <c r="E809" s="63"/>
      <c r="F809" s="92">
        <v>213000</v>
      </c>
      <c r="G809" s="83"/>
      <c r="K809" s="55"/>
      <c r="L809" s="55"/>
      <c r="M809" s="55"/>
    </row>
    <row r="810" spans="1:13" s="66" customFormat="1" x14ac:dyDescent="0.3">
      <c r="A810" s="71"/>
      <c r="B810" s="60" t="s">
        <v>291</v>
      </c>
      <c r="C810" s="78" t="s">
        <v>3</v>
      </c>
      <c r="D810" s="187">
        <f>F810*1.16</f>
        <v>406000</v>
      </c>
      <c r="E810" s="86"/>
      <c r="F810" s="92">
        <v>350000</v>
      </c>
      <c r="G810" s="83"/>
      <c r="K810" s="55"/>
      <c r="L810" s="55"/>
      <c r="M810" s="55"/>
    </row>
    <row r="811" spans="1:13" s="66" customFormat="1" ht="31.2" x14ac:dyDescent="0.3">
      <c r="A811" s="71"/>
      <c r="B811" s="60" t="s">
        <v>290</v>
      </c>
      <c r="C811" s="78" t="s">
        <v>3</v>
      </c>
      <c r="D811" s="187">
        <v>157441</v>
      </c>
      <c r="E811" s="85"/>
      <c r="F811" s="92"/>
      <c r="G811" s="83"/>
      <c r="K811" s="55"/>
      <c r="L811" s="55"/>
      <c r="M811" s="55"/>
    </row>
    <row r="812" spans="1:13" s="66" customFormat="1" x14ac:dyDescent="0.3">
      <c r="A812" s="71"/>
      <c r="B812" s="60" t="s">
        <v>289</v>
      </c>
      <c r="C812" s="78" t="s">
        <v>3</v>
      </c>
      <c r="D812" s="187">
        <v>157441</v>
      </c>
      <c r="E812" s="85"/>
      <c r="F812" s="92"/>
      <c r="G812" s="83"/>
      <c r="K812" s="55"/>
      <c r="L812" s="55"/>
      <c r="M812" s="55"/>
    </row>
    <row r="813" spans="1:13" s="66" customFormat="1" x14ac:dyDescent="0.3">
      <c r="A813" s="71"/>
      <c r="B813" s="60" t="s">
        <v>288</v>
      </c>
      <c r="C813" s="78" t="s">
        <v>3</v>
      </c>
      <c r="D813" s="185">
        <v>383868</v>
      </c>
      <c r="E813" s="86"/>
      <c r="F813" s="77"/>
      <c r="G813" s="83"/>
      <c r="K813" s="55"/>
      <c r="L813" s="55"/>
      <c r="M813" s="55"/>
    </row>
    <row r="814" spans="1:13" s="66" customFormat="1" x14ac:dyDescent="0.3">
      <c r="A814" s="71"/>
      <c r="B814" s="60" t="s">
        <v>287</v>
      </c>
      <c r="C814" s="78" t="s">
        <v>3</v>
      </c>
      <c r="D814" s="185">
        <f>+F814*1.16</f>
        <v>6380000</v>
      </c>
      <c r="E814" s="86"/>
      <c r="F814" s="77">
        <v>5500000</v>
      </c>
      <c r="G814" s="83"/>
      <c r="K814" s="55"/>
      <c r="L814" s="55"/>
      <c r="M814" s="55"/>
    </row>
    <row r="815" spans="1:13" s="66" customFormat="1" x14ac:dyDescent="0.3">
      <c r="A815" s="71"/>
      <c r="B815" s="60" t="s">
        <v>286</v>
      </c>
      <c r="C815" s="78" t="s">
        <v>3</v>
      </c>
      <c r="D815" s="185">
        <f>+F815*1.16</f>
        <v>5220000</v>
      </c>
      <c r="E815" s="86"/>
      <c r="F815" s="77">
        <v>4500000</v>
      </c>
      <c r="G815" s="83"/>
      <c r="K815" s="55"/>
      <c r="L815" s="55"/>
      <c r="M815" s="55"/>
    </row>
    <row r="816" spans="1:13" s="66" customFormat="1" x14ac:dyDescent="0.3">
      <c r="A816" s="71"/>
      <c r="B816" s="60" t="s">
        <v>285</v>
      </c>
      <c r="C816" s="78" t="s">
        <v>3</v>
      </c>
      <c r="D816" s="185">
        <f>+F816*1.16</f>
        <v>1334000</v>
      </c>
      <c r="E816" s="91"/>
      <c r="F816" s="77">
        <v>1150000</v>
      </c>
      <c r="G816" s="83"/>
      <c r="K816" s="55"/>
      <c r="L816" s="55"/>
      <c r="M816" s="55"/>
    </row>
    <row r="817" spans="1:13" s="66" customFormat="1" x14ac:dyDescent="0.3">
      <c r="A817" s="71"/>
      <c r="B817" s="60" t="s">
        <v>284</v>
      </c>
      <c r="C817" s="78" t="s">
        <v>3</v>
      </c>
      <c r="D817" s="185">
        <f>+F817*1.16</f>
        <v>17400000</v>
      </c>
      <c r="E817" s="86"/>
      <c r="F817" s="77">
        <v>15000000</v>
      </c>
      <c r="G817" s="83"/>
      <c r="K817" s="55"/>
      <c r="L817" s="55"/>
      <c r="M817" s="55"/>
    </row>
    <row r="818" spans="1:13" s="66" customFormat="1" x14ac:dyDescent="0.3">
      <c r="A818" s="71"/>
      <c r="B818" s="60" t="s">
        <v>283</v>
      </c>
      <c r="C818" s="78" t="s">
        <v>3</v>
      </c>
      <c r="D818" s="185">
        <v>394400</v>
      </c>
      <c r="E818" s="86"/>
      <c r="F818" s="77"/>
      <c r="G818" s="83"/>
      <c r="K818" s="55"/>
      <c r="L818" s="55"/>
      <c r="M818" s="55"/>
    </row>
    <row r="819" spans="1:13" s="66" customFormat="1" ht="31.2" x14ac:dyDescent="0.3">
      <c r="A819" s="71"/>
      <c r="B819" s="60" t="s">
        <v>282</v>
      </c>
      <c r="C819" s="78" t="s">
        <v>72</v>
      </c>
      <c r="D819" s="185">
        <v>8667</v>
      </c>
      <c r="E819" s="86"/>
      <c r="F819" s="77"/>
      <c r="G819" s="83"/>
      <c r="K819" s="55"/>
      <c r="L819" s="55"/>
      <c r="M819" s="55"/>
    </row>
    <row r="820" spans="1:13" s="66" customFormat="1" ht="31.2" x14ac:dyDescent="0.3">
      <c r="A820" s="71"/>
      <c r="B820" s="60" t="s">
        <v>281</v>
      </c>
      <c r="C820" s="78" t="s">
        <v>72</v>
      </c>
      <c r="D820" s="185">
        <v>4449</v>
      </c>
      <c r="E820" s="86"/>
      <c r="F820" s="77"/>
      <c r="G820" s="83"/>
      <c r="K820" s="55"/>
      <c r="L820" s="55"/>
      <c r="M820" s="55"/>
    </row>
    <row r="821" spans="1:13" s="66" customFormat="1" ht="31.2" x14ac:dyDescent="0.3">
      <c r="A821" s="71"/>
      <c r="B821" s="60" t="s">
        <v>280</v>
      </c>
      <c r="C821" s="78" t="s">
        <v>72</v>
      </c>
      <c r="D821" s="185">
        <v>35500</v>
      </c>
      <c r="E821" s="86"/>
      <c r="F821" s="77"/>
      <c r="G821" s="83"/>
      <c r="K821" s="55"/>
      <c r="L821" s="55"/>
      <c r="M821" s="55"/>
    </row>
    <row r="822" spans="1:13" s="66" customFormat="1" x14ac:dyDescent="0.3">
      <c r="A822" s="71"/>
      <c r="B822" s="57" t="s">
        <v>279</v>
      </c>
      <c r="C822" s="78" t="s">
        <v>129</v>
      </c>
      <c r="D822" s="185">
        <v>41900</v>
      </c>
      <c r="E822" s="86"/>
      <c r="F822" s="77"/>
      <c r="G822" s="83"/>
      <c r="K822" s="55"/>
      <c r="L822" s="55"/>
      <c r="M822" s="55"/>
    </row>
    <row r="823" spans="1:13" s="66" customFormat="1" x14ac:dyDescent="0.3">
      <c r="A823" s="71"/>
      <c r="B823" s="60" t="s">
        <v>278</v>
      </c>
      <c r="C823" s="78" t="s">
        <v>3</v>
      </c>
      <c r="D823" s="185">
        <v>1012</v>
      </c>
      <c r="E823" s="86" t="s">
        <v>276</v>
      </c>
      <c r="F823" s="77"/>
      <c r="G823" s="83"/>
      <c r="K823" s="55"/>
      <c r="L823" s="55"/>
      <c r="M823" s="55"/>
    </row>
    <row r="824" spans="1:13" s="66" customFormat="1" x14ac:dyDescent="0.3">
      <c r="A824" s="71"/>
      <c r="B824" s="60" t="s">
        <v>277</v>
      </c>
      <c r="C824" s="78" t="s">
        <v>3</v>
      </c>
      <c r="D824" s="185">
        <v>55811</v>
      </c>
      <c r="E824" s="86" t="s">
        <v>276</v>
      </c>
      <c r="F824" s="77"/>
      <c r="G824" s="83"/>
      <c r="K824" s="55"/>
      <c r="L824" s="55"/>
      <c r="M824" s="55"/>
    </row>
    <row r="825" spans="1:13" s="66" customFormat="1" ht="42.75" customHeight="1" x14ac:dyDescent="0.3">
      <c r="A825" s="71"/>
      <c r="B825" s="89" t="s">
        <v>275</v>
      </c>
      <c r="C825" s="78" t="s">
        <v>258</v>
      </c>
      <c r="D825" s="185">
        <v>214619.37376635414</v>
      </c>
      <c r="E825" s="88">
        <v>2022</v>
      </c>
      <c r="F825" s="77"/>
      <c r="G825" s="83"/>
      <c r="K825" s="55"/>
      <c r="L825" s="55"/>
      <c r="M825" s="55"/>
    </row>
    <row r="826" spans="1:13" s="66" customFormat="1" x14ac:dyDescent="0.3">
      <c r="A826" s="71"/>
      <c r="B826" s="60" t="s">
        <v>274</v>
      </c>
      <c r="C826" s="78" t="s">
        <v>258</v>
      </c>
      <c r="D826" s="185">
        <v>126357</v>
      </c>
      <c r="E826" s="88">
        <v>2022</v>
      </c>
      <c r="F826" s="77"/>
      <c r="G826" s="83"/>
      <c r="K826" s="55"/>
      <c r="L826" s="55"/>
      <c r="M826" s="55"/>
    </row>
    <row r="827" spans="1:13" s="66" customFormat="1" x14ac:dyDescent="0.3">
      <c r="A827" s="71"/>
      <c r="B827" s="60" t="s">
        <v>273</v>
      </c>
      <c r="C827" s="78" t="s">
        <v>258</v>
      </c>
      <c r="D827" s="185">
        <v>124080.13059585571</v>
      </c>
      <c r="E827" s="88">
        <v>2022</v>
      </c>
      <c r="F827" s="77">
        <v>120612.44824326687</v>
      </c>
      <c r="G827" s="83"/>
      <c r="K827" s="55"/>
      <c r="L827" s="55"/>
      <c r="M827" s="55"/>
    </row>
    <row r="828" spans="1:13" s="66" customFormat="1" x14ac:dyDescent="0.3">
      <c r="A828" s="71"/>
      <c r="B828" s="60" t="s">
        <v>272</v>
      </c>
      <c r="C828" s="78" t="s">
        <v>3</v>
      </c>
      <c r="D828" s="185">
        <v>6871</v>
      </c>
      <c r="E828" s="86"/>
      <c r="F828" s="77"/>
      <c r="G828" s="83"/>
      <c r="K828" s="55"/>
      <c r="L828" s="55"/>
      <c r="M828" s="55"/>
    </row>
    <row r="829" spans="1:13" s="66" customFormat="1" x14ac:dyDescent="0.3">
      <c r="A829" s="71"/>
      <c r="B829" s="87" t="s">
        <v>271</v>
      </c>
      <c r="C829" s="78" t="s">
        <v>3</v>
      </c>
      <c r="D829" s="185">
        <v>188051</v>
      </c>
      <c r="E829" s="86"/>
      <c r="F829" s="77"/>
      <c r="G829" s="83"/>
      <c r="K829" s="55"/>
      <c r="L829" s="55"/>
      <c r="M829" s="55"/>
    </row>
    <row r="830" spans="1:13" s="66" customFormat="1" x14ac:dyDescent="0.3">
      <c r="A830" s="71"/>
      <c r="B830" s="60" t="s">
        <v>270</v>
      </c>
      <c r="C830" s="78" t="s">
        <v>3</v>
      </c>
      <c r="D830" s="185">
        <v>3802</v>
      </c>
      <c r="E830" s="86"/>
      <c r="F830" s="77"/>
      <c r="G830" s="83"/>
      <c r="K830" s="55"/>
      <c r="L830" s="55"/>
      <c r="M830" s="55"/>
    </row>
    <row r="831" spans="1:13" s="66" customFormat="1" x14ac:dyDescent="0.3">
      <c r="A831" s="71"/>
      <c r="B831" s="60" t="s">
        <v>269</v>
      </c>
      <c r="C831" s="78" t="s">
        <v>3</v>
      </c>
      <c r="D831" s="185">
        <v>12475</v>
      </c>
      <c r="E831" s="77"/>
      <c r="F831" s="77"/>
      <c r="G831" s="83"/>
      <c r="K831" s="55"/>
      <c r="L831" s="55"/>
      <c r="M831" s="55"/>
    </row>
    <row r="832" spans="1:13" s="66" customFormat="1" x14ac:dyDescent="0.3">
      <c r="A832" s="71"/>
      <c r="B832" s="60" t="s">
        <v>268</v>
      </c>
      <c r="C832" s="78" t="s">
        <v>3</v>
      </c>
      <c r="D832" s="185">
        <v>25174</v>
      </c>
      <c r="E832" s="77"/>
      <c r="F832" s="77"/>
      <c r="G832" s="83"/>
      <c r="K832" s="55"/>
      <c r="L832" s="55"/>
      <c r="M832" s="55"/>
    </row>
    <row r="833" spans="1:13" s="66" customFormat="1" x14ac:dyDescent="0.3">
      <c r="A833" s="71"/>
      <c r="B833" s="60" t="s">
        <v>267</v>
      </c>
      <c r="C833" s="78" t="s">
        <v>3</v>
      </c>
      <c r="D833" s="185">
        <v>26430</v>
      </c>
      <c r="E833" s="86"/>
      <c r="F833" s="77"/>
      <c r="G833" s="83"/>
      <c r="K833" s="55"/>
      <c r="L833" s="55"/>
      <c r="M833" s="55"/>
    </row>
    <row r="834" spans="1:13" s="66" customFormat="1" x14ac:dyDescent="0.3">
      <c r="A834" s="71"/>
      <c r="B834" s="60" t="s">
        <v>266</v>
      </c>
      <c r="C834" s="78" t="s">
        <v>3</v>
      </c>
      <c r="D834" s="185">
        <v>51266</v>
      </c>
      <c r="E834" s="86"/>
      <c r="F834" s="77"/>
      <c r="G834" s="83"/>
      <c r="K834" s="55"/>
      <c r="L834" s="55"/>
      <c r="M834" s="55"/>
    </row>
    <row r="835" spans="1:13" s="66" customFormat="1" x14ac:dyDescent="0.3">
      <c r="A835" s="71"/>
      <c r="B835" s="60" t="s">
        <v>265</v>
      </c>
      <c r="C835" s="78" t="s">
        <v>3</v>
      </c>
      <c r="D835" s="185">
        <v>83368</v>
      </c>
      <c r="E835" s="86"/>
      <c r="F835" s="77"/>
      <c r="G835" s="83"/>
      <c r="K835" s="55"/>
      <c r="L835" s="55"/>
      <c r="M835" s="55"/>
    </row>
    <row r="836" spans="1:13" s="66" customFormat="1" x14ac:dyDescent="0.3">
      <c r="A836" s="71"/>
      <c r="B836" s="60" t="s">
        <v>264</v>
      </c>
      <c r="C836" s="78" t="s">
        <v>3</v>
      </c>
      <c r="D836" s="185">
        <v>167801</v>
      </c>
      <c r="E836" s="86"/>
      <c r="F836" s="77"/>
      <c r="G836" s="83"/>
      <c r="K836" s="55"/>
      <c r="L836" s="55"/>
      <c r="M836" s="55"/>
    </row>
    <row r="837" spans="1:13" s="66" customFormat="1" x14ac:dyDescent="0.3">
      <c r="A837" s="71"/>
      <c r="B837" s="60" t="s">
        <v>263</v>
      </c>
      <c r="C837" s="78" t="s">
        <v>3</v>
      </c>
      <c r="D837" s="185">
        <v>375015</v>
      </c>
      <c r="E837" s="86"/>
      <c r="F837" s="77"/>
      <c r="G837" s="83"/>
      <c r="K837" s="55"/>
      <c r="L837" s="55"/>
      <c r="M837" s="55"/>
    </row>
    <row r="838" spans="1:13" s="66" customFormat="1" x14ac:dyDescent="0.3">
      <c r="A838" s="71"/>
      <c r="B838" s="60" t="s">
        <v>262</v>
      </c>
      <c r="C838" s="78" t="s">
        <v>3</v>
      </c>
      <c r="D838" s="185">
        <v>175803</v>
      </c>
      <c r="E838" s="86"/>
      <c r="F838" s="77">
        <v>455375</v>
      </c>
      <c r="G838" s="83"/>
      <c r="K838" s="55"/>
      <c r="L838" s="55"/>
      <c r="M838" s="55"/>
    </row>
    <row r="839" spans="1:13" s="66" customFormat="1" x14ac:dyDescent="0.3">
      <c r="A839" s="71"/>
      <c r="B839" s="60" t="s">
        <v>261</v>
      </c>
      <c r="C839" s="78" t="s">
        <v>3</v>
      </c>
      <c r="D839" s="185">
        <v>209169</v>
      </c>
      <c r="E839" s="86"/>
      <c r="F839" s="77"/>
      <c r="G839" s="83"/>
      <c r="K839" s="55"/>
      <c r="L839" s="55"/>
      <c r="M839" s="55"/>
    </row>
    <row r="840" spans="1:13" s="66" customFormat="1" x14ac:dyDescent="0.3">
      <c r="A840" s="71"/>
      <c r="B840" s="60" t="str">
        <f>+'[113]ANALISIS UNITARIOS '!C1585</f>
        <v>MANO DE OBRA DD</v>
      </c>
      <c r="C840" s="78" t="s">
        <v>258</v>
      </c>
      <c r="D840" s="185">
        <f>+[113]MO!D125</f>
        <v>49048.726094669284</v>
      </c>
      <c r="E840" s="86"/>
      <c r="F840" s="77"/>
      <c r="G840" s="83"/>
      <c r="K840" s="55"/>
      <c r="L840" s="55"/>
      <c r="M840" s="55"/>
    </row>
    <row r="841" spans="1:13" s="66" customFormat="1" x14ac:dyDescent="0.3">
      <c r="A841" s="71"/>
      <c r="B841" s="60" t="str">
        <f>+'[113]ANALISIS UNITARIOS '!C1489</f>
        <v>MANO DE OBRA AA</v>
      </c>
      <c r="C841" s="78" t="s">
        <v>258</v>
      </c>
      <c r="D841" s="185">
        <f>+[113]MO!D87</f>
        <v>40873.938412224408</v>
      </c>
      <c r="E841" s="86"/>
      <c r="F841" s="77"/>
      <c r="G841" s="83"/>
      <c r="K841" s="55"/>
      <c r="L841" s="55"/>
      <c r="M841" s="55"/>
    </row>
    <row r="842" spans="1:13" s="66" customFormat="1" x14ac:dyDescent="0.3">
      <c r="A842" s="71"/>
      <c r="B842" s="57" t="s">
        <v>260</v>
      </c>
      <c r="C842" s="78" t="s">
        <v>258</v>
      </c>
      <c r="D842" s="185">
        <f>+[113]MO!D101</f>
        <v>44586.854563626672</v>
      </c>
      <c r="E842" s="86"/>
      <c r="F842" s="77"/>
      <c r="G842" s="83"/>
      <c r="K842" s="55"/>
      <c r="L842" s="55"/>
      <c r="M842" s="55"/>
    </row>
    <row r="843" spans="1:13" s="66" customFormat="1" x14ac:dyDescent="0.3">
      <c r="A843" s="71"/>
      <c r="B843" s="57" t="s">
        <v>259</v>
      </c>
      <c r="C843" s="78" t="s">
        <v>258</v>
      </c>
      <c r="D843" s="185">
        <f>+[113]MO!D113</f>
        <v>47072.752246828</v>
      </c>
      <c r="E843" s="86"/>
      <c r="F843" s="77"/>
      <c r="G843" s="83"/>
      <c r="K843" s="55"/>
      <c r="L843" s="55"/>
      <c r="M843" s="55"/>
    </row>
    <row r="844" spans="1:13" s="66" customFormat="1" x14ac:dyDescent="0.3">
      <c r="A844" s="71"/>
      <c r="B844" s="60" t="s">
        <v>257</v>
      </c>
      <c r="C844" s="78" t="s">
        <v>114</v>
      </c>
      <c r="D844" s="185">
        <f>[113]BASICOS!$E$64</f>
        <v>511454</v>
      </c>
      <c r="E844" s="86"/>
      <c r="F844" s="77">
        <v>517331</v>
      </c>
      <c r="G844" s="83"/>
      <c r="K844" s="55"/>
      <c r="L844" s="55"/>
      <c r="M844" s="55"/>
    </row>
    <row r="845" spans="1:13" s="66" customFormat="1" x14ac:dyDescent="0.3">
      <c r="A845" s="71"/>
      <c r="B845" s="60" t="s">
        <v>256</v>
      </c>
      <c r="C845" s="78" t="s">
        <v>114</v>
      </c>
      <c r="D845" s="185">
        <f>[113]BASICOS!$E$72</f>
        <v>485101</v>
      </c>
      <c r="E845" s="86"/>
      <c r="F845" s="77"/>
      <c r="G845" s="83"/>
      <c r="K845" s="55"/>
      <c r="L845" s="55"/>
      <c r="M845" s="55"/>
    </row>
    <row r="846" spans="1:13" s="66" customFormat="1" x14ac:dyDescent="0.3">
      <c r="A846" s="71"/>
      <c r="B846" s="60" t="s">
        <v>255</v>
      </c>
      <c r="C846" s="78" t="s">
        <v>114</v>
      </c>
      <c r="D846" s="185">
        <f>[113]BASICOS!$E$80</f>
        <v>432578</v>
      </c>
      <c r="E846" s="86"/>
      <c r="F846" s="77"/>
      <c r="G846" s="83"/>
      <c r="K846" s="55"/>
      <c r="L846" s="55"/>
      <c r="M846" s="55"/>
    </row>
    <row r="847" spans="1:13" s="66" customFormat="1" x14ac:dyDescent="0.3">
      <c r="A847" s="71"/>
      <c r="B847" s="60" t="s">
        <v>254</v>
      </c>
      <c r="C847" s="78" t="s">
        <v>114</v>
      </c>
      <c r="D847" s="185">
        <f>[113]BASICOS!$E$88</f>
        <v>612043</v>
      </c>
      <c r="E847" s="86"/>
      <c r="F847" s="77"/>
      <c r="G847" s="83"/>
      <c r="K847" s="55"/>
      <c r="L847" s="55"/>
      <c r="M847" s="55"/>
    </row>
    <row r="848" spans="1:13" s="66" customFormat="1" x14ac:dyDescent="0.3">
      <c r="A848" s="71"/>
      <c r="B848" s="60" t="s">
        <v>253</v>
      </c>
      <c r="C848" s="78" t="s">
        <v>114</v>
      </c>
      <c r="D848" s="185">
        <f>[113]BASICOS!$E$98</f>
        <v>593108</v>
      </c>
      <c r="E848" s="86"/>
      <c r="F848" s="77"/>
      <c r="G848" s="83"/>
      <c r="K848" s="55"/>
      <c r="L848" s="55"/>
      <c r="M848" s="55"/>
    </row>
    <row r="849" spans="1:13" s="66" customFormat="1" x14ac:dyDescent="0.3">
      <c r="A849" s="71"/>
      <c r="B849" s="60" t="s">
        <v>252</v>
      </c>
      <c r="C849" s="78" t="s">
        <v>114</v>
      </c>
      <c r="D849" s="185">
        <f>[113]BASICOS!$E$109</f>
        <v>522075</v>
      </c>
      <c r="E849" s="86"/>
      <c r="F849" s="77"/>
      <c r="G849" s="83"/>
      <c r="K849" s="55"/>
      <c r="L849" s="55"/>
      <c r="M849" s="55"/>
    </row>
    <row r="850" spans="1:13" s="66" customFormat="1" x14ac:dyDescent="0.3">
      <c r="A850" s="71"/>
      <c r="B850" s="57" t="s">
        <v>251</v>
      </c>
      <c r="C850" s="78" t="s">
        <v>114</v>
      </c>
      <c r="D850" s="185">
        <f>[113]BASICOS!$E$120</f>
        <v>549097</v>
      </c>
      <c r="E850" s="85"/>
      <c r="F850" s="84"/>
      <c r="G850" s="83"/>
      <c r="K850" s="55"/>
      <c r="L850" s="55"/>
      <c r="M850" s="55"/>
    </row>
    <row r="851" spans="1:13" s="66" customFormat="1" ht="31.2" x14ac:dyDescent="0.3">
      <c r="A851" s="71"/>
      <c r="B851" s="57" t="s">
        <v>250</v>
      </c>
      <c r="C851" s="78" t="s">
        <v>114</v>
      </c>
      <c r="D851" s="185">
        <f>[113]BASICOS!$E$131</f>
        <v>548368</v>
      </c>
      <c r="E851" s="85"/>
      <c r="F851" s="84"/>
      <c r="G851" s="83"/>
      <c r="K851" s="55"/>
      <c r="L851" s="55"/>
      <c r="M851" s="55"/>
    </row>
    <row r="852" spans="1:13" s="66" customFormat="1" x14ac:dyDescent="0.3">
      <c r="A852" s="71"/>
      <c r="B852" s="57" t="s">
        <v>249</v>
      </c>
      <c r="C852" s="78" t="s">
        <v>114</v>
      </c>
      <c r="D852" s="185">
        <f>[113]BASICOS!$E$144</f>
        <v>506609</v>
      </c>
      <c r="E852" s="85"/>
      <c r="F852" s="84"/>
      <c r="G852" s="83"/>
      <c r="K852" s="55"/>
      <c r="L852" s="55"/>
      <c r="M852" s="55"/>
    </row>
    <row r="853" spans="1:13" s="66" customFormat="1" x14ac:dyDescent="0.3">
      <c r="A853" s="71"/>
      <c r="B853" s="57" t="s">
        <v>248</v>
      </c>
      <c r="C853" s="78" t="s">
        <v>114</v>
      </c>
      <c r="D853" s="185">
        <f>[113]BASICOS!$E$155</f>
        <v>478182</v>
      </c>
      <c r="E853" s="85"/>
      <c r="F853" s="84"/>
      <c r="G853" s="83"/>
      <c r="K853" s="55"/>
      <c r="L853" s="55"/>
      <c r="M853" s="55"/>
    </row>
    <row r="854" spans="1:13" s="66" customFormat="1" x14ac:dyDescent="0.3">
      <c r="A854" s="71"/>
      <c r="B854" s="57" t="s">
        <v>247</v>
      </c>
      <c r="C854" s="78" t="s">
        <v>114</v>
      </c>
      <c r="D854" s="185">
        <f>[113]BASICOS!$E$166</f>
        <v>427783</v>
      </c>
      <c r="E854" s="85"/>
      <c r="F854" s="84"/>
      <c r="G854" s="83"/>
      <c r="K854" s="55"/>
      <c r="L854" s="55"/>
      <c r="M854" s="55"/>
    </row>
    <row r="855" spans="1:13" s="66" customFormat="1" x14ac:dyDescent="0.3">
      <c r="A855" s="71"/>
      <c r="B855" s="57" t="s">
        <v>246</v>
      </c>
      <c r="C855" s="78" t="s">
        <v>114</v>
      </c>
      <c r="D855" s="185">
        <f>[113]BASICOS!$E$177</f>
        <v>392546</v>
      </c>
      <c r="E855" s="85"/>
      <c r="F855" s="84"/>
      <c r="G855" s="83"/>
      <c r="K855" s="55"/>
      <c r="L855" s="55"/>
      <c r="M855" s="55"/>
    </row>
    <row r="856" spans="1:13" s="66" customFormat="1" x14ac:dyDescent="0.3">
      <c r="A856" s="71"/>
      <c r="B856" s="57" t="s">
        <v>245</v>
      </c>
      <c r="C856" s="78" t="s">
        <v>114</v>
      </c>
      <c r="D856" s="185">
        <f>[113]BASICOS!$E$189</f>
        <v>436646</v>
      </c>
      <c r="E856" s="85"/>
      <c r="F856" s="84"/>
      <c r="G856" s="83"/>
      <c r="K856" s="55"/>
      <c r="L856" s="55"/>
      <c r="M856" s="55"/>
    </row>
    <row r="857" spans="1:13" s="66" customFormat="1" x14ac:dyDescent="0.3">
      <c r="A857" s="71"/>
      <c r="B857" s="57" t="s">
        <v>244</v>
      </c>
      <c r="C857" s="78" t="s">
        <v>243</v>
      </c>
      <c r="D857" s="185">
        <v>18900</v>
      </c>
      <c r="E857" s="80">
        <v>2.0230000000000001</v>
      </c>
      <c r="F857" s="84"/>
      <c r="G857" s="83"/>
      <c r="K857" s="55"/>
      <c r="L857" s="55"/>
      <c r="M857" s="55"/>
    </row>
    <row r="858" spans="1:13" s="66" customFormat="1" x14ac:dyDescent="0.3">
      <c r="A858" s="71"/>
      <c r="B858" s="57" t="s">
        <v>103</v>
      </c>
      <c r="C858" s="78" t="s">
        <v>102</v>
      </c>
      <c r="D858" s="185">
        <v>2737</v>
      </c>
      <c r="E858" s="80">
        <v>2.0230000000000001</v>
      </c>
      <c r="F858" s="84"/>
      <c r="G858" s="83"/>
      <c r="K858" s="55"/>
      <c r="L858" s="55"/>
      <c r="M858" s="55"/>
    </row>
    <row r="859" spans="1:13" s="66" customFormat="1" x14ac:dyDescent="0.3">
      <c r="A859" s="71"/>
      <c r="B859" s="57" t="s">
        <v>242</v>
      </c>
      <c r="C859" s="78" t="s">
        <v>114</v>
      </c>
      <c r="D859" s="185">
        <v>47600</v>
      </c>
      <c r="E859" s="80">
        <v>2.0230000000000001</v>
      </c>
      <c r="F859" s="84"/>
      <c r="G859" s="83"/>
      <c r="K859" s="55"/>
      <c r="L859" s="55"/>
      <c r="M859" s="55"/>
    </row>
    <row r="860" spans="1:13" s="66" customFormat="1" x14ac:dyDescent="0.3">
      <c r="A860" s="71"/>
      <c r="B860" s="57" t="s">
        <v>241</v>
      </c>
      <c r="C860" s="78" t="s">
        <v>114</v>
      </c>
      <c r="D860" s="185">
        <v>69020</v>
      </c>
      <c r="E860" s="80">
        <v>2.0230000000000001</v>
      </c>
      <c r="F860" s="84"/>
      <c r="G860" s="83"/>
      <c r="K860" s="55"/>
      <c r="L860" s="55"/>
      <c r="M860" s="55"/>
    </row>
    <row r="861" spans="1:13" s="66" customFormat="1" x14ac:dyDescent="0.3">
      <c r="A861" s="71"/>
      <c r="B861" s="57" t="s">
        <v>240</v>
      </c>
      <c r="C861" s="78" t="s">
        <v>114</v>
      </c>
      <c r="D861" s="185">
        <v>83300</v>
      </c>
      <c r="E861" s="80">
        <v>2.0230000000000001</v>
      </c>
      <c r="F861" s="84"/>
      <c r="G861" s="83"/>
      <c r="K861" s="55"/>
      <c r="L861" s="55"/>
      <c r="M861" s="55"/>
    </row>
    <row r="862" spans="1:13" s="66" customFormat="1" x14ac:dyDescent="0.3">
      <c r="A862" s="71"/>
      <c r="B862" s="57" t="s">
        <v>113</v>
      </c>
      <c r="D862" s="196">
        <v>67500</v>
      </c>
      <c r="E862" s="85"/>
      <c r="F862" s="84"/>
      <c r="G862" s="83"/>
      <c r="K862" s="55"/>
      <c r="L862" s="55"/>
      <c r="M862" s="55"/>
    </row>
    <row r="863" spans="1:13" s="66" customFormat="1" x14ac:dyDescent="0.3">
      <c r="A863" s="71"/>
      <c r="B863" s="57" t="s">
        <v>239</v>
      </c>
      <c r="C863" s="78" t="s">
        <v>238</v>
      </c>
      <c r="D863" s="185">
        <v>1200</v>
      </c>
      <c r="E863" s="85"/>
      <c r="F863" s="84"/>
      <c r="G863" s="83"/>
      <c r="K863" s="55"/>
      <c r="L863" s="55"/>
      <c r="M863" s="55"/>
    </row>
    <row r="864" spans="1:13" s="66" customFormat="1" x14ac:dyDescent="0.3">
      <c r="A864" s="71"/>
      <c r="B864" s="57" t="s">
        <v>237</v>
      </c>
      <c r="C864" s="78" t="s">
        <v>114</v>
      </c>
      <c r="D864" s="185">
        <v>47600</v>
      </c>
      <c r="E864" s="80">
        <v>2.0230000000000001</v>
      </c>
      <c r="F864" s="84"/>
      <c r="G864" s="83"/>
      <c r="K864" s="55"/>
      <c r="L864" s="55"/>
      <c r="M864" s="55"/>
    </row>
    <row r="865" spans="1:13" s="66" customFormat="1" x14ac:dyDescent="0.3">
      <c r="A865" s="71"/>
      <c r="B865" s="57" t="s">
        <v>236</v>
      </c>
      <c r="C865" s="78" t="s">
        <v>235</v>
      </c>
      <c r="D865" s="185">
        <v>70000</v>
      </c>
      <c r="E865" s="85"/>
      <c r="F865" s="84"/>
      <c r="G865" s="83"/>
      <c r="K865" s="55"/>
      <c r="L865" s="55"/>
      <c r="M865" s="55"/>
    </row>
    <row r="866" spans="1:13" s="66" customFormat="1" ht="31.2" x14ac:dyDescent="0.3">
      <c r="A866" s="71"/>
      <c r="B866" s="57" t="s">
        <v>234</v>
      </c>
      <c r="C866" s="78" t="s">
        <v>183</v>
      </c>
      <c r="D866" s="185">
        <v>102800</v>
      </c>
      <c r="E866" s="85"/>
      <c r="F866" s="84"/>
      <c r="G866" s="83"/>
      <c r="K866" s="55"/>
      <c r="L866" s="55"/>
      <c r="M866" s="55"/>
    </row>
    <row r="867" spans="1:13" s="66" customFormat="1" x14ac:dyDescent="0.3">
      <c r="A867" s="71"/>
      <c r="B867" s="57" t="s">
        <v>233</v>
      </c>
      <c r="C867" s="78" t="s">
        <v>114</v>
      </c>
      <c r="D867" s="185">
        <v>65000</v>
      </c>
      <c r="E867" s="85"/>
      <c r="F867" s="84"/>
      <c r="G867" s="83"/>
      <c r="K867" s="55"/>
      <c r="L867" s="55"/>
      <c r="M867" s="55"/>
    </row>
    <row r="868" spans="1:13" s="66" customFormat="1" x14ac:dyDescent="0.3">
      <c r="A868" s="71"/>
      <c r="B868" s="57" t="s">
        <v>232</v>
      </c>
      <c r="C868" s="78" t="s">
        <v>231</v>
      </c>
      <c r="D868" s="185">
        <v>8000</v>
      </c>
      <c r="E868" s="85"/>
      <c r="F868" s="84"/>
      <c r="G868" s="83"/>
      <c r="K868" s="55"/>
      <c r="L868" s="55"/>
      <c r="M868" s="55"/>
    </row>
    <row r="869" spans="1:13" s="66" customFormat="1" x14ac:dyDescent="0.3">
      <c r="A869" s="71"/>
      <c r="B869" s="57" t="s">
        <v>230</v>
      </c>
      <c r="C869" s="78" t="s">
        <v>129</v>
      </c>
      <c r="D869" s="185">
        <v>3500</v>
      </c>
      <c r="E869" s="85"/>
      <c r="F869" s="84"/>
      <c r="G869" s="83"/>
      <c r="K869" s="55"/>
      <c r="L869" s="55"/>
      <c r="M869" s="55"/>
    </row>
    <row r="870" spans="1:13" s="66" customFormat="1" x14ac:dyDescent="0.3">
      <c r="A870" s="71"/>
      <c r="B870" s="57" t="s">
        <v>164</v>
      </c>
      <c r="C870" s="78" t="s">
        <v>229</v>
      </c>
      <c r="D870" s="185">
        <v>98</v>
      </c>
      <c r="E870" s="80">
        <v>2.0230000000000001</v>
      </c>
      <c r="F870" s="81" t="s">
        <v>228</v>
      </c>
      <c r="G870" s="55"/>
      <c r="K870" s="55"/>
      <c r="L870" s="55"/>
      <c r="M870" s="55"/>
    </row>
    <row r="871" spans="1:13" x14ac:dyDescent="0.3">
      <c r="B871" s="57" t="s">
        <v>227</v>
      </c>
      <c r="C871" s="69" t="s">
        <v>177</v>
      </c>
      <c r="D871" s="188">
        <v>60000</v>
      </c>
    </row>
    <row r="872" spans="1:13" x14ac:dyDescent="0.3">
      <c r="B872" s="57" t="s">
        <v>226</v>
      </c>
      <c r="C872" s="69" t="s">
        <v>83</v>
      </c>
      <c r="D872" s="188">
        <v>650</v>
      </c>
      <c r="E872" s="80">
        <v>2.0230000000000001</v>
      </c>
    </row>
    <row r="873" spans="1:13" x14ac:dyDescent="0.3">
      <c r="B873" s="57" t="s">
        <v>225</v>
      </c>
      <c r="C873" s="69" t="s">
        <v>83</v>
      </c>
      <c r="D873" s="188">
        <v>700</v>
      </c>
    </row>
    <row r="874" spans="1:13" x14ac:dyDescent="0.3">
      <c r="B874" s="70" t="s">
        <v>224</v>
      </c>
      <c r="C874" s="69" t="s">
        <v>222</v>
      </c>
      <c r="D874" s="188">
        <v>30000</v>
      </c>
    </row>
    <row r="875" spans="1:13" x14ac:dyDescent="0.3">
      <c r="B875" s="70" t="s">
        <v>223</v>
      </c>
      <c r="C875" s="69" t="s">
        <v>222</v>
      </c>
      <c r="D875" s="188">
        <v>5000</v>
      </c>
    </row>
    <row r="876" spans="1:13" x14ac:dyDescent="0.3">
      <c r="B876" s="57" t="s">
        <v>221</v>
      </c>
      <c r="C876" s="69" t="s">
        <v>83</v>
      </c>
      <c r="D876" s="188">
        <v>41582</v>
      </c>
      <c r="E876" s="67" t="s">
        <v>220</v>
      </c>
    </row>
    <row r="877" spans="1:13" ht="31.2" x14ac:dyDescent="0.3">
      <c r="B877" s="57" t="s">
        <v>219</v>
      </c>
      <c r="C877" s="69" t="s">
        <v>216</v>
      </c>
      <c r="D877" s="188">
        <v>193328</v>
      </c>
      <c r="E877" s="67" t="s">
        <v>218</v>
      </c>
    </row>
    <row r="878" spans="1:13" ht="31.2" x14ac:dyDescent="0.3">
      <c r="B878" s="57" t="s">
        <v>217</v>
      </c>
      <c r="C878" s="69" t="s">
        <v>216</v>
      </c>
      <c r="D878" s="188">
        <v>69000</v>
      </c>
      <c r="E878" s="67" t="s">
        <v>215</v>
      </c>
    </row>
    <row r="879" spans="1:13" x14ac:dyDescent="0.3">
      <c r="B879" s="57" t="s">
        <v>214</v>
      </c>
      <c r="C879" s="69" t="s">
        <v>114</v>
      </c>
      <c r="D879" s="188">
        <v>1200</v>
      </c>
      <c r="E879" s="67" t="s">
        <v>213</v>
      </c>
    </row>
    <row r="880" spans="1:13" ht="31.2" x14ac:dyDescent="0.3">
      <c r="B880" s="57" t="s">
        <v>212</v>
      </c>
      <c r="C880" s="69" t="s">
        <v>114</v>
      </c>
      <c r="D880" s="188">
        <f>'[113]ANALISIS UNITARIOS '!G300</f>
        <v>19313</v>
      </c>
    </row>
    <row r="881" spans="2:5" x14ac:dyDescent="0.3">
      <c r="B881" s="60" t="s">
        <v>211</v>
      </c>
      <c r="C881" s="69" t="s">
        <v>114</v>
      </c>
      <c r="D881" s="188">
        <v>612999</v>
      </c>
      <c r="E881" s="79">
        <v>2023</v>
      </c>
    </row>
    <row r="882" spans="2:5" x14ac:dyDescent="0.3">
      <c r="B882" s="70" t="s">
        <v>210</v>
      </c>
      <c r="C882" s="69" t="s">
        <v>102</v>
      </c>
      <c r="D882" s="188">
        <v>40000</v>
      </c>
    </row>
    <row r="883" spans="2:5" x14ac:dyDescent="0.3">
      <c r="B883" s="70" t="s">
        <v>209</v>
      </c>
      <c r="C883" s="78" t="s">
        <v>129</v>
      </c>
      <c r="D883" s="185">
        <v>47792</v>
      </c>
    </row>
    <row r="884" spans="2:5" x14ac:dyDescent="0.3">
      <c r="B884" s="70" t="s">
        <v>208</v>
      </c>
      <c r="C884" s="69" t="s">
        <v>199</v>
      </c>
      <c r="D884" s="188">
        <v>476697</v>
      </c>
      <c r="E884" s="68"/>
    </row>
    <row r="885" spans="2:5" x14ac:dyDescent="0.3">
      <c r="B885" s="70" t="s">
        <v>207</v>
      </c>
      <c r="C885" s="69" t="s">
        <v>199</v>
      </c>
      <c r="D885" s="188">
        <v>595883</v>
      </c>
    </row>
    <row r="886" spans="2:5" x14ac:dyDescent="0.3">
      <c r="B886" s="57" t="s">
        <v>206</v>
      </c>
      <c r="C886" s="78" t="s">
        <v>183</v>
      </c>
      <c r="D886" s="185">
        <v>102800</v>
      </c>
    </row>
    <row r="887" spans="2:5" x14ac:dyDescent="0.3">
      <c r="B887" s="70" t="s">
        <v>205</v>
      </c>
      <c r="C887" s="69" t="s">
        <v>171</v>
      </c>
      <c r="D887" s="188">
        <v>51294</v>
      </c>
    </row>
    <row r="888" spans="2:5" x14ac:dyDescent="0.3">
      <c r="B888" s="70" t="s">
        <v>204</v>
      </c>
      <c r="C888" s="69" t="s">
        <v>171</v>
      </c>
      <c r="D888" s="188">
        <v>18900</v>
      </c>
    </row>
    <row r="889" spans="2:5" x14ac:dyDescent="0.3">
      <c r="B889" s="60" t="s">
        <v>203</v>
      </c>
      <c r="C889" s="69" t="s">
        <v>83</v>
      </c>
      <c r="D889" s="188">
        <v>22255</v>
      </c>
    </row>
    <row r="890" spans="2:5" x14ac:dyDescent="0.3">
      <c r="B890" s="60" t="s">
        <v>202</v>
      </c>
      <c r="C890" s="69" t="s">
        <v>201</v>
      </c>
      <c r="D890" s="188">
        <v>8687</v>
      </c>
    </row>
    <row r="891" spans="2:5" x14ac:dyDescent="0.3">
      <c r="B891" s="60" t="s">
        <v>200</v>
      </c>
      <c r="C891" s="69" t="s">
        <v>199</v>
      </c>
      <c r="D891" s="188">
        <v>194901</v>
      </c>
    </row>
    <row r="892" spans="2:5" x14ac:dyDescent="0.3">
      <c r="B892" s="76" t="s">
        <v>198</v>
      </c>
      <c r="C892" s="75" t="s">
        <v>114</v>
      </c>
      <c r="D892" s="188">
        <v>49980</v>
      </c>
    </row>
    <row r="893" spans="2:5" x14ac:dyDescent="0.3">
      <c r="B893" s="76" t="s">
        <v>197</v>
      </c>
      <c r="C893" s="75" t="s">
        <v>114</v>
      </c>
      <c r="D893" s="188">
        <v>618800</v>
      </c>
      <c r="E893" s="67" t="s">
        <v>196</v>
      </c>
    </row>
    <row r="894" spans="2:5" x14ac:dyDescent="0.3">
      <c r="B894" s="57" t="s">
        <v>195</v>
      </c>
      <c r="C894" s="69" t="s">
        <v>193</v>
      </c>
      <c r="D894" s="187">
        <v>5708</v>
      </c>
    </row>
    <row r="895" spans="2:5" x14ac:dyDescent="0.3">
      <c r="B895" s="60" t="s">
        <v>194</v>
      </c>
      <c r="C895" s="69" t="s">
        <v>193</v>
      </c>
      <c r="D895" s="187">
        <v>5708</v>
      </c>
    </row>
    <row r="896" spans="2:5" x14ac:dyDescent="0.3">
      <c r="B896" s="60" t="s">
        <v>174</v>
      </c>
      <c r="C896" s="69" t="s">
        <v>83</v>
      </c>
      <c r="D896" s="188">
        <v>11018</v>
      </c>
    </row>
    <row r="897" spans="1:7" x14ac:dyDescent="0.3">
      <c r="B897" s="60" t="s">
        <v>173</v>
      </c>
      <c r="C897" s="69" t="s">
        <v>83</v>
      </c>
      <c r="D897" s="188">
        <v>6386</v>
      </c>
    </row>
    <row r="898" spans="1:7" x14ac:dyDescent="0.3">
      <c r="B898" s="60" t="s">
        <v>192</v>
      </c>
      <c r="C898" s="69" t="s">
        <v>171</v>
      </c>
      <c r="D898" s="188">
        <v>41531</v>
      </c>
      <c r="E898" s="74">
        <f>0.45*0.75</f>
        <v>0.33750000000000002</v>
      </c>
      <c r="F898" s="56">
        <v>2.94</v>
      </c>
      <c r="G898" s="55" t="s">
        <v>191</v>
      </c>
    </row>
    <row r="899" spans="1:7" x14ac:dyDescent="0.3">
      <c r="B899" s="60" t="s">
        <v>190</v>
      </c>
      <c r="C899" s="69" t="s">
        <v>171</v>
      </c>
      <c r="D899" s="188">
        <v>1375</v>
      </c>
    </row>
    <row r="900" spans="1:7" x14ac:dyDescent="0.3">
      <c r="B900" s="60" t="s">
        <v>189</v>
      </c>
      <c r="C900" s="69" t="s">
        <v>171</v>
      </c>
      <c r="D900" s="188">
        <v>126518</v>
      </c>
    </row>
    <row r="901" spans="1:7" x14ac:dyDescent="0.3">
      <c r="B901" s="73" t="s">
        <v>188</v>
      </c>
      <c r="C901" s="69" t="s">
        <v>84</v>
      </c>
      <c r="D901" s="188">
        <v>48653</v>
      </c>
    </row>
    <row r="902" spans="1:7" ht="31.2" x14ac:dyDescent="0.3">
      <c r="B902" s="60" t="s">
        <v>187</v>
      </c>
      <c r="C902" s="69" t="s">
        <v>183</v>
      </c>
      <c r="D902" s="188">
        <v>105000</v>
      </c>
    </row>
    <row r="903" spans="1:7" x14ac:dyDescent="0.3">
      <c r="B903" s="72" t="s">
        <v>186</v>
      </c>
      <c r="C903" s="69" t="s">
        <v>185</v>
      </c>
      <c r="D903" s="188">
        <v>150000</v>
      </c>
    </row>
    <row r="904" spans="1:7" x14ac:dyDescent="0.3">
      <c r="B904" s="57" t="s">
        <v>184</v>
      </c>
      <c r="C904" s="69" t="s">
        <v>183</v>
      </c>
      <c r="D904" s="188">
        <v>45000</v>
      </c>
    </row>
    <row r="905" spans="1:7" x14ac:dyDescent="0.3">
      <c r="A905" s="203"/>
      <c r="B905" s="197" t="s">
        <v>491</v>
      </c>
      <c r="C905" s="201" t="s">
        <v>88</v>
      </c>
      <c r="D905" s="181">
        <v>87250</v>
      </c>
      <c r="E905" s="198"/>
    </row>
    <row r="906" spans="1:7" x14ac:dyDescent="0.3">
      <c r="A906" s="203"/>
      <c r="B906" s="198" t="s">
        <v>87</v>
      </c>
      <c r="C906" s="201" t="s">
        <v>88</v>
      </c>
      <c r="D906" s="181">
        <v>92900</v>
      </c>
      <c r="E906" s="204"/>
    </row>
    <row r="907" spans="1:7" x14ac:dyDescent="0.3">
      <c r="A907" s="203"/>
      <c r="B907" s="198" t="s">
        <v>89</v>
      </c>
      <c r="C907" s="201" t="s">
        <v>88</v>
      </c>
      <c r="D907" s="181">
        <v>72900</v>
      </c>
      <c r="E907" s="204"/>
    </row>
    <row r="908" spans="1:7" x14ac:dyDescent="0.3">
      <c r="A908" s="203"/>
      <c r="B908" s="199" t="s">
        <v>90</v>
      </c>
      <c r="C908" s="202" t="s">
        <v>88</v>
      </c>
      <c r="D908" s="182">
        <v>113900</v>
      </c>
      <c r="E908" s="204"/>
    </row>
    <row r="909" spans="1:7" x14ac:dyDescent="0.3">
      <c r="A909" s="203"/>
      <c r="B909" s="199" t="s">
        <v>91</v>
      </c>
      <c r="C909" s="202" t="s">
        <v>88</v>
      </c>
      <c r="D909" s="182">
        <v>147900</v>
      </c>
      <c r="E909" s="204"/>
    </row>
    <row r="910" spans="1:7" x14ac:dyDescent="0.3">
      <c r="A910" s="203"/>
      <c r="B910" s="199" t="s">
        <v>92</v>
      </c>
      <c r="C910" s="202" t="s">
        <v>88</v>
      </c>
      <c r="D910" s="182">
        <v>28000</v>
      </c>
      <c r="E910" s="204"/>
    </row>
    <row r="911" spans="1:7" x14ac:dyDescent="0.3">
      <c r="A911" s="203"/>
      <c r="B911" s="199" t="s">
        <v>93</v>
      </c>
      <c r="C911" s="202" t="s">
        <v>83</v>
      </c>
      <c r="D911" s="182">
        <v>27489</v>
      </c>
      <c r="E911" s="198"/>
    </row>
    <row r="912" spans="1:7" x14ac:dyDescent="0.3">
      <c r="A912" s="203"/>
      <c r="B912" s="199" t="s">
        <v>94</v>
      </c>
      <c r="C912" s="202" t="s">
        <v>3</v>
      </c>
      <c r="D912" s="182">
        <v>134900</v>
      </c>
      <c r="E912" s="199"/>
    </row>
    <row r="913" spans="1:5" x14ac:dyDescent="0.3">
      <c r="A913" s="203"/>
      <c r="B913" s="199" t="s">
        <v>95</v>
      </c>
      <c r="C913" s="202" t="s">
        <v>3</v>
      </c>
      <c r="D913" s="182">
        <v>4000</v>
      </c>
      <c r="E913" s="199"/>
    </row>
    <row r="914" spans="1:5" x14ac:dyDescent="0.3">
      <c r="A914" s="203"/>
      <c r="B914" s="199" t="s">
        <v>96</v>
      </c>
      <c r="C914" s="202" t="s">
        <v>97</v>
      </c>
      <c r="D914" s="182">
        <v>40874</v>
      </c>
      <c r="E914" s="198"/>
    </row>
    <row r="915" spans="1:5" x14ac:dyDescent="0.3">
      <c r="A915" s="203"/>
      <c r="B915" s="199" t="s">
        <v>98</v>
      </c>
      <c r="C915" s="202" t="s">
        <v>97</v>
      </c>
      <c r="D915" s="182">
        <v>47073</v>
      </c>
      <c r="E915" s="198"/>
    </row>
    <row r="916" spans="1:5" x14ac:dyDescent="0.3">
      <c r="A916" s="203"/>
      <c r="B916" s="199" t="s">
        <v>99</v>
      </c>
      <c r="C916" s="202" t="s">
        <v>97</v>
      </c>
      <c r="D916" s="182">
        <v>51257</v>
      </c>
      <c r="E916" s="198"/>
    </row>
    <row r="917" spans="1:5" x14ac:dyDescent="0.3">
      <c r="A917" s="203"/>
      <c r="B917" s="199" t="s">
        <v>100</v>
      </c>
      <c r="C917" s="202" t="s">
        <v>97</v>
      </c>
      <c r="D917" s="182">
        <v>49049</v>
      </c>
      <c r="E917" s="198"/>
    </row>
    <row r="918" spans="1:5" x14ac:dyDescent="0.3">
      <c r="A918" s="203"/>
      <c r="B918" s="199" t="s">
        <v>101</v>
      </c>
      <c r="C918" s="202" t="s">
        <v>102</v>
      </c>
      <c r="D918" s="182">
        <v>1500</v>
      </c>
      <c r="E918" s="198"/>
    </row>
    <row r="919" spans="1:5" x14ac:dyDescent="0.3">
      <c r="A919" s="203"/>
      <c r="B919" s="199" t="s">
        <v>103</v>
      </c>
      <c r="C919" s="202" t="s">
        <v>102</v>
      </c>
      <c r="D919" s="182">
        <v>2737</v>
      </c>
      <c r="E919" s="198"/>
    </row>
    <row r="920" spans="1:5" x14ac:dyDescent="0.3">
      <c r="A920" s="203"/>
      <c r="B920" s="199" t="s">
        <v>104</v>
      </c>
      <c r="C920" s="202" t="s">
        <v>3</v>
      </c>
      <c r="D920" s="182">
        <v>10000</v>
      </c>
      <c r="E920" s="199"/>
    </row>
    <row r="921" spans="1:5" x14ac:dyDescent="0.3">
      <c r="A921" s="203"/>
      <c r="B921" s="199" t="s">
        <v>434</v>
      </c>
      <c r="C921" s="202" t="s">
        <v>3</v>
      </c>
      <c r="D921" s="182">
        <v>3846</v>
      </c>
      <c r="E921" s="199"/>
    </row>
    <row r="922" spans="1:5" x14ac:dyDescent="0.3">
      <c r="A922" s="203"/>
      <c r="B922" s="199" t="s">
        <v>105</v>
      </c>
      <c r="C922" s="202" t="s">
        <v>3</v>
      </c>
      <c r="D922" s="182">
        <v>2000</v>
      </c>
      <c r="E922" s="199"/>
    </row>
    <row r="923" spans="1:5" x14ac:dyDescent="0.3">
      <c r="A923" s="203"/>
      <c r="B923" s="199" t="s">
        <v>106</v>
      </c>
      <c r="C923" s="202" t="s">
        <v>102</v>
      </c>
      <c r="D923" s="182">
        <v>90000</v>
      </c>
      <c r="E923" s="199"/>
    </row>
    <row r="924" spans="1:5" x14ac:dyDescent="0.3">
      <c r="A924" s="203"/>
      <c r="B924" s="199" t="s">
        <v>107</v>
      </c>
      <c r="C924" s="202" t="s">
        <v>3</v>
      </c>
      <c r="D924" s="182">
        <v>5000</v>
      </c>
      <c r="E924" s="199"/>
    </row>
    <row r="925" spans="1:5" x14ac:dyDescent="0.3">
      <c r="A925" s="203"/>
      <c r="B925" s="199" t="s">
        <v>108</v>
      </c>
      <c r="C925" s="202" t="s">
        <v>3</v>
      </c>
      <c r="D925" s="182">
        <v>8000</v>
      </c>
      <c r="E925" s="199"/>
    </row>
    <row r="926" spans="1:5" x14ac:dyDescent="0.3">
      <c r="A926" s="203"/>
      <c r="B926" s="199" t="s">
        <v>109</v>
      </c>
      <c r="C926" s="202" t="s">
        <v>3</v>
      </c>
      <c r="D926" s="182">
        <v>3000</v>
      </c>
      <c r="E926" s="199"/>
    </row>
    <row r="927" spans="1:5" x14ac:dyDescent="0.3">
      <c r="A927" s="203"/>
      <c r="B927" s="199" t="s">
        <v>110</v>
      </c>
      <c r="C927" s="202" t="s">
        <v>3</v>
      </c>
      <c r="D927" s="182">
        <v>4000</v>
      </c>
      <c r="E927" s="199"/>
    </row>
    <row r="928" spans="1:5" x14ac:dyDescent="0.3">
      <c r="A928" s="203"/>
      <c r="B928" s="199" t="s">
        <v>111</v>
      </c>
      <c r="C928" s="202" t="s">
        <v>3</v>
      </c>
      <c r="D928" s="182">
        <v>2910000</v>
      </c>
      <c r="E928" s="199"/>
    </row>
    <row r="929" spans="1:5" x14ac:dyDescent="0.3">
      <c r="A929" s="203"/>
      <c r="B929" s="199" t="s">
        <v>112</v>
      </c>
      <c r="C929" s="202" t="s">
        <v>3</v>
      </c>
      <c r="D929" s="182">
        <v>1250000</v>
      </c>
      <c r="E929" s="199"/>
    </row>
    <row r="930" spans="1:5" x14ac:dyDescent="0.3">
      <c r="A930" s="203"/>
      <c r="B930" s="199" t="s">
        <v>113</v>
      </c>
      <c r="C930" s="202" t="s">
        <v>114</v>
      </c>
      <c r="D930" s="182">
        <v>51170</v>
      </c>
      <c r="E930" s="198"/>
    </row>
    <row r="931" spans="1:5" x14ac:dyDescent="0.3">
      <c r="A931" s="203"/>
      <c r="B931" s="199" t="s">
        <v>115</v>
      </c>
      <c r="C931" s="202" t="s">
        <v>102</v>
      </c>
      <c r="D931" s="182">
        <v>116620</v>
      </c>
      <c r="E931" s="198"/>
    </row>
    <row r="932" spans="1:5" x14ac:dyDescent="0.3">
      <c r="A932" s="203"/>
      <c r="B932" s="199" t="s">
        <v>116</v>
      </c>
      <c r="C932" s="202" t="s">
        <v>117</v>
      </c>
      <c r="D932" s="182">
        <v>1200</v>
      </c>
      <c r="E932" s="198"/>
    </row>
    <row r="933" spans="1:5" x14ac:dyDescent="0.3">
      <c r="A933" s="203"/>
      <c r="B933" s="200" t="s">
        <v>257</v>
      </c>
      <c r="C933" s="202" t="s">
        <v>114</v>
      </c>
      <c r="D933" s="182">
        <v>511454</v>
      </c>
      <c r="E933" s="198"/>
    </row>
    <row r="934" spans="1:5" x14ac:dyDescent="0.3">
      <c r="A934" s="203"/>
      <c r="B934" s="200" t="s">
        <v>118</v>
      </c>
      <c r="C934" s="201" t="s">
        <v>114</v>
      </c>
      <c r="D934" s="183">
        <v>506609</v>
      </c>
      <c r="E934" s="198"/>
    </row>
    <row r="935" spans="1:5" x14ac:dyDescent="0.3">
      <c r="A935" s="203"/>
      <c r="B935" s="200" t="s">
        <v>119</v>
      </c>
      <c r="C935" s="202" t="s">
        <v>83</v>
      </c>
      <c r="D935" s="182">
        <v>9305.7999999999993</v>
      </c>
      <c r="E935" s="199"/>
    </row>
    <row r="936" spans="1:5" x14ac:dyDescent="0.3">
      <c r="A936" s="203"/>
      <c r="B936" s="199" t="s">
        <v>120</v>
      </c>
      <c r="C936" s="202" t="s">
        <v>83</v>
      </c>
      <c r="D936" s="182">
        <v>5800</v>
      </c>
      <c r="E936" s="199"/>
    </row>
    <row r="937" spans="1:5" x14ac:dyDescent="0.3">
      <c r="A937" s="203"/>
      <c r="B937" s="199" t="s">
        <v>121</v>
      </c>
      <c r="C937" s="202" t="s">
        <v>114</v>
      </c>
      <c r="D937" s="182">
        <v>19313</v>
      </c>
      <c r="E937" s="199"/>
    </row>
    <row r="938" spans="1:5" x14ac:dyDescent="0.3">
      <c r="A938" s="203"/>
      <c r="B938" s="199" t="s">
        <v>122</v>
      </c>
      <c r="C938" s="202" t="s">
        <v>3</v>
      </c>
      <c r="D938" s="182">
        <v>30801</v>
      </c>
      <c r="E938" s="199"/>
    </row>
    <row r="939" spans="1:5" x14ac:dyDescent="0.3">
      <c r="A939" s="203"/>
      <c r="B939" s="199" t="s">
        <v>123</v>
      </c>
      <c r="C939" s="202" t="s">
        <v>3</v>
      </c>
      <c r="D939" s="182">
        <v>17325</v>
      </c>
      <c r="E939" s="199"/>
    </row>
    <row r="940" spans="1:5" x14ac:dyDescent="0.3">
      <c r="A940" s="203"/>
      <c r="B940" s="199" t="s">
        <v>124</v>
      </c>
      <c r="C940" s="202" t="s">
        <v>125</v>
      </c>
      <c r="D940" s="182">
        <v>5415</v>
      </c>
      <c r="E940" s="199"/>
    </row>
    <row r="941" spans="1:5" x14ac:dyDescent="0.3">
      <c r="A941" s="203"/>
      <c r="B941" s="199" t="s">
        <v>126</v>
      </c>
      <c r="C941" s="202" t="s">
        <v>102</v>
      </c>
      <c r="D941" s="182">
        <v>8000</v>
      </c>
      <c r="E941" s="199"/>
    </row>
    <row r="942" spans="1:5" x14ac:dyDescent="0.3">
      <c r="A942" s="203"/>
      <c r="B942" s="199" t="s">
        <v>127</v>
      </c>
      <c r="C942" s="202" t="s">
        <v>102</v>
      </c>
      <c r="D942" s="182">
        <v>102800</v>
      </c>
      <c r="E942" s="199"/>
    </row>
    <row r="943" spans="1:5" x14ac:dyDescent="0.3">
      <c r="A943" s="203"/>
      <c r="B943" s="199" t="s">
        <v>128</v>
      </c>
      <c r="C943" s="202" t="s">
        <v>129</v>
      </c>
      <c r="D943" s="182">
        <v>21894</v>
      </c>
      <c r="E943" s="199"/>
    </row>
    <row r="944" spans="1:5" ht="31.2" x14ac:dyDescent="0.3">
      <c r="A944" s="203"/>
      <c r="B944" s="200" t="s">
        <v>767</v>
      </c>
      <c r="C944" s="202" t="s">
        <v>3</v>
      </c>
      <c r="D944" s="182">
        <v>455522.72</v>
      </c>
      <c r="E944" s="199"/>
    </row>
    <row r="945" spans="1:5" x14ac:dyDescent="0.3">
      <c r="A945" s="203"/>
      <c r="B945" s="199" t="s">
        <v>130</v>
      </c>
      <c r="C945" s="202" t="s">
        <v>3</v>
      </c>
      <c r="D945" s="182">
        <v>146510</v>
      </c>
      <c r="E945" s="199"/>
    </row>
    <row r="946" spans="1:5" x14ac:dyDescent="0.3">
      <c r="A946" s="203"/>
      <c r="B946" s="199" t="s">
        <v>131</v>
      </c>
      <c r="C946" s="202" t="s">
        <v>3</v>
      </c>
      <c r="D946" s="182">
        <v>43510</v>
      </c>
      <c r="E946" s="199"/>
    </row>
    <row r="947" spans="1:5" x14ac:dyDescent="0.3">
      <c r="A947" s="203"/>
      <c r="B947" s="199" t="s">
        <v>132</v>
      </c>
      <c r="C947" s="202" t="s">
        <v>3</v>
      </c>
      <c r="D947" s="182">
        <v>31900</v>
      </c>
      <c r="E947" s="199"/>
    </row>
    <row r="948" spans="1:5" x14ac:dyDescent="0.3">
      <c r="A948" s="203"/>
      <c r="B948" s="199" t="s">
        <v>133</v>
      </c>
      <c r="C948" s="202" t="s">
        <v>134</v>
      </c>
      <c r="D948" s="182">
        <v>3500</v>
      </c>
      <c r="E948" s="199"/>
    </row>
    <row r="949" spans="1:5" x14ac:dyDescent="0.3">
      <c r="A949" s="203"/>
      <c r="B949" s="199" t="s">
        <v>135</v>
      </c>
      <c r="C949" s="202" t="s">
        <v>136</v>
      </c>
      <c r="D949" s="182">
        <v>23000</v>
      </c>
      <c r="E949" s="199"/>
    </row>
    <row r="950" spans="1:5" x14ac:dyDescent="0.3">
      <c r="A950" s="203"/>
      <c r="B950" s="199" t="s">
        <v>137</v>
      </c>
      <c r="C950" s="202" t="s">
        <v>3</v>
      </c>
      <c r="D950" s="182">
        <v>20970</v>
      </c>
      <c r="E950" s="199"/>
    </row>
    <row r="951" spans="1:5" x14ac:dyDescent="0.3">
      <c r="A951" s="203"/>
      <c r="B951" s="199" t="s">
        <v>164</v>
      </c>
      <c r="C951" s="202" t="s">
        <v>114</v>
      </c>
      <c r="D951" s="182">
        <v>98000</v>
      </c>
      <c r="E951" s="199"/>
    </row>
    <row r="952" spans="1:5" x14ac:dyDescent="0.3">
      <c r="A952" s="203"/>
      <c r="B952" s="199" t="s">
        <v>165</v>
      </c>
      <c r="C952" s="202" t="s">
        <v>84</v>
      </c>
      <c r="D952" s="182">
        <v>30000</v>
      </c>
      <c r="E952" s="199"/>
    </row>
    <row r="953" spans="1:5" x14ac:dyDescent="0.3">
      <c r="A953" s="203"/>
      <c r="B953" s="199" t="s">
        <v>166</v>
      </c>
      <c r="C953" s="202" t="s">
        <v>102</v>
      </c>
      <c r="D953" s="182">
        <v>110000</v>
      </c>
      <c r="E953" s="199"/>
    </row>
    <row r="954" spans="1:5" x14ac:dyDescent="0.3">
      <c r="A954" s="203"/>
      <c r="B954" s="199" t="s">
        <v>167</v>
      </c>
      <c r="C954" s="202" t="s">
        <v>83</v>
      </c>
      <c r="D954" s="182">
        <v>204000</v>
      </c>
      <c r="E954" s="199"/>
    </row>
    <row r="955" spans="1:5" x14ac:dyDescent="0.3">
      <c r="A955" s="203"/>
      <c r="B955" s="199" t="s">
        <v>429</v>
      </c>
      <c r="C955" s="202" t="s">
        <v>171</v>
      </c>
      <c r="D955" s="182">
        <v>2100000</v>
      </c>
      <c r="E955" s="199"/>
    </row>
    <row r="956" spans="1:5" x14ac:dyDescent="0.3">
      <c r="A956" s="203"/>
      <c r="B956" s="199" t="s">
        <v>168</v>
      </c>
      <c r="C956" s="202" t="s">
        <v>72</v>
      </c>
      <c r="D956" s="182">
        <v>280000</v>
      </c>
      <c r="E956" s="199"/>
    </row>
    <row r="957" spans="1:5" x14ac:dyDescent="0.3">
      <c r="A957" s="203"/>
      <c r="B957" s="199" t="s">
        <v>169</v>
      </c>
      <c r="C957" s="202" t="s">
        <v>3</v>
      </c>
      <c r="D957" s="182">
        <v>512000</v>
      </c>
      <c r="E957" s="199"/>
    </row>
    <row r="1282" spans="5:5" x14ac:dyDescent="0.3">
      <c r="E1282" s="67" t="e">
        <f>INSUMOS!_D880298</f>
        <v>#NAME?</v>
      </c>
    </row>
  </sheetData>
  <mergeCells count="6">
    <mergeCell ref="C1:D6"/>
    <mergeCell ref="A1:B1"/>
    <mergeCell ref="A2:B2"/>
    <mergeCell ref="A3:B3"/>
    <mergeCell ref="A5:B5"/>
    <mergeCell ref="A6:B6"/>
  </mergeCells>
  <pageMargins left="0.78740157480314965" right="0.39370078740157483" top="1.1811023622047245" bottom="0.78740157480314965" header="0" footer="0"/>
  <pageSetup scale="85" orientation="portrait" errors="NA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PRESUPUESTO OFICIAL (Entida (2)</vt:lpstr>
      <vt:lpstr>PPT PRINCIPAL</vt:lpstr>
      <vt:lpstr>PPT</vt:lpstr>
      <vt:lpstr>APU</vt:lpstr>
      <vt:lpstr>INSUMOS</vt:lpstr>
      <vt:lpstr>APU!Área_de_impresión</vt:lpstr>
      <vt:lpstr>PPT!Área_de_impresión</vt:lpstr>
      <vt:lpstr>'PPT PRINCIPAL'!Área_de_impresión</vt:lpstr>
      <vt:lpstr>'PRESUPUESTO OFICIAL (Entida (2)'!Área_de_impresión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alejandro loaiza suarez</cp:lastModifiedBy>
  <cp:lastPrinted>2026-06-02T19:02:37Z</cp:lastPrinted>
  <dcterms:created xsi:type="dcterms:W3CDTF">2026-05-21T22:59:04Z</dcterms:created>
  <dcterms:modified xsi:type="dcterms:W3CDTF">2026-08-08T21:08:09Z</dcterms:modified>
</cp:coreProperties>
</file>