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3040" windowHeight="8400"/>
  </bookViews>
  <sheets>
    <sheet name="ESTUDIO DE MERCADO" sheetId="12" r:id="rId1"/>
    <sheet name="PROMEDIO OFERTAS SMC-06-2025" sheetId="11" r:id="rId2"/>
    <sheet name="Hoja5" sheetId="7" state="hidden" r:id="rId3"/>
  </sheets>
  <definedNames>
    <definedName name="_xlnm.Print_Area" localSheetId="0">'ESTUDIO DE MERCADO'!$B$8:$N$43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<sst xmlns="http://schemas.openxmlformats.org/spreadsheetml/2006/main" count="207" uniqueCount="110">
  <si>
    <t>ANEXO 2.1 - ESTUDIO DE MERCADO Y PRECIOS DE REFERENCIA</t>
  </si>
  <si>
    <r>
      <rPr>
        <b/>
        <sz val="12"/>
        <color theme="1"/>
        <rFont val="Arial"/>
        <charset val="134"/>
      </rPr>
      <t>OBJETO:</t>
    </r>
    <r>
      <rPr>
        <sz val="12"/>
        <color theme="1"/>
        <rFont val="Arial"/>
        <charset val="134"/>
      </rPr>
      <t xml:space="preserve"> PRESTAR EL SERVICIO DE MANTENIMIENTO PREVENTIVO Y CORRECTIVO A VALOR UNITARIO PARA LOS VEHÍCULOS QUE FORMAN PARTE DEL PARQUE AUTOMOTOR DE LA ADR  </t>
    </r>
  </si>
  <si>
    <t xml:space="preserve">ITEM </t>
  </si>
  <si>
    <t>DESCRIPCION</t>
  </si>
  <si>
    <t>UNIDAD DE MEDIDA</t>
  </si>
  <si>
    <t>CANTIDAD</t>
  </si>
  <si>
    <t>COTIZACIONES</t>
  </si>
  <si>
    <t>HISTÓRICO PRECIOS REFERENCIA 2024 PROCESO No. SMC-032024</t>
  </si>
  <si>
    <t>HISTÓRICO PRECIOS REFERENCIA 2025 PROCESO No. SMC-06-2025</t>
  </si>
  <si>
    <t>PROMEDIO OFERTAS SMC-06-2025
(2 OFERTAS DE MENOR VALOR)</t>
  </si>
  <si>
    <t>PRECIOS DE REFERENCIA</t>
  </si>
  <si>
    <t>VALOR UNITARIO TOTAL</t>
  </si>
  <si>
    <t>VR. PRECIO TOTAL UNITARIO</t>
  </si>
  <si>
    <t>CALCULO INDEXACIÓN (IPC 2025 Y 2026)</t>
  </si>
  <si>
    <t>CALCULO INDEXACIÓN (IPC JUN 2026)</t>
  </si>
  <si>
    <t>CÁLCULO LÍMITE INFERIOR Y SUPERIOR</t>
  </si>
  <si>
    <t>SANITAS</t>
  </si>
  <si>
    <t>CENDIATRA</t>
  </si>
  <si>
    <t>QUALITAS SALUD</t>
  </si>
  <si>
    <t>CON AUDIOMETRIA</t>
  </si>
  <si>
    <t xml:space="preserve">PRECIO UNITARIO </t>
  </si>
  <si>
    <t>PRECIO TOTAL</t>
  </si>
  <si>
    <t>PROMEDIO</t>
  </si>
  <si>
    <t>MEDIA ARMÓNICA</t>
  </si>
  <si>
    <t>MEDIANA</t>
  </si>
  <si>
    <t>MEDIA GEOMÉTRICA</t>
  </si>
  <si>
    <t>MÍNIMO</t>
  </si>
  <si>
    <t>MÁXIMO</t>
  </si>
  <si>
    <t>LIMITE SUPERIOR</t>
  </si>
  <si>
    <t>LÍMITE INFERIOR</t>
  </si>
  <si>
    <t>EVALUACIONES MÉDICAS OCUPACIONALES DE PRE-INGRESO (OSTEOMUSCULAR + OPTOMETRÍA + AUDIOMETRIA) A NIVEL NACIONAL</t>
  </si>
  <si>
    <t>Und.</t>
  </si>
  <si>
    <t>EVALUACIONES MÉDICAS OCUPACIONALES DE PERIODICA (OSTEOMUSCULAR + OPTOMETRÍA + AUDIOMETRIA) EN SANTA MARTA</t>
  </si>
  <si>
    <t>EVALUACIONES MÉDICAS OCUPACIONALES DE PERIODICA (OSTEOMUSCULAR + OPTOMETRÍA + AUDIOMETRIA) EN CARTAGENA</t>
  </si>
  <si>
    <t>EVALUACIONES MÉDICAS OCUPACIONALES DE PERIODICA (OSTEOMUSCULAR + OPTOMETRÍA + AUDIOMETRIA) EN MONTERIA</t>
  </si>
  <si>
    <t>EVALUACIONES MÉDICAS OCUPACIONALES DE PERIODICA (OSTEOMUSCULAR + OPTOMETRÍA + AUDIOMETRIA) EN CUCUTA</t>
  </si>
  <si>
    <t>EVALUACIONES MÉDICAS OCUPACIONALES DE PERIODICA (OSTEOMUSCULAR + OPTOMETRÍA + AUDIOMETRIA) EN MEDELLIN</t>
  </si>
  <si>
    <t>EVALUACIONES MÉDICAS OCUPACIONALES DE PERIODICA (OSTEOMUSCULAR + OPTOMETRÍA + AUDIOMETRIA) EN MANIZALES</t>
  </si>
  <si>
    <t>EVALUACIONES MÉDICAS OCUPACIONALES DE PERIODICA (OSTEOMUSCULAR + OPTOMETRÍA + AUDIOMETRIA) EN TUNJA</t>
  </si>
  <si>
    <t>EVALUACIONES MÉDICAS OCUPACIONALES DE PERIODICA (OSTEOMUSCULAR + OPTOMETRÍA + AUDIOMETRIA) EN IBAGUE</t>
  </si>
  <si>
    <t>EVALUACIONES MÉDICAS OCUPACIONALES DE PERIODICA (OSTEOMUSCULAR + OPTOMETRÍA + AUDIOMETRIA) EN POPAYAN</t>
  </si>
  <si>
    <t>EVALUACIONES MÉDICAS OCUPACIONALES DE PERIODICA (OSTEOMUSCULAR + OPTOMETRÍA + AUDIOMETRIA) EN PASTO</t>
  </si>
  <si>
    <t>EVALUACIONES MÉDICAS OCUPACIONALES DE PERIODICA (OSTEOMUSCULAR + OPTOMETRÍA + AUDIOMETRIA) EN VILLAVICENCIO</t>
  </si>
  <si>
    <t>EVALUACIONES MÉDICAS OCUPACIONALES DE PERIODICA (OSTEOMUSCULAR + OPTOMETRÍA + AUDIOMETRIA) EN NEIVA</t>
  </si>
  <si>
    <t>EVALUACIONES MÉDICAS OCUPACIONALES DE PERIODICA (OSTEOMUSCULAR + OPTOMETRÍA + AUDIOMETRIA) EN CALI</t>
  </si>
  <si>
    <t>EVALUACIONES MÉDICAS OCUPACIONALES DE PERIODICA (OSTEOMUSCULAR + OPTOMETRÍA + AUDIOMETRIA) EN BOGOTA</t>
  </si>
  <si>
    <t>EVALUACIONES MÉDICAS OCUPACIONALES DE EGRESO (OSTEOMUSCULAR + OPTOMETRÍA + AUDIOMETRIA) A NIVEL NACIONAL</t>
  </si>
  <si>
    <t>EVALUACIONES MEDICAS POR CAMBIO DE OCUPACION A NIVEL NACIONAL</t>
  </si>
  <si>
    <t>EXAMEN MÉDICO ESPECIAL OCUPACIONAL CON ÉNFASIS OSTEOMUSCULAR (POST– INCAPACIDAD, REINTEGRO O SEGUIMIENTO A RECOMENDACIONES MÉDICAS) A NIVEL NACIONAL</t>
  </si>
  <si>
    <t>VALORACIONES MÉDICAS COMPLEMENTARIAS A NIVEL NACIONAL</t>
  </si>
  <si>
    <t>EXÁMENES PARACLÍNICOS (LABORATORIO PARA DETECTAR SUSTANCIAS PSICOACTIVAS Y ALCOHOL) A NIVEL NACIONAL</t>
  </si>
  <si>
    <t>PRUEBA PSICOSENSOMÉTRICA A NIVEL NACIONAL</t>
  </si>
  <si>
    <t>PRUEBA TÉCNICA DE CONDUCCIÓN A NIVEL NACIONAL</t>
  </si>
  <si>
    <t>PRUEBA PSICOLÓGICA DE CONDUCCIÓN A NIVEL NACIONAL</t>
  </si>
  <si>
    <t>LABORATORIO CLÍNICO PARA PRE INGRESO, PERIÓDICO. (GLICEMIA, COLESTEROL, TRIGLICÉRIDOS) A NIVEL NACIONAL</t>
  </si>
  <si>
    <t>ELECTROCARDIOGRAMA PARA INGRESO, PERIÓDICO A NIVEL NACIONAL</t>
  </si>
  <si>
    <t>ESPIROMETRÍA PARA INGRESO, PERIÓDICO A NIVEL NACIONAL</t>
  </si>
  <si>
    <t>TEST DE ESTRES LABORAL PARA CASOS ESPECIFICOS A NIVEL NACIONAL</t>
  </si>
  <si>
    <t>NO DISPONIBLE</t>
  </si>
  <si>
    <t>N/A</t>
  </si>
  <si>
    <t>TOTAL PRESPUESTO ESTIMADO</t>
  </si>
  <si>
    <t>NOTAS INFORMATIVAS:</t>
  </si>
  <si>
    <r>
      <rPr>
        <b/>
        <sz val="11"/>
        <color indexed="8"/>
        <rFont val="Arial"/>
        <charset val="134"/>
      </rPr>
      <t>Nota 1:</t>
    </r>
    <r>
      <rPr>
        <sz val="11"/>
        <color indexed="8"/>
        <rFont val="Arial"/>
        <charset val="134"/>
      </rPr>
      <t xml:space="preserve"> La Agencia de Desarrollo Rural realizó el estudios de mercado de manera integral, es decir, que el precio unitario de referencia determinado por la Entidad para cada ítem, incluye todos impuestos, tasas, contribuciones, costos y gastos directos e indirectos, mano de obra, transporte y demás costos en los que incurra para la efectiva ejecución del contrato, por lo tanto, al momento de ofertar el proponente deberá considerar esta información.
</t>
    </r>
    <r>
      <rPr>
        <b/>
        <sz val="11"/>
        <color indexed="8"/>
        <rFont val="Arial"/>
        <charset val="134"/>
      </rPr>
      <t>Nota 2:</t>
    </r>
    <r>
      <rPr>
        <sz val="11"/>
        <color indexed="8"/>
        <rFont val="Arial"/>
        <charset val="134"/>
      </rPr>
      <t xml:space="preserve"> Para realizar al oferta económico el proponente deberá tener en cuenta la información detallada en el ANEXO TÉCNICO.
</t>
    </r>
    <r>
      <rPr>
        <b/>
        <sz val="11"/>
        <color indexed="8"/>
        <rFont val="Arial"/>
        <charset val="134"/>
      </rPr>
      <t xml:space="preserve">Nota 3: </t>
    </r>
    <r>
      <rPr>
        <sz val="11"/>
        <color indexed="8"/>
        <rFont val="Arial"/>
        <charset val="134"/>
      </rPr>
      <t>La ejecución de cada ítem (bien o servicio) se deberá realizar en las ciudades y direcciones indicadas en el ANEXO TÉCNICO.</t>
    </r>
  </si>
  <si>
    <t>ÍTEM</t>
  </si>
  <si>
    <t>DESCRIPCIÓN</t>
  </si>
  <si>
    <t xml:space="preserve"> REYVELT SAS</t>
  </si>
  <si>
    <t>QUALITAS SAS</t>
  </si>
  <si>
    <t>GLOBAL MEDICAL HSE SAS IPS</t>
  </si>
  <si>
    <t>GRUPO EMPRESARIAL SOLUCIONES CUATRO EN UNO SAS</t>
  </si>
  <si>
    <t>SERVICIOS DE GESTION INTEGRADA SAS</t>
  </si>
  <si>
    <t>PROMEDIO  (TODOS)</t>
  </si>
  <si>
    <t>PROMEDIO
(2 más bajas)</t>
  </si>
  <si>
    <t>UNIDAD</t>
  </si>
  <si>
    <t>VACUNA FIEBRE AMARILLA A NIVEL NACIONAL</t>
  </si>
  <si>
    <t>VALOR TOTAL OFERTADO</t>
  </si>
  <si>
    <t>ENTIDAD COMPRADORA</t>
  </si>
  <si>
    <t>NO. PROCESO</t>
  </si>
  <si>
    <t>MODALIDAD</t>
  </si>
  <si>
    <t>VALOR DEL CONTRATO</t>
  </si>
  <si>
    <t>CONTRATISTA</t>
  </si>
  <si>
    <t>UNIDAD ADMINISTRATIVA ESPECIAL DIRECCION NACIONAL DE BOMBEROS</t>
  </si>
  <si>
    <t>IMC-002-2026</t>
  </si>
  <si>
    <t>CONTRATAR LA REALIZACIÓN DE LOS EXÁMENES MÉDICOS OCUPACIONALES, CAMPAÑA DE VACUNACIÓN Y BATERÍA PSICOSOCIAL PARA LOS FUNCIONARIOS DE LA DIRECCIÓN NACIONAL DE BOMBEROS</t>
  </si>
  <si>
    <t>MINIMA CUANTIA</t>
  </si>
  <si>
    <t xml:space="preserve">	Qualitas Salud Ltda</t>
  </si>
  <si>
    <t>https://www.secop.gov.co/CO1BusinessLine/Tendering/ContractNoticeView/Index?notice=CO1.NTC.10155120</t>
  </si>
  <si>
    <t>CONTRALORIA DEPARTAMENTAL, CALI COLOMBIA</t>
  </si>
  <si>
    <t>M.C-004-2026</t>
  </si>
  <si>
    <t>PRESTAR EL SERVICIO DE EVALUACIONES MÉDICAS LABORALES, PREOCUPACIONALES, PERIÓDICOS, POST-INCAPACIDAD, DE EGRESO Y DE PREVENCIÓN PARA LOS SERVIDORES PÚBLICOS DE LA CONTRALORÍA DEPARTAMENTAL DEL VALLE DEL CAUCA PARA LA VIGENCIA 2026.</t>
  </si>
  <si>
    <t xml:space="preserve"> 	Grupo Médico Ocupacional SST Colombia SAS</t>
  </si>
  <si>
    <t>CLUB MILITAR</t>
  </si>
  <si>
    <t>CM-MC-208-2025</t>
  </si>
  <si>
    <t>REALIZACIÓN DE EXAMENES OCUPACIONALES, DE INGRESO, PERIÓDICOS Y EGRESO A LOS FUNCIONARIOS DE LAS TRES SEDES DEL CLUB MILITAR</t>
  </si>
  <si>
    <t>GRUPO LABORAL OCUPACIONAL SAS</t>
  </si>
  <si>
    <t>CORPORACIÓN AUTÓNOMA REGIONAL DEL ATLÁNTICO</t>
  </si>
  <si>
    <t>MIN-2025-008</t>
  </si>
  <si>
    <t>PRESTAR LOS SERVICIOS DE SALUD PARA REALIZAR LAS EVALUACIONES MÉDICAS OCUPACIONALES Y DEMÁS EXÁMENES COMPLEMENTARIOS Y TOXICOLÓGICOS A QUE HAYA LUGAR, PARA GARANTIZAR EL SEGUIMIENTO Y CONTROL DEL ESTADO DE SALUD DE LOS TRABAJADORES DEFINIDOS EN EL SG-SST Y EL PESV; ASÍ COMO EXÁMENES DE LABORATORIO Y OTRAS AYUDAS DIAGNÓSTICAS PREVIAMENTE DEFINIDAS EN EL PROFESIOGRAMA; ADEMÁS DE SEGUIMIENTOS Y VALORACIONES MEDICAS DEL PERSONAL QUE LO REQUIERA EN LA CORPORACIÓN</t>
  </si>
  <si>
    <t>IPS CERTIMEDIC S.A.S.</t>
  </si>
  <si>
    <t>DIRECCION GENERAL MARITIMA -SUBDIRECCION ADMINISTRATIVA Y FINANCIERA -SUBAFIN</t>
  </si>
  <si>
    <t>255-GINREDCE-2025</t>
  </si>
  <si>
    <t>CONTRATAR LA REALIZACIÓN DE EXÁMENES MÉDICO-OCUPACIONALES DE INGRESO, PERIÓDICOS, DE EGRESO, POST INCAPACIDAD (REINTEGRO LABORAL), CAMBIO DE OCUPACIÓN, EXÁMENES DE LABORATORIO, IMÁGENES DIAGNÓSTICAS, SUMINISTRO Y APLICACIÓN DE VACUNAS PARA A LOS FUNCIONARIOS MILITARES Y CIVILES DE LA DIRECCIÓN GENERAL MARÍTIMA - DIMAR</t>
  </si>
  <si>
    <t>CENTRO DE VACUNAS VACUNET SAS</t>
  </si>
  <si>
    <t>AGENCIA NACIONAL DE INFRAESTRUCTURA - ANI</t>
  </si>
  <si>
    <t>VJ-VGCOR-MC-017-2024</t>
  </si>
  <si>
    <t>CONTRATAR LOS SERVICIOS DE EXÁMENES MÉDICOS PARA LOS COLABORADORES DE LA AGENCIA NACIONAL DE INFRAESTRUCTURA</t>
  </si>
  <si>
    <t>QUALITAS SALUD LTDA</t>
  </si>
  <si>
    <t>SUPERINTENDENC IA FINANCIERA DE COLOMBIA</t>
  </si>
  <si>
    <t>SF.MC-036-2024</t>
  </si>
  <si>
    <t>REALIZAR LAS EVALUACIONES MÉDICAS: PREOCUPACIONALES PREINGRESO, POSOCUPACIONALES EGRESO QUE REQUIERA LA SUPERINTENDENCIA FINANCIERA DE COLOMBIA.</t>
  </si>
  <si>
    <t>REYVELT MEDICINA ESPECIALIZADA</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</si>
</sst>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2" formatCode="_(&quot;$&quot;* #,##0_);_(&quot;$&quot;* \(#,##0\);_(&quot;$&quot;* &quot;-&quot;_);_(@_)"/>
    <numFmt numFmtId="176" formatCode="_ * #,##0.00_ ;_ * \-#,##0.00_ ;_ * &quot;-&quot;??_ ;_ @_ "/>
    <numFmt numFmtId="177" formatCode="_-* #,##0.00\ &quot;€&quot;_-;\-* #,##0.00\ &quot;€&quot;_-;_-* &quot;-&quot;??\ &quot;€&quot;_-;_-@_-"/>
    <numFmt numFmtId="178" formatCode="_-* #,##0_-;\-* #,##0_-;_-* &quot;-&quot;_-;_-@_-"/>
    <numFmt numFmtId="179" formatCode="&quot;$&quot;\ #,##0.00;[Red]\-&quot;$&quot;\ #,##0.00"/>
    <numFmt numFmtId="180" formatCode="&quot;$&quot;\ #,##0.00"/>
    <numFmt numFmtId="181" formatCode="0.0%"/>
  </numFmts>
  <fonts count="42">
    <font>
      <sz val="11"/>
      <color theme="1"/>
      <name val="Calibri"/>
      <charset val="134"/>
      <scheme val="minor"/>
    </font>
    <font>
      <sz val="8"/>
      <color rgb="FF000000"/>
      <name val="Arial Narrow"/>
      <charset val="134"/>
    </font>
    <font>
      <sz val="8"/>
      <color theme="1"/>
      <name val="Arial Narrow"/>
      <charset val="134"/>
    </font>
    <font>
      <u/>
      <sz val="11"/>
      <color theme="10"/>
      <name val="Calibri"/>
      <charset val="134"/>
      <scheme val="minor"/>
    </font>
    <font>
      <sz val="8"/>
      <color theme="1"/>
      <name val="Arial"/>
      <charset val="134"/>
    </font>
    <font>
      <b/>
      <sz val="8"/>
      <name val="Arial"/>
      <charset val="134"/>
    </font>
    <font>
      <sz val="8"/>
      <name val="Arial"/>
      <charset val="134"/>
    </font>
    <font>
      <sz val="8"/>
      <color rgb="FF000000"/>
      <name val="Arial"/>
      <charset val="134"/>
    </font>
    <font>
      <b/>
      <sz val="9"/>
      <color theme="1"/>
      <name val="Arial"/>
      <charset val="134"/>
    </font>
    <font>
      <b/>
      <sz val="10"/>
      <color theme="1"/>
      <name val="Arial"/>
      <charset val="134"/>
    </font>
    <font>
      <sz val="10"/>
      <color theme="1"/>
      <name val="Arial"/>
      <charset val="134"/>
    </font>
    <font>
      <b/>
      <sz val="12"/>
      <color theme="1"/>
      <name val="Arial"/>
      <charset val="134"/>
    </font>
    <font>
      <sz val="9"/>
      <color theme="1"/>
      <name val="Arial"/>
      <charset val="134"/>
    </font>
    <font>
      <sz val="10"/>
      <name val="Arial Narrow"/>
      <charset val="134"/>
    </font>
    <font>
      <b/>
      <sz val="8"/>
      <color theme="1"/>
      <name val="Arial"/>
      <charset val="134"/>
    </font>
    <font>
      <b/>
      <sz val="9"/>
      <name val="Arial"/>
      <charset val="134"/>
    </font>
    <font>
      <sz val="9"/>
      <name val="Arial"/>
      <charset val="134"/>
    </font>
    <font>
      <sz val="8"/>
      <color rgb="FFFF0000"/>
      <name val="Arial"/>
      <charset val="134"/>
    </font>
    <font>
      <sz val="11"/>
      <color indexed="8"/>
      <name val="Arial"/>
      <charset val="134"/>
    </font>
    <font>
      <sz val="11"/>
      <color theme="1"/>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
      <b/>
      <sz val="11"/>
      <color indexed="8"/>
      <name val="Arial"/>
      <charset val="134"/>
    </font>
    <font>
      <sz val="12"/>
      <color theme="1"/>
      <name val="Arial"/>
      <charset val="134"/>
    </font>
  </fonts>
  <fills count="48">
    <fill>
      <patternFill patternType="none"/>
    </fill>
    <fill>
      <patternFill patternType="gray125"/>
    </fill>
    <fill>
      <patternFill patternType="solid">
        <fgColor rgb="FFF1F1F1"/>
        <bgColor indexed="64"/>
      </patternFill>
    </fill>
    <fill>
      <patternFill patternType="solid">
        <fgColor theme="0" tint="-0.149998474074526"/>
        <bgColor indexed="64"/>
      </patternFill>
    </fill>
    <fill>
      <patternFill patternType="solid">
        <fgColor theme="9"/>
        <bgColor indexed="64"/>
      </patternFill>
    </fill>
    <fill>
      <patternFill patternType="solid">
        <fgColor theme="4" tint="0.399975585192419"/>
        <bgColor indexed="64"/>
      </patternFill>
    </fill>
    <fill>
      <patternFill patternType="solid">
        <fgColor theme="0" tint="-0.249977111117893"/>
        <bgColor indexed="64"/>
      </patternFill>
    </fill>
    <fill>
      <patternFill patternType="solid">
        <fgColor indexed="22"/>
        <bgColor indexed="64"/>
      </patternFill>
    </fill>
    <fill>
      <patternFill patternType="solid">
        <fgColor theme="3" tint="0.799981688894314"/>
        <bgColor indexed="64"/>
      </patternFill>
    </fill>
    <fill>
      <patternFill patternType="solid">
        <fgColor rgb="FF92D050"/>
        <bgColor indexed="64"/>
      </patternFill>
    </fill>
    <fill>
      <patternFill patternType="solid">
        <fgColor theme="0" tint="-0.0499893185216834"/>
        <bgColor indexed="64"/>
      </patternFill>
    </fill>
    <fill>
      <patternFill patternType="solid">
        <fgColor rgb="FFFFC000"/>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3" tint="0.599993896298105"/>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auto="1"/>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medium">
        <color auto="1"/>
      </right>
      <top style="thin">
        <color auto="1"/>
      </top>
      <bottom style="medium">
        <color auto="1"/>
      </bottom>
      <diagonal/>
    </border>
    <border>
      <left/>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20" fillId="0" borderId="0" applyFont="0" applyFill="0" applyBorder="0" applyAlignment="0" applyProtection="0">
      <alignment vertical="center"/>
    </xf>
    <xf numFmtId="177" fontId="0" fillId="0" borderId="0" applyFont="0" applyFill="0" applyBorder="0" applyAlignment="0" applyProtection="0"/>
    <xf numFmtId="9" fontId="0" fillId="0" borderId="0" applyFont="0" applyFill="0" applyBorder="0" applyAlignment="0" applyProtection="0"/>
    <xf numFmtId="178" fontId="0" fillId="0" borderId="0" applyFont="0" applyFill="0" applyBorder="0" applyAlignment="0" applyProtection="0"/>
    <xf numFmtId="42" fontId="20" fillId="0" borderId="0" applyFont="0" applyFill="0" applyBorder="0" applyAlignment="0" applyProtection="0">
      <alignment vertical="center"/>
    </xf>
    <xf numFmtId="0" fontId="3" fillId="0" borderId="0" applyNumberFormat="0" applyFill="0" applyBorder="0" applyAlignment="0" applyProtection="0"/>
    <xf numFmtId="0" fontId="21" fillId="0" borderId="0" applyNumberFormat="0" applyFill="0" applyBorder="0" applyAlignment="0" applyProtection="0">
      <alignment vertical="center"/>
    </xf>
    <xf numFmtId="0" fontId="20" fillId="17" borderId="33"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34" applyNumberFormat="0" applyFill="0" applyAlignment="0" applyProtection="0">
      <alignment vertical="center"/>
    </xf>
    <xf numFmtId="0" fontId="26" fillId="0" borderId="34" applyNumberFormat="0" applyFill="0" applyAlignment="0" applyProtection="0">
      <alignment vertical="center"/>
    </xf>
    <xf numFmtId="0" fontId="27" fillId="0" borderId="35" applyNumberFormat="0" applyFill="0" applyAlignment="0" applyProtection="0">
      <alignment vertical="center"/>
    </xf>
    <xf numFmtId="0" fontId="27" fillId="0" borderId="0" applyNumberFormat="0" applyFill="0" applyBorder="0" applyAlignment="0" applyProtection="0">
      <alignment vertical="center"/>
    </xf>
    <xf numFmtId="0" fontId="28" fillId="18" borderId="36" applyNumberFormat="0" applyAlignment="0" applyProtection="0">
      <alignment vertical="center"/>
    </xf>
    <xf numFmtId="0" fontId="29" fillId="19" borderId="37" applyNumberFormat="0" applyAlignment="0" applyProtection="0">
      <alignment vertical="center"/>
    </xf>
    <xf numFmtId="0" fontId="30" fillId="19" borderId="36" applyNumberFormat="0" applyAlignment="0" applyProtection="0">
      <alignment vertical="center"/>
    </xf>
    <xf numFmtId="0" fontId="31" fillId="20" borderId="38" applyNumberFormat="0" applyAlignment="0" applyProtection="0">
      <alignment vertical="center"/>
    </xf>
    <xf numFmtId="0" fontId="32" fillId="0" borderId="39" applyNumberFormat="0" applyFill="0" applyAlignment="0" applyProtection="0">
      <alignment vertical="center"/>
    </xf>
    <xf numFmtId="0" fontId="33" fillId="0" borderId="40" applyNumberFormat="0" applyFill="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7"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8" fillId="33" borderId="0" applyNumberFormat="0" applyBorder="0" applyAlignment="0" applyProtection="0">
      <alignment vertical="center"/>
    </xf>
    <xf numFmtId="0" fontId="38" fillId="34" borderId="0" applyNumberFormat="0" applyBorder="0" applyAlignment="0" applyProtection="0">
      <alignment vertical="center"/>
    </xf>
    <xf numFmtId="0" fontId="37" fillId="35" borderId="0" applyNumberFormat="0" applyBorder="0" applyAlignment="0" applyProtection="0">
      <alignment vertical="center"/>
    </xf>
    <xf numFmtId="0" fontId="37" fillId="36" borderId="0" applyNumberFormat="0" applyBorder="0" applyAlignment="0" applyProtection="0">
      <alignment vertical="center"/>
    </xf>
    <xf numFmtId="0" fontId="38" fillId="37" borderId="0" applyNumberFormat="0" applyBorder="0" applyAlignment="0" applyProtection="0">
      <alignment vertical="center"/>
    </xf>
    <xf numFmtId="0" fontId="38" fillId="38" borderId="0" applyNumberFormat="0" applyBorder="0" applyAlignment="0" applyProtection="0">
      <alignment vertical="center"/>
    </xf>
    <xf numFmtId="0" fontId="37" fillId="39" borderId="0" applyNumberFormat="0" applyBorder="0" applyAlignment="0" applyProtection="0">
      <alignment vertical="center"/>
    </xf>
    <xf numFmtId="0" fontId="37" fillId="40" borderId="0" applyNumberFormat="0" applyBorder="0" applyAlignment="0" applyProtection="0">
      <alignment vertical="center"/>
    </xf>
    <xf numFmtId="0" fontId="38" fillId="41" borderId="0" applyNumberFormat="0" applyBorder="0" applyAlignment="0" applyProtection="0">
      <alignment vertical="center"/>
    </xf>
    <xf numFmtId="0" fontId="38" fillId="42" borderId="0" applyNumberFormat="0" applyBorder="0" applyAlignment="0" applyProtection="0">
      <alignment vertical="center"/>
    </xf>
    <xf numFmtId="0" fontId="37" fillId="43" borderId="0" applyNumberFormat="0" applyBorder="0" applyAlignment="0" applyProtection="0">
      <alignment vertical="center"/>
    </xf>
    <xf numFmtId="0" fontId="37" fillId="44" borderId="0" applyNumberFormat="0" applyBorder="0" applyAlignment="0" applyProtection="0">
      <alignment vertical="center"/>
    </xf>
    <xf numFmtId="0" fontId="38" fillId="45" borderId="0" applyNumberFormat="0" applyBorder="0" applyAlignment="0" applyProtection="0">
      <alignment vertical="center"/>
    </xf>
    <xf numFmtId="0" fontId="38" fillId="46" borderId="0" applyNumberFormat="0" applyBorder="0" applyAlignment="0" applyProtection="0">
      <alignment vertical="center"/>
    </xf>
    <xf numFmtId="0" fontId="37" fillId="47" borderId="0" applyNumberFormat="0" applyBorder="0" applyAlignment="0" applyProtection="0">
      <alignment vertical="center"/>
    </xf>
    <xf numFmtId="0" fontId="39" fillId="0" borderId="0"/>
    <xf numFmtId="9" fontId="39" fillId="0" borderId="0" applyFont="0" applyFill="0" applyBorder="0" applyAlignment="0" applyProtection="0"/>
  </cellStyleXfs>
  <cellXfs count="132">
    <xf numFmtId="0" fontId="0" fillId="0" borderId="0" xfId="0"/>
    <xf numFmtId="0" fontId="0" fillId="0" borderId="0" xfId="0" applyAlignment="1">
      <alignment horizont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inden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indent="3"/>
    </xf>
    <xf numFmtId="0" fontId="2" fillId="0" borderId="1" xfId="0" applyFont="1" applyBorder="1" applyAlignment="1">
      <alignment vertical="center" wrapText="1"/>
    </xf>
    <xf numFmtId="0" fontId="2" fillId="0" borderId="1" xfId="0" applyFont="1" applyBorder="1" applyAlignment="1">
      <alignment horizontal="left" vertical="center" wrapText="1" indent="2"/>
    </xf>
    <xf numFmtId="179" fontId="2" fillId="0" borderId="1" xfId="0" applyNumberFormat="1" applyFont="1" applyBorder="1" applyAlignment="1">
      <alignment horizontal="center" vertical="center" wrapText="1"/>
    </xf>
    <xf numFmtId="0" fontId="3" fillId="0" borderId="0" xfId="6"/>
    <xf numFmtId="179" fontId="1" fillId="0" borderId="1" xfId="0" applyNumberFormat="1" applyFont="1" applyBorder="1" applyAlignment="1">
      <alignment horizontal="center" vertical="center" wrapText="1"/>
    </xf>
    <xf numFmtId="0" fontId="2" fillId="0" borderId="0" xfId="0" applyFont="1" applyAlignment="1">
      <alignment vertical="center" wrapText="1"/>
    </xf>
    <xf numFmtId="0" fontId="0" fillId="0" borderId="0" xfId="0" applyAlignment="1">
      <alignment vertical="top" wrapText="1"/>
    </xf>
    <xf numFmtId="0" fontId="4" fillId="0" borderId="0" xfId="0" applyFont="1" applyAlignment="1">
      <alignment horizontal="center" vertical="center"/>
    </xf>
    <xf numFmtId="180" fontId="4" fillId="0" borderId="0" xfId="0" applyNumberFormat="1" applyFont="1" applyAlignment="1">
      <alignment horizontal="center" vertical="center" wrapText="1"/>
    </xf>
    <xf numFmtId="0" fontId="5" fillId="3" borderId="1" xfId="0" applyFont="1" applyFill="1" applyBorder="1" applyAlignment="1">
      <alignment horizontal="center" vertical="center" wrapText="1"/>
    </xf>
    <xf numFmtId="180" fontId="5" fillId="3" borderId="1" xfId="0" applyNumberFormat="1" applyFont="1" applyFill="1" applyBorder="1" applyAlignment="1">
      <alignment horizontal="center" vertical="center" wrapText="1"/>
    </xf>
    <xf numFmtId="180" fontId="5" fillId="4" borderId="1" xfId="0" applyNumberFormat="1" applyFont="1" applyFill="1" applyBorder="1" applyAlignment="1">
      <alignment horizontal="center" vertical="center" wrapText="1"/>
    </xf>
    <xf numFmtId="0" fontId="4" fillId="0" borderId="1" xfId="0" applyFont="1" applyBorder="1" applyAlignment="1" applyProtection="1">
      <alignment horizontal="center" vertical="center"/>
      <protection locked="0"/>
    </xf>
    <xf numFmtId="0" fontId="6" fillId="0" borderId="1" xfId="0" applyFont="1" applyBorder="1" applyAlignment="1">
      <alignment horizontal="justify" vertical="center" wrapText="1"/>
    </xf>
    <xf numFmtId="0" fontId="4" fillId="0" borderId="1" xfId="0" applyFont="1" applyBorder="1" applyAlignment="1" applyProtection="1">
      <alignment horizontal="center" vertical="center" wrapText="1"/>
      <protection locked="0"/>
    </xf>
    <xf numFmtId="180" fontId="4" fillId="0" borderId="1" xfId="2" applyNumberFormat="1" applyFont="1" applyBorder="1" applyAlignment="1">
      <alignment horizontal="center" vertical="center"/>
    </xf>
    <xf numFmtId="0" fontId="4" fillId="0" borderId="1" xfId="0" applyFont="1" applyBorder="1" applyAlignment="1">
      <alignment horizontal="justify" vertical="center" wrapText="1"/>
    </xf>
    <xf numFmtId="0" fontId="7" fillId="0" borderId="1" xfId="0" applyFont="1" applyBorder="1" applyAlignment="1">
      <alignment vertical="center" wrapText="1"/>
    </xf>
    <xf numFmtId="180" fontId="4" fillId="5" borderId="1" xfId="2" applyNumberFormat="1" applyFont="1" applyFill="1" applyBorder="1" applyAlignment="1">
      <alignment horizontal="center" vertical="center"/>
    </xf>
    <xf numFmtId="0" fontId="8" fillId="6" borderId="2" xfId="0" applyFont="1" applyFill="1" applyBorder="1" applyAlignment="1">
      <alignment horizontal="right" vertical="center"/>
    </xf>
    <xf numFmtId="0" fontId="8" fillId="6" borderId="3" xfId="0" applyFont="1" applyFill="1" applyBorder="1" applyAlignment="1">
      <alignment horizontal="right" vertical="center"/>
    </xf>
    <xf numFmtId="0" fontId="8" fillId="6" borderId="4" xfId="0" applyFont="1" applyFill="1" applyBorder="1" applyAlignment="1">
      <alignment horizontal="right" vertical="center"/>
    </xf>
    <xf numFmtId="0" fontId="4" fillId="0" borderId="0" xfId="0" applyFont="1" applyBorder="1" applyAlignment="1">
      <alignment vertical="center" wrapText="1"/>
    </xf>
    <xf numFmtId="0" fontId="9" fillId="0" borderId="0" xfId="0" applyFont="1" applyAlignment="1">
      <alignment horizontal="center" vertical="center" wrapText="1"/>
    </xf>
    <xf numFmtId="0" fontId="6" fillId="0" borderId="0" xfId="0" applyFont="1" applyFill="1" applyBorder="1" applyAlignment="1">
      <alignment vertical="center"/>
    </xf>
    <xf numFmtId="0" fontId="4" fillId="0" borderId="0" xfId="0" applyFont="1" applyBorder="1" applyAlignment="1">
      <alignment vertical="center"/>
    </xf>
    <xf numFmtId="0" fontId="10" fillId="0" borderId="0" xfId="0" applyFont="1"/>
    <xf numFmtId="0" fontId="4" fillId="0" borderId="0" xfId="0" applyFont="1"/>
    <xf numFmtId="178" fontId="4" fillId="0" borderId="0" xfId="4" applyFont="1" applyAlignment="1">
      <alignment horizontal="center"/>
    </xf>
    <xf numFmtId="178" fontId="4" fillId="0" borderId="0" xfId="4" applyFont="1" applyFill="1" applyAlignment="1">
      <alignment horizontal="center"/>
    </xf>
    <xf numFmtId="178" fontId="4" fillId="0" borderId="0" xfId="4" applyFont="1"/>
    <xf numFmtId="0" fontId="10" fillId="0" borderId="0" xfId="0" applyFont="1" applyFill="1" applyBorder="1"/>
    <xf numFmtId="0" fontId="11" fillId="0" borderId="0" xfId="0" applyFont="1" applyBorder="1" applyAlignment="1">
      <alignment horizontal="center" vertical="center" wrapText="1"/>
    </xf>
    <xf numFmtId="0" fontId="11" fillId="0" borderId="0" xfId="0" applyFont="1" applyBorder="1" applyAlignment="1">
      <alignment vertical="center" wrapText="1"/>
    </xf>
    <xf numFmtId="0" fontId="12" fillId="0" borderId="0" xfId="0" applyFont="1" applyBorder="1" applyAlignment="1">
      <alignment vertical="center" wrapText="1"/>
    </xf>
    <xf numFmtId="180" fontId="12" fillId="0" borderId="0" xfId="2" applyNumberFormat="1" applyFont="1" applyBorder="1" applyAlignment="1">
      <alignment horizontal="center" vertical="center" wrapText="1"/>
    </xf>
    <xf numFmtId="0" fontId="13" fillId="7" borderId="1" xfId="49" applyFont="1" applyFill="1" applyBorder="1" applyAlignment="1">
      <alignment horizontal="center"/>
    </xf>
    <xf numFmtId="10" fontId="13" fillId="0" borderId="1" xfId="50" applyNumberFormat="1" applyFont="1" applyBorder="1" applyAlignment="1">
      <alignment horizontal="center"/>
    </xf>
    <xf numFmtId="17" fontId="13" fillId="7" borderId="1" xfId="49" applyNumberFormat="1" applyFont="1" applyFill="1" applyBorder="1" applyAlignment="1">
      <alignment horizontal="center"/>
    </xf>
    <xf numFmtId="10" fontId="13" fillId="0" borderId="0" xfId="50" applyNumberFormat="1" applyFont="1" applyBorder="1" applyAlignment="1">
      <alignment horizontal="center"/>
    </xf>
    <xf numFmtId="0" fontId="14" fillId="3" borderId="1" xfId="0" applyFont="1" applyFill="1" applyBorder="1" applyAlignment="1">
      <alignment horizontal="center" vertical="center" wrapText="1"/>
    </xf>
    <xf numFmtId="178" fontId="9" fillId="0" borderId="5" xfId="4" applyFont="1" applyBorder="1" applyAlignment="1">
      <alignment horizontal="center" vertical="center"/>
    </xf>
    <xf numFmtId="178" fontId="9" fillId="0" borderId="6" xfId="4" applyFont="1" applyBorder="1" applyAlignment="1">
      <alignment horizontal="center" vertical="center"/>
    </xf>
    <xf numFmtId="178" fontId="14" fillId="0" borderId="7" xfId="4" applyFont="1" applyBorder="1" applyAlignment="1">
      <alignment horizontal="center" vertical="center" wrapText="1"/>
    </xf>
    <xf numFmtId="178" fontId="14" fillId="0" borderId="5" xfId="4" applyFont="1" applyBorder="1" applyAlignment="1">
      <alignment horizontal="center" vertical="center" wrapText="1"/>
    </xf>
    <xf numFmtId="178" fontId="14" fillId="0" borderId="6" xfId="4" applyFont="1" applyBorder="1" applyAlignment="1">
      <alignment horizontal="center" vertical="center" wrapText="1"/>
    </xf>
    <xf numFmtId="178" fontId="14" fillId="8" borderId="8" xfId="4" applyFont="1" applyFill="1" applyBorder="1" applyAlignment="1">
      <alignment horizontal="center" vertical="center" wrapText="1"/>
    </xf>
    <xf numFmtId="178" fontId="14" fillId="9" borderId="9" xfId="4" applyFont="1" applyFill="1" applyBorder="1" applyAlignment="1">
      <alignment horizontal="center" vertical="center" wrapText="1"/>
    </xf>
    <xf numFmtId="178" fontId="14" fillId="9" borderId="10" xfId="4" applyFont="1" applyFill="1" applyBorder="1" applyAlignment="1">
      <alignment horizontal="center" vertical="center" wrapText="1"/>
    </xf>
    <xf numFmtId="178" fontId="14" fillId="0" borderId="0" xfId="4" applyFont="1" applyBorder="1" applyAlignment="1">
      <alignment horizontal="center" vertical="center" wrapText="1"/>
    </xf>
    <xf numFmtId="178" fontId="14" fillId="10" borderId="11" xfId="4" applyFont="1" applyFill="1" applyBorder="1" applyAlignment="1">
      <alignment horizontal="center" vertical="center" wrapText="1"/>
    </xf>
    <xf numFmtId="178" fontId="14" fillId="11" borderId="12" xfId="4" applyFont="1" applyFill="1" applyBorder="1" applyAlignment="1">
      <alignment horizontal="center" vertical="center" wrapText="1"/>
    </xf>
    <xf numFmtId="0" fontId="14" fillId="12" borderId="13" xfId="0" applyFont="1" applyFill="1" applyBorder="1" applyAlignment="1" applyProtection="1">
      <alignment horizontal="center" vertical="center" wrapText="1"/>
      <protection locked="0"/>
    </xf>
    <xf numFmtId="178" fontId="14" fillId="8" borderId="13" xfId="4" applyFont="1" applyFill="1" applyBorder="1" applyAlignment="1">
      <alignment horizontal="center" vertical="center" wrapText="1"/>
    </xf>
    <xf numFmtId="178" fontId="14" fillId="9" borderId="14" xfId="4" applyFont="1" applyFill="1" applyBorder="1" applyAlignment="1">
      <alignment horizontal="center" vertical="center" wrapText="1"/>
    </xf>
    <xf numFmtId="178" fontId="14" fillId="9" borderId="15" xfId="4"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178" fontId="14" fillId="10" borderId="16" xfId="4" applyFont="1" applyFill="1" applyBorder="1" applyAlignment="1">
      <alignment horizontal="center" vertical="center" wrapText="1"/>
    </xf>
    <xf numFmtId="178" fontId="14" fillId="10" borderId="17" xfId="4" applyFont="1" applyFill="1" applyBorder="1" applyAlignment="1">
      <alignment horizontal="center" vertical="center" wrapText="1"/>
    </xf>
    <xf numFmtId="178" fontId="14" fillId="10" borderId="18" xfId="4" applyFont="1" applyFill="1" applyBorder="1" applyAlignment="1">
      <alignment horizontal="center" vertical="center" wrapText="1"/>
    </xf>
    <xf numFmtId="178" fontId="14" fillId="3" borderId="19" xfId="4" applyFont="1" applyFill="1" applyBorder="1" applyAlignment="1">
      <alignment horizontal="center" vertical="center" wrapText="1"/>
    </xf>
    <xf numFmtId="178" fontId="14" fillId="11" borderId="20" xfId="4" applyFont="1" applyFill="1" applyBorder="1" applyAlignment="1">
      <alignment horizontal="center" vertical="center" wrapText="1"/>
    </xf>
    <xf numFmtId="0" fontId="14" fillId="12" borderId="21" xfId="0" applyFont="1" applyFill="1" applyBorder="1" applyAlignment="1" applyProtection="1">
      <alignment horizontal="center" vertical="center" wrapText="1"/>
      <protection locked="0"/>
    </xf>
    <xf numFmtId="178" fontId="14" fillId="8" borderId="21" xfId="4" applyFont="1" applyFill="1" applyBorder="1" applyAlignment="1">
      <alignment horizontal="center" vertical="center" wrapText="1"/>
    </xf>
    <xf numFmtId="178" fontId="14" fillId="12" borderId="8" xfId="4" applyFont="1" applyFill="1" applyBorder="1" applyAlignment="1">
      <alignment horizontal="center" vertical="center" wrapText="1"/>
    </xf>
    <xf numFmtId="0" fontId="15" fillId="3" borderId="22" xfId="0" applyFont="1" applyFill="1" applyBorder="1" applyAlignment="1">
      <alignment horizontal="center" vertical="center" wrapText="1"/>
    </xf>
    <xf numFmtId="0" fontId="15" fillId="13" borderId="22" xfId="0" applyFont="1" applyFill="1" applyBorder="1" applyAlignment="1">
      <alignment horizontal="center" vertical="center" wrapText="1"/>
    </xf>
    <xf numFmtId="0" fontId="15" fillId="12" borderId="23" xfId="0" applyFont="1" applyFill="1" applyBorder="1" applyAlignment="1">
      <alignment horizontal="center" vertical="center" wrapText="1"/>
    </xf>
    <xf numFmtId="0" fontId="15" fillId="14" borderId="24" xfId="0" applyFont="1" applyFill="1" applyBorder="1" applyAlignment="1">
      <alignment horizontal="center" vertical="center" wrapText="1"/>
    </xf>
    <xf numFmtId="0" fontId="15" fillId="15" borderId="24"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16" borderId="6" xfId="0" applyFont="1" applyFill="1" applyBorder="1" applyAlignment="1">
      <alignment horizontal="center" vertical="center" wrapText="1"/>
    </xf>
    <xf numFmtId="0" fontId="15" fillId="16" borderId="24" xfId="0" applyFont="1" applyFill="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4" fillId="0" borderId="2" xfId="0" applyFont="1" applyBorder="1" applyAlignment="1">
      <alignment horizontal="center" vertical="center"/>
    </xf>
    <xf numFmtId="180" fontId="6" fillId="0" borderId="25" xfId="4" applyNumberFormat="1" applyFont="1" applyBorder="1" applyAlignment="1">
      <alignment horizontal="center" vertical="center" wrapText="1"/>
    </xf>
    <xf numFmtId="180" fontId="4" fillId="0" borderId="25" xfId="4" applyNumberFormat="1" applyFont="1" applyBorder="1" applyAlignment="1">
      <alignment horizontal="center" vertical="center" wrapText="1"/>
    </xf>
    <xf numFmtId="180" fontId="4" fillId="0" borderId="1" xfId="4" applyNumberFormat="1" applyFont="1" applyFill="1" applyBorder="1" applyAlignment="1">
      <alignment horizontal="center" vertical="center"/>
    </xf>
    <xf numFmtId="180" fontId="4" fillId="0" borderId="2" xfId="4" applyNumberFormat="1" applyFont="1" applyFill="1" applyBorder="1" applyAlignment="1">
      <alignment horizontal="center" vertical="center"/>
    </xf>
    <xf numFmtId="180" fontId="4" fillId="0" borderId="26" xfId="4" applyNumberFormat="1" applyFont="1" applyFill="1" applyBorder="1" applyAlignment="1">
      <alignment horizontal="center" vertical="center"/>
    </xf>
    <xf numFmtId="180" fontId="4" fillId="0" borderId="27" xfId="4" applyNumberFormat="1" applyFont="1" applyFill="1" applyBorder="1" applyAlignment="1">
      <alignment horizontal="center" vertical="center"/>
    </xf>
    <xf numFmtId="180" fontId="4" fillId="0" borderId="28" xfId="4" applyNumberFormat="1" applyFont="1" applyFill="1" applyBorder="1" applyAlignment="1">
      <alignment horizontal="center" vertical="center"/>
    </xf>
    <xf numFmtId="180" fontId="4" fillId="0" borderId="0" xfId="4" applyNumberFormat="1" applyFont="1" applyFill="1" applyBorder="1" applyAlignment="1">
      <alignment horizontal="center" vertical="center"/>
    </xf>
    <xf numFmtId="180" fontId="16" fillId="0" borderId="29" xfId="0" applyNumberFormat="1" applyFont="1" applyFill="1" applyBorder="1" applyAlignment="1">
      <alignment vertical="center" wrapText="1"/>
    </xf>
    <xf numFmtId="180" fontId="16" fillId="0" borderId="0" xfId="0" applyNumberFormat="1" applyFont="1" applyFill="1" applyBorder="1" applyAlignment="1">
      <alignment vertical="center" wrapText="1"/>
    </xf>
    <xf numFmtId="180" fontId="16" fillId="0" borderId="0" xfId="2" applyNumberFormat="1" applyFont="1" applyFill="1" applyBorder="1" applyAlignment="1">
      <alignment horizontal="center" vertical="center" wrapText="1"/>
    </xf>
    <xf numFmtId="180" fontId="16" fillId="0" borderId="30" xfId="2" applyNumberFormat="1" applyFont="1" applyFill="1" applyBorder="1" applyAlignment="1">
      <alignment horizontal="center" vertical="center" wrapText="1"/>
    </xf>
    <xf numFmtId="180" fontId="6" fillId="0" borderId="26" xfId="4" applyNumberFormat="1" applyFont="1" applyBorder="1" applyAlignment="1">
      <alignment horizontal="center" vertical="center" wrapText="1"/>
    </xf>
    <xf numFmtId="180" fontId="4" fillId="0" borderId="26" xfId="4" applyNumberFormat="1" applyFont="1" applyBorder="1" applyAlignment="1">
      <alignment horizontal="center" vertical="center" wrapText="1"/>
    </xf>
    <xf numFmtId="180" fontId="4" fillId="0" borderId="1" xfId="4" applyNumberFormat="1" applyFont="1" applyFill="1" applyBorder="1" applyAlignment="1" applyProtection="1">
      <alignment horizontal="center" vertical="center"/>
      <protection locked="0"/>
    </xf>
    <xf numFmtId="180" fontId="4" fillId="0" borderId="1" xfId="0" applyNumberFormat="1" applyFont="1" applyBorder="1" applyAlignment="1">
      <alignment horizontal="center" vertical="center"/>
    </xf>
    <xf numFmtId="180" fontId="17" fillId="0" borderId="26" xfId="4" applyNumberFormat="1" applyFont="1" applyBorder="1" applyAlignment="1">
      <alignment horizontal="center" vertical="center" wrapText="1"/>
    </xf>
    <xf numFmtId="180" fontId="4" fillId="0" borderId="19" xfId="4" applyNumberFormat="1" applyFont="1" applyFill="1" applyBorder="1" applyAlignment="1" applyProtection="1">
      <alignment horizontal="center" vertical="center"/>
      <protection locked="0"/>
    </xf>
    <xf numFmtId="180" fontId="4" fillId="0" borderId="19" xfId="0" applyNumberFormat="1" applyFont="1" applyBorder="1" applyAlignment="1">
      <alignment horizontal="center" vertical="center"/>
    </xf>
    <xf numFmtId="180" fontId="17" fillId="0" borderId="26" xfId="4" applyNumberFormat="1" applyFont="1" applyFill="1" applyBorder="1" applyAlignment="1">
      <alignment horizontal="center" vertical="center"/>
    </xf>
    <xf numFmtId="180" fontId="4" fillId="0" borderId="1" xfId="0" applyNumberFormat="1" applyFont="1" applyBorder="1" applyAlignment="1" applyProtection="1">
      <alignment horizontal="center" vertical="center"/>
      <protection locked="0"/>
    </xf>
    <xf numFmtId="180" fontId="4" fillId="0" borderId="31" xfId="4" applyNumberFormat="1" applyFont="1" applyFill="1" applyBorder="1" applyAlignment="1">
      <alignment horizontal="center" vertical="center" wrapText="1"/>
    </xf>
    <xf numFmtId="180" fontId="4" fillId="0" borderId="31" xfId="4" applyNumberFormat="1" applyFont="1" applyFill="1" applyBorder="1" applyAlignment="1">
      <alignment horizontal="center" vertical="center"/>
    </xf>
    <xf numFmtId="180" fontId="4" fillId="0" borderId="18" xfId="4" applyNumberFormat="1" applyFont="1" applyFill="1" applyBorder="1" applyAlignment="1">
      <alignment horizontal="center" vertical="center"/>
    </xf>
    <xf numFmtId="180" fontId="16" fillId="0" borderId="14" xfId="0" applyNumberFormat="1" applyFont="1" applyFill="1" applyBorder="1" applyAlignment="1">
      <alignment vertical="center" wrapText="1"/>
    </xf>
    <xf numFmtId="180" fontId="16" fillId="0" borderId="32" xfId="0" applyNumberFormat="1" applyFont="1" applyFill="1" applyBorder="1" applyAlignment="1">
      <alignment vertical="center" wrapText="1"/>
    </xf>
    <xf numFmtId="180" fontId="16" fillId="0" borderId="32" xfId="2" applyNumberFormat="1" applyFont="1" applyFill="1" applyBorder="1" applyAlignment="1">
      <alignment horizontal="center" vertical="center" wrapText="1"/>
    </xf>
    <xf numFmtId="180" fontId="16" fillId="0" borderId="15" xfId="2" applyNumberFormat="1" applyFont="1" applyFill="1" applyBorder="1" applyAlignment="1">
      <alignment horizontal="center" vertical="center" wrapText="1"/>
    </xf>
    <xf numFmtId="180" fontId="11" fillId="9" borderId="7" xfId="0" applyNumberFormat="1" applyFont="1" applyFill="1" applyBorder="1" applyAlignment="1">
      <alignment horizontal="right" vertical="center"/>
    </xf>
    <xf numFmtId="180" fontId="11" fillId="9" borderId="5" xfId="0" applyNumberFormat="1" applyFont="1" applyFill="1" applyBorder="1" applyAlignment="1">
      <alignment horizontal="right" vertical="center"/>
    </xf>
    <xf numFmtId="180" fontId="11" fillId="9" borderId="7" xfId="4" applyNumberFormat="1" applyFont="1" applyFill="1" applyBorder="1" applyAlignment="1">
      <alignment horizontal="center" vertical="center"/>
    </xf>
    <xf numFmtId="180" fontId="11" fillId="9" borderId="6" xfId="4" applyNumberFormat="1" applyFont="1" applyFill="1" applyBorder="1" applyAlignment="1">
      <alignment horizontal="center" vertical="center"/>
    </xf>
    <xf numFmtId="180" fontId="14" fillId="0" borderId="0" xfId="0" applyNumberFormat="1" applyFont="1" applyBorder="1" applyAlignment="1">
      <alignment horizontal="center" vertical="center"/>
    </xf>
    <xf numFmtId="180" fontId="16" fillId="0" borderId="0" xfId="0" applyNumberFormat="1" applyFont="1" applyFill="1" applyAlignment="1">
      <alignment vertical="center" wrapText="1"/>
    </xf>
    <xf numFmtId="180" fontId="16" fillId="0" borderId="0" xfId="2" applyNumberFormat="1" applyFont="1" applyFill="1" applyAlignment="1">
      <alignment horizontal="center" vertical="center" wrapText="1"/>
    </xf>
    <xf numFmtId="0" fontId="14" fillId="0" borderId="0" xfId="0" applyFont="1" applyAlignment="1">
      <alignment vertical="center"/>
    </xf>
    <xf numFmtId="0" fontId="14" fillId="0" borderId="0" xfId="0" applyFont="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left" vertical="center"/>
    </xf>
    <xf numFmtId="0" fontId="16" fillId="0" borderId="0" xfId="0" applyFont="1" applyFill="1" applyBorder="1" applyAlignment="1">
      <alignment vertical="center"/>
    </xf>
    <xf numFmtId="180" fontId="16" fillId="0" borderId="0" xfId="2" applyNumberFormat="1" applyFont="1" applyFill="1" applyBorder="1" applyAlignment="1">
      <alignment horizontal="center" vertical="center"/>
    </xf>
    <xf numFmtId="0" fontId="18" fillId="0" borderId="0" xfId="0" applyFont="1" applyBorder="1" applyAlignment="1">
      <alignment vertical="top" wrapText="1"/>
    </xf>
    <xf numFmtId="0" fontId="18" fillId="0" borderId="0" xfId="0" applyFont="1" applyFill="1" applyBorder="1" applyAlignment="1">
      <alignment horizontal="left" vertical="top" wrapText="1"/>
    </xf>
    <xf numFmtId="0" fontId="19" fillId="0" borderId="0" xfId="0" applyFont="1" applyBorder="1" applyAlignment="1">
      <alignment vertical="top" wrapText="1"/>
    </xf>
    <xf numFmtId="0" fontId="12" fillId="0" borderId="0" xfId="0" applyFont="1" applyBorder="1" applyAlignment="1">
      <alignment vertical="center"/>
    </xf>
    <xf numFmtId="180" fontId="12" fillId="0" borderId="0" xfId="2" applyNumberFormat="1" applyFont="1" applyBorder="1" applyAlignment="1">
      <alignment horizontal="center" vertical="center"/>
    </xf>
    <xf numFmtId="181" fontId="4" fillId="0" borderId="0" xfId="3" applyNumberFormat="1" applyFont="1" applyFill="1" applyAlignment="1">
      <alignment horizontal="center"/>
    </xf>
  </cellXfs>
  <cellStyles count="51">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10" xfId="49"/>
    <cellStyle name="Porcentaje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1828800</xdr:colOff>
      <xdr:row>0</xdr:row>
      <xdr:rowOff>47625</xdr:rowOff>
    </xdr:from>
    <xdr:to>
      <xdr:col>3</xdr:col>
      <xdr:colOff>495300</xdr:colOff>
      <xdr:row>0</xdr:row>
      <xdr:rowOff>729821</xdr:rowOff>
    </xdr:to>
    <xdr:pic>
      <xdr:nvPicPr>
        <xdr:cNvPr id="2" name="Imagen 3"/>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2249805" y="47625"/>
          <a:ext cx="821690" cy="681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hyperlink" Target="https://www.secop.gov.co/CO1BusinessLine/Tendering/ContractNoticeView/Index?notice=CO1.NTC.1015512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7" tint="0.399975585192419"/>
  </sheetPr>
  <dimension ref="A1:AU44"/>
  <sheetViews>
    <sheetView showGridLines="0" tabSelected="1" zoomScaleSheetLayoutView="130" topLeftCell="E1" workbookViewId="0">
      <selection activeCell="P10" sqref="P10"/>
    </sheetView>
  </sheetViews>
  <sheetFormatPr defaultColWidth="11.4259259259259" defaultRowHeight="13.2"/>
  <cols>
    <col min="1" max="1" width="1.42592592592593" style="32" customWidth="1"/>
    <col min="2" max="2" width="4.71296296296296" style="13" customWidth="1"/>
    <col min="3" max="3" width="31.4259259259259" style="33" customWidth="1"/>
    <col min="4" max="4" width="9.13888888888889" style="33" customWidth="1"/>
    <col min="5" max="5" width="9.13888888888889" style="13" customWidth="1"/>
    <col min="6" max="7" width="13.4259259259259" style="34" customWidth="1"/>
    <col min="8" max="8" width="13.4259259259259" style="35" customWidth="1"/>
    <col min="9" max="9" width="13" style="34" customWidth="1"/>
    <col min="10" max="11" width="14.1388888888889" style="34" customWidth="1"/>
    <col min="12" max="12" width="13.1388888888889" style="34" customWidth="1"/>
    <col min="13" max="13" width="14.712962962963" style="34" customWidth="1"/>
    <col min="14" max="14" width="14" style="34" customWidth="1"/>
    <col min="15" max="15" width="13.4259259259259" style="34" customWidth="1"/>
    <col min="16" max="17" width="15.712962962963" style="36" customWidth="1"/>
    <col min="18" max="18" width="3" style="36" customWidth="1"/>
    <col min="19" max="19" width="11.5740740740741" style="32" customWidth="1"/>
    <col min="20" max="21" width="11.4259259259259" style="32" customWidth="1"/>
    <col min="22" max="22" width="12.4259259259259" style="32" customWidth="1"/>
    <col min="23" max="23" width="12.5740740740741" style="32" customWidth="1"/>
    <col min="24" max="24" width="11.4259259259259" style="32" customWidth="1"/>
    <col min="25" max="25" width="1.85185185185185" style="37" customWidth="1"/>
    <col min="26" max="26" width="11.4259259259259" style="37" customWidth="1"/>
    <col min="27" max="27" width="11.5740740740741" style="36" customWidth="1"/>
    <col min="28" max="16384" width="11.4259259259259" style="32"/>
  </cols>
  <sheetData>
    <row r="1" s="28" customFormat="1" ht="57.75" customHeight="1" spans="1:47">
      <c r="A1" s="38" t="s">
        <v>0</v>
      </c>
      <c r="B1" s="38"/>
      <c r="C1" s="38"/>
      <c r="D1" s="38"/>
      <c r="E1" s="38"/>
      <c r="F1" s="38"/>
      <c r="G1" s="38"/>
      <c r="H1" s="38"/>
      <c r="I1" s="38"/>
      <c r="J1" s="38"/>
      <c r="K1" s="38"/>
      <c r="L1" s="38"/>
      <c r="M1" s="38"/>
      <c r="N1" s="38"/>
      <c r="O1" s="38"/>
      <c r="P1" s="38"/>
      <c r="Q1" s="38"/>
      <c r="R1" s="39"/>
      <c r="S1" s="39"/>
      <c r="T1" s="39"/>
      <c r="U1" s="39"/>
      <c r="V1" s="39"/>
      <c r="W1" s="39"/>
      <c r="X1" s="39"/>
      <c r="Y1" s="39"/>
      <c r="Z1" s="39"/>
      <c r="AA1" s="39"/>
      <c r="AC1" s="40"/>
      <c r="AD1" s="41"/>
      <c r="AE1" s="41"/>
      <c r="AF1" s="41"/>
      <c r="AG1" s="40"/>
      <c r="AH1" s="41"/>
      <c r="AI1" s="41"/>
      <c r="AJ1" s="41"/>
      <c r="AK1" s="40"/>
      <c r="AL1" s="41"/>
      <c r="AM1" s="41"/>
      <c r="AN1" s="40"/>
      <c r="AO1" s="40"/>
      <c r="AP1" s="41"/>
      <c r="AQ1" s="41"/>
      <c r="AR1" s="40"/>
      <c r="AS1" s="40"/>
      <c r="AT1" s="41"/>
      <c r="AU1" s="41"/>
    </row>
    <row r="2" ht="36.75" customHeight="1" spans="1:47">
      <c r="A2" s="38" t="s">
        <v>1</v>
      </c>
      <c r="B2" s="38"/>
      <c r="C2" s="38"/>
      <c r="D2" s="38"/>
      <c r="E2" s="38"/>
      <c r="F2" s="38"/>
      <c r="G2" s="38"/>
      <c r="H2" s="38"/>
      <c r="I2" s="38"/>
      <c r="J2" s="38"/>
      <c r="K2" s="38"/>
      <c r="L2" s="38"/>
      <c r="M2" s="38"/>
      <c r="N2" s="38"/>
      <c r="O2" s="38"/>
      <c r="P2" s="38"/>
      <c r="Q2" s="38"/>
    </row>
    <row r="4" ht="13.8" spans="1:47">
      <c r="D4" s="42">
        <v>2025</v>
      </c>
      <c r="E4" s="43">
        <v>0.051</v>
      </c>
      <c r="G4" s="33"/>
    </row>
    <row r="5" ht="13.8" spans="1:47">
      <c r="D5" s="44">
        <v>46174</v>
      </c>
      <c r="E5" s="43">
        <v>0.0614</v>
      </c>
    </row>
    <row r="6" ht="14.55" spans="1:47">
      <c r="E6" s="45"/>
    </row>
    <row r="7" ht="59.25" customHeight="1" spans="1:47">
      <c r="B7" s="46" t="s">
        <v>2</v>
      </c>
      <c r="C7" s="46" t="s">
        <v>3</v>
      </c>
      <c r="D7" s="46" t="s">
        <v>4</v>
      </c>
      <c r="E7" s="46" t="s">
        <v>5</v>
      </c>
      <c r="F7" s="47" t="s">
        <v>6</v>
      </c>
      <c r="G7" s="47"/>
      <c r="H7" s="48"/>
      <c r="I7" s="49" t="s">
        <v>7</v>
      </c>
      <c r="J7" s="50"/>
      <c r="K7" s="51"/>
      <c r="L7" s="49" t="s">
        <v>8</v>
      </c>
      <c r="M7" s="50"/>
      <c r="N7" s="51"/>
      <c r="O7" s="52" t="s">
        <v>9</v>
      </c>
      <c r="P7" s="53" t="s">
        <v>10</v>
      </c>
      <c r="Q7" s="54"/>
      <c r="R7" s="55"/>
      <c r="AA7" s="55"/>
    </row>
    <row r="8" s="29" customFormat="1" ht="33.75" customHeight="1" spans="1:47">
      <c r="B8" s="46"/>
      <c r="C8" s="46"/>
      <c r="D8" s="46"/>
      <c r="E8" s="46"/>
      <c r="F8" s="56" t="s">
        <v>11</v>
      </c>
      <c r="G8" s="56" t="s">
        <v>11</v>
      </c>
      <c r="H8" s="56" t="s">
        <v>11</v>
      </c>
      <c r="I8" s="57" t="s">
        <v>12</v>
      </c>
      <c r="J8" s="57" t="s">
        <v>12</v>
      </c>
      <c r="K8" s="58" t="s">
        <v>13</v>
      </c>
      <c r="L8" s="57" t="s">
        <v>12</v>
      </c>
      <c r="M8" s="57" t="s">
        <v>12</v>
      </c>
      <c r="N8" s="58" t="s">
        <v>14</v>
      </c>
      <c r="O8" s="59"/>
      <c r="P8" s="60"/>
      <c r="Q8" s="61"/>
      <c r="R8" s="55"/>
      <c r="Y8" s="62"/>
      <c r="Z8" s="63" t="s">
        <v>15</v>
      </c>
      <c r="AA8" s="64"/>
      <c r="AB8" s="65"/>
    </row>
    <row r="9" s="29" customFormat="1" ht="24.75" spans="1:47">
      <c r="B9" s="46"/>
      <c r="C9" s="46"/>
      <c r="D9" s="46"/>
      <c r="E9" s="46"/>
      <c r="F9" s="66" t="s">
        <v>16</v>
      </c>
      <c r="G9" s="67" t="s">
        <v>17</v>
      </c>
      <c r="H9" s="68" t="s">
        <v>18</v>
      </c>
      <c r="I9" s="69"/>
      <c r="J9" s="70" t="s">
        <v>19</v>
      </c>
      <c r="K9" s="71"/>
      <c r="L9" s="69"/>
      <c r="M9" s="70" t="s">
        <v>19</v>
      </c>
      <c r="N9" s="71"/>
      <c r="O9" s="72"/>
      <c r="P9" s="73" t="s">
        <v>20</v>
      </c>
      <c r="Q9" s="73" t="s">
        <v>21</v>
      </c>
      <c r="R9" s="55"/>
      <c r="S9" s="74" t="s">
        <v>22</v>
      </c>
      <c r="T9" s="75" t="s">
        <v>23</v>
      </c>
      <c r="U9" s="76" t="s">
        <v>24</v>
      </c>
      <c r="V9" s="77" t="s">
        <v>25</v>
      </c>
      <c r="W9" s="78" t="s">
        <v>26</v>
      </c>
      <c r="X9" s="78" t="s">
        <v>27</v>
      </c>
      <c r="Y9" s="79"/>
      <c r="Z9" s="74" t="s">
        <v>22</v>
      </c>
      <c r="AA9" s="80" t="s">
        <v>28</v>
      </c>
      <c r="AB9" s="81" t="s">
        <v>29</v>
      </c>
    </row>
    <row r="10" s="29" customFormat="1" ht="40.8" spans="1:47">
      <c r="B10" s="82">
        <v>1</v>
      </c>
      <c r="C10" s="19" t="s">
        <v>30</v>
      </c>
      <c r="D10" s="83" t="s">
        <v>31</v>
      </c>
      <c r="E10" s="84">
        <v>36</v>
      </c>
      <c r="F10" s="85">
        <v>180000</v>
      </c>
      <c r="G10" s="85">
        <v>220000</v>
      </c>
      <c r="H10" s="86">
        <v>100000</v>
      </c>
      <c r="I10" s="87">
        <v>77167</v>
      </c>
      <c r="J10" s="88">
        <f>I10+35080+35080</f>
        <v>147327</v>
      </c>
      <c r="K10" s="89">
        <f>ROUND(J10*((1+$E$4)*(1+$E$5)),0)</f>
        <v>164348</v>
      </c>
      <c r="L10" s="87">
        <v>81080</v>
      </c>
      <c r="M10" s="88">
        <f t="shared" ref="M10:M25" si="0">L10+35000+35000</f>
        <v>151080</v>
      </c>
      <c r="N10" s="89">
        <f>ROUND(M10*(1+E$5),0)</f>
        <v>160356</v>
      </c>
      <c r="O10" s="89">
        <v>123950</v>
      </c>
      <c r="P10" s="90">
        <f>MIN(S10:V10)</f>
        <v>148186</v>
      </c>
      <c r="Q10" s="91">
        <f>P10*E10</f>
        <v>5334696</v>
      </c>
      <c r="R10" s="92"/>
      <c r="S10" s="93">
        <f>ROUND(AVERAGE(F10,G10,H10,K10,N10,O10),0)</f>
        <v>158109</v>
      </c>
      <c r="T10" s="94">
        <f>ROUND(HARMEAN(F10,G10,H10,K10,N10,O10),0)</f>
        <v>148186</v>
      </c>
      <c r="U10" s="95">
        <f>ROUND(MEDIAN(F10,G10,H10,K10,N10,O10),0)</f>
        <v>162352</v>
      </c>
      <c r="V10" s="95">
        <f>ROUND(GEOMEAN(F10,G10,H10,K10,N10,O10),0)</f>
        <v>153214</v>
      </c>
      <c r="W10" s="95">
        <f>MIN(F10,G10,H10,K10,N10,O10)</f>
        <v>100000</v>
      </c>
      <c r="X10" s="96">
        <f>MAX(F10,G10,H10,K10,N10,O10)</f>
        <v>220000</v>
      </c>
      <c r="Y10" s="95"/>
      <c r="Z10" s="92">
        <f>ROUND(AVERAGE(F10,G10,H10,K10,N10,O10),0)</f>
        <v>158109</v>
      </c>
      <c r="AA10" s="92">
        <f>ROUND(Z10+(Z10*50%),0)</f>
        <v>237164</v>
      </c>
      <c r="AB10" s="92">
        <f>ROUND(Z10-(Z10*50%),0)</f>
        <v>79055</v>
      </c>
    </row>
    <row r="11" s="29" customFormat="1" ht="40.8" spans="1:47">
      <c r="B11" s="82">
        <v>2</v>
      </c>
      <c r="C11" s="22" t="s">
        <v>32</v>
      </c>
      <c r="D11" s="83" t="s">
        <v>31</v>
      </c>
      <c r="E11" s="84">
        <v>3</v>
      </c>
      <c r="F11" s="97">
        <v>156900</v>
      </c>
      <c r="G11" s="97">
        <v>160000</v>
      </c>
      <c r="H11" s="98">
        <v>105000</v>
      </c>
      <c r="I11" s="99">
        <v>59701</v>
      </c>
      <c r="J11" s="88">
        <f t="shared" ref="J11:J25" si="1">I11+35080+35080</f>
        <v>129861</v>
      </c>
      <c r="K11" s="89">
        <f t="shared" ref="K11:K35" si="2">ROUND(J11*((1+$E$4)*(1+$E$5)),0)</f>
        <v>144864</v>
      </c>
      <c r="L11" s="100">
        <v>62805</v>
      </c>
      <c r="M11" s="88">
        <f t="shared" si="0"/>
        <v>132805</v>
      </c>
      <c r="N11" s="89">
        <f>ROUND(M11*(1+E$5),0)</f>
        <v>140959</v>
      </c>
      <c r="O11" s="89">
        <v>91450</v>
      </c>
      <c r="P11" s="90">
        <f>MIN(S11:V11)</f>
        <v>127444</v>
      </c>
      <c r="Q11" s="91">
        <f t="shared" ref="Q11:Q36" si="3">P11*E11</f>
        <v>382332</v>
      </c>
      <c r="R11" s="92"/>
      <c r="S11" s="93">
        <f t="shared" ref="S11:S19" si="4">ROUND(AVERAGE(F11,G11,H11,K11,N11,O11),0)</f>
        <v>133196</v>
      </c>
      <c r="T11" s="94">
        <f t="shared" ref="T11:T19" si="5">ROUND(HARMEAN(F11,G11,H11,K11,N11,O11),0)</f>
        <v>127444</v>
      </c>
      <c r="U11" s="95">
        <f t="shared" ref="U11:U19" si="6">ROUND(MEDIAN(F11,G11,H11,K11,N11,O11),0)</f>
        <v>142912</v>
      </c>
      <c r="V11" s="95">
        <f t="shared" ref="V11:V19" si="7">ROUND(GEOMEAN(F11,G11,H11,K11,N11,O11),0)</f>
        <v>130425</v>
      </c>
      <c r="W11" s="95">
        <f t="shared" ref="W11:W19" si="8">MIN(F11,G11,H11,K11,N11,O11)</f>
        <v>91450</v>
      </c>
      <c r="X11" s="96">
        <f t="shared" ref="X11:X19" si="9">MAX(F11,G11,H11,K11,N11,O11)</f>
        <v>160000</v>
      </c>
      <c r="Y11" s="95"/>
      <c r="Z11" s="92">
        <f t="shared" ref="Z11:Z35" si="10">ROUND(AVERAGE(F11,G11,H11,K11,N11,O11),0)</f>
        <v>133196</v>
      </c>
      <c r="AA11" s="92">
        <f t="shared" ref="AA11:AA36" si="11">ROUND(Z11+(Z11*50%),0)</f>
        <v>199794</v>
      </c>
      <c r="AB11" s="92">
        <f t="shared" ref="AB11:AB36" si="12">ROUND(Z11-(Z11*50%),0)</f>
        <v>66598</v>
      </c>
    </row>
    <row r="12" ht="40.8" spans="1:47">
      <c r="B12" s="82">
        <v>3</v>
      </c>
      <c r="C12" s="22" t="s">
        <v>33</v>
      </c>
      <c r="D12" s="83" t="s">
        <v>31</v>
      </c>
      <c r="E12" s="84">
        <v>2</v>
      </c>
      <c r="F12" s="97">
        <v>166150</v>
      </c>
      <c r="G12" s="97">
        <v>160000</v>
      </c>
      <c r="H12" s="98">
        <v>105000</v>
      </c>
      <c r="I12" s="99">
        <v>59701</v>
      </c>
      <c r="J12" s="88">
        <f t="shared" si="1"/>
        <v>129861</v>
      </c>
      <c r="K12" s="89">
        <f t="shared" si="2"/>
        <v>144864</v>
      </c>
      <c r="L12" s="100">
        <v>62805</v>
      </c>
      <c r="M12" s="88">
        <f t="shared" si="0"/>
        <v>132805</v>
      </c>
      <c r="N12" s="89">
        <f t="shared" ref="N12:N35" si="13">ROUND(M12*(1+E$5),0)</f>
        <v>140959</v>
      </c>
      <c r="O12" s="89">
        <v>91400</v>
      </c>
      <c r="P12" s="90">
        <f t="shared" ref="P12:P36" si="14">MIN(S12:V12)</f>
        <v>128395</v>
      </c>
      <c r="Q12" s="91">
        <f t="shared" si="3"/>
        <v>256790</v>
      </c>
      <c r="R12" s="92"/>
      <c r="S12" s="93">
        <f t="shared" si="4"/>
        <v>134729</v>
      </c>
      <c r="T12" s="94">
        <f t="shared" si="5"/>
        <v>128395</v>
      </c>
      <c r="U12" s="95">
        <f t="shared" si="6"/>
        <v>142912</v>
      </c>
      <c r="V12" s="95">
        <f t="shared" si="7"/>
        <v>131664</v>
      </c>
      <c r="W12" s="95">
        <f t="shared" si="8"/>
        <v>91400</v>
      </c>
      <c r="X12" s="96">
        <f t="shared" si="9"/>
        <v>166150</v>
      </c>
      <c r="Y12" s="95"/>
      <c r="Z12" s="92">
        <f t="shared" si="10"/>
        <v>134729</v>
      </c>
      <c r="AA12" s="92">
        <f t="shared" si="11"/>
        <v>202094</v>
      </c>
      <c r="AB12" s="92">
        <f t="shared" si="12"/>
        <v>67365</v>
      </c>
    </row>
    <row r="13" ht="40.8" spans="1:47">
      <c r="B13" s="82">
        <v>4</v>
      </c>
      <c r="C13" s="22" t="s">
        <v>34</v>
      </c>
      <c r="D13" s="83" t="s">
        <v>31</v>
      </c>
      <c r="E13" s="84">
        <v>3</v>
      </c>
      <c r="F13" s="97">
        <v>190450</v>
      </c>
      <c r="G13" s="97">
        <v>160000</v>
      </c>
      <c r="H13" s="98">
        <v>105000</v>
      </c>
      <c r="I13" s="99">
        <v>64794</v>
      </c>
      <c r="J13" s="88">
        <f t="shared" si="1"/>
        <v>134954</v>
      </c>
      <c r="K13" s="89">
        <f t="shared" si="2"/>
        <v>150545</v>
      </c>
      <c r="L13" s="100">
        <v>68163</v>
      </c>
      <c r="M13" s="88">
        <f t="shared" si="0"/>
        <v>138163</v>
      </c>
      <c r="N13" s="89">
        <f t="shared" si="13"/>
        <v>146646</v>
      </c>
      <c r="O13" s="89">
        <v>93250</v>
      </c>
      <c r="P13" s="90">
        <f t="shared" si="14"/>
        <v>132714</v>
      </c>
      <c r="Q13" s="91">
        <f t="shared" si="3"/>
        <v>398142</v>
      </c>
      <c r="R13" s="92"/>
      <c r="S13" s="93">
        <f t="shared" si="4"/>
        <v>140982</v>
      </c>
      <c r="T13" s="94">
        <f t="shared" si="5"/>
        <v>132714</v>
      </c>
      <c r="U13" s="95">
        <f t="shared" si="6"/>
        <v>148596</v>
      </c>
      <c r="V13" s="95">
        <f t="shared" si="7"/>
        <v>136913</v>
      </c>
      <c r="W13" s="95">
        <f t="shared" si="8"/>
        <v>93250</v>
      </c>
      <c r="X13" s="96">
        <f t="shared" si="9"/>
        <v>190450</v>
      </c>
      <c r="Y13" s="95"/>
      <c r="Z13" s="92">
        <f t="shared" si="10"/>
        <v>140982</v>
      </c>
      <c r="AA13" s="92">
        <f t="shared" si="11"/>
        <v>211473</v>
      </c>
      <c r="AB13" s="92">
        <f t="shared" si="12"/>
        <v>70491</v>
      </c>
    </row>
    <row r="14" ht="40.8" spans="1:47">
      <c r="B14" s="82">
        <v>5</v>
      </c>
      <c r="C14" s="22" t="s">
        <v>35</v>
      </c>
      <c r="D14" s="83" t="s">
        <v>31</v>
      </c>
      <c r="E14" s="84">
        <v>2</v>
      </c>
      <c r="F14" s="97">
        <v>198900</v>
      </c>
      <c r="G14" s="97">
        <v>220000</v>
      </c>
      <c r="H14" s="98">
        <v>105000</v>
      </c>
      <c r="I14" s="99">
        <v>59794</v>
      </c>
      <c r="J14" s="88">
        <f t="shared" si="1"/>
        <v>129954</v>
      </c>
      <c r="K14" s="89">
        <f t="shared" si="2"/>
        <v>144968</v>
      </c>
      <c r="L14" s="100">
        <v>62903</v>
      </c>
      <c r="M14" s="88">
        <f t="shared" si="0"/>
        <v>132903</v>
      </c>
      <c r="N14" s="89">
        <f t="shared" si="13"/>
        <v>141063</v>
      </c>
      <c r="O14" s="89">
        <v>91450</v>
      </c>
      <c r="P14" s="90">
        <f t="shared" si="14"/>
        <v>136305</v>
      </c>
      <c r="Q14" s="91">
        <f t="shared" si="3"/>
        <v>272610</v>
      </c>
      <c r="R14" s="92"/>
      <c r="S14" s="93">
        <f t="shared" si="4"/>
        <v>150230</v>
      </c>
      <c r="T14" s="94">
        <f t="shared" si="5"/>
        <v>136305</v>
      </c>
      <c r="U14" s="95">
        <f t="shared" si="6"/>
        <v>143016</v>
      </c>
      <c r="V14" s="95">
        <f t="shared" si="7"/>
        <v>143115</v>
      </c>
      <c r="W14" s="95">
        <f t="shared" si="8"/>
        <v>91450</v>
      </c>
      <c r="X14" s="96">
        <f t="shared" si="9"/>
        <v>220000</v>
      </c>
      <c r="Y14" s="95"/>
      <c r="Z14" s="92">
        <f t="shared" si="10"/>
        <v>150230</v>
      </c>
      <c r="AA14" s="92">
        <f t="shared" si="11"/>
        <v>225345</v>
      </c>
      <c r="AB14" s="92">
        <f t="shared" si="12"/>
        <v>75115</v>
      </c>
    </row>
    <row r="15" ht="40.8" spans="1:47">
      <c r="B15" s="82">
        <v>6</v>
      </c>
      <c r="C15" s="22" t="s">
        <v>36</v>
      </c>
      <c r="D15" s="83" t="s">
        <v>31</v>
      </c>
      <c r="E15" s="84">
        <v>2</v>
      </c>
      <c r="F15" s="97">
        <v>115550</v>
      </c>
      <c r="G15" s="97">
        <v>160000</v>
      </c>
      <c r="H15" s="98">
        <v>105000</v>
      </c>
      <c r="I15" s="99">
        <v>58701</v>
      </c>
      <c r="J15" s="88">
        <f t="shared" si="1"/>
        <v>128861</v>
      </c>
      <c r="K15" s="89">
        <f t="shared" si="2"/>
        <v>143748</v>
      </c>
      <c r="L15" s="100">
        <v>61753</v>
      </c>
      <c r="M15" s="88">
        <f t="shared" si="0"/>
        <v>131753</v>
      </c>
      <c r="N15" s="89">
        <f t="shared" si="13"/>
        <v>139843</v>
      </c>
      <c r="O15" s="89">
        <v>91050</v>
      </c>
      <c r="P15" s="90">
        <f t="shared" si="14"/>
        <v>121167</v>
      </c>
      <c r="Q15" s="91">
        <f t="shared" si="3"/>
        <v>242334</v>
      </c>
      <c r="R15" s="92"/>
      <c r="S15" s="93">
        <f t="shared" si="4"/>
        <v>125865</v>
      </c>
      <c r="T15" s="94">
        <f t="shared" si="5"/>
        <v>121167</v>
      </c>
      <c r="U15" s="95">
        <f t="shared" si="6"/>
        <v>127697</v>
      </c>
      <c r="V15" s="95">
        <f t="shared" si="7"/>
        <v>123528</v>
      </c>
      <c r="W15" s="95">
        <f t="shared" si="8"/>
        <v>91050</v>
      </c>
      <c r="X15" s="96">
        <f t="shared" si="9"/>
        <v>160000</v>
      </c>
      <c r="Y15" s="95"/>
      <c r="Z15" s="92">
        <f t="shared" si="10"/>
        <v>125865</v>
      </c>
      <c r="AA15" s="92">
        <f t="shared" si="11"/>
        <v>188798</v>
      </c>
      <c r="AB15" s="92">
        <f t="shared" si="12"/>
        <v>62933</v>
      </c>
    </row>
    <row r="16" ht="40.8" spans="1:47">
      <c r="B16" s="82">
        <v>7</v>
      </c>
      <c r="C16" s="22" t="s">
        <v>37</v>
      </c>
      <c r="D16" s="83" t="s">
        <v>31</v>
      </c>
      <c r="E16" s="84">
        <v>4</v>
      </c>
      <c r="F16" s="97">
        <v>156250</v>
      </c>
      <c r="G16" s="97">
        <v>160000</v>
      </c>
      <c r="H16" s="98">
        <v>105000</v>
      </c>
      <c r="I16" s="99">
        <v>58701</v>
      </c>
      <c r="J16" s="88">
        <f t="shared" si="1"/>
        <v>128861</v>
      </c>
      <c r="K16" s="89">
        <f t="shared" si="2"/>
        <v>143748</v>
      </c>
      <c r="L16" s="100">
        <v>61753</v>
      </c>
      <c r="M16" s="88">
        <f t="shared" si="0"/>
        <v>131753</v>
      </c>
      <c r="N16" s="89">
        <f t="shared" si="13"/>
        <v>139843</v>
      </c>
      <c r="O16" s="89">
        <v>91050</v>
      </c>
      <c r="P16" s="90">
        <f t="shared" si="14"/>
        <v>126946</v>
      </c>
      <c r="Q16" s="91">
        <f t="shared" si="3"/>
        <v>507784</v>
      </c>
      <c r="R16" s="92"/>
      <c r="S16" s="93">
        <f t="shared" si="4"/>
        <v>132649</v>
      </c>
      <c r="T16" s="94">
        <f t="shared" si="5"/>
        <v>126946</v>
      </c>
      <c r="U16" s="95">
        <f t="shared" si="6"/>
        <v>141796</v>
      </c>
      <c r="V16" s="95">
        <f t="shared" si="7"/>
        <v>129900</v>
      </c>
      <c r="W16" s="95">
        <f t="shared" si="8"/>
        <v>91050</v>
      </c>
      <c r="X16" s="96">
        <f t="shared" si="9"/>
        <v>160000</v>
      </c>
      <c r="Y16" s="95"/>
      <c r="Z16" s="92">
        <f t="shared" si="10"/>
        <v>132649</v>
      </c>
      <c r="AA16" s="92">
        <f t="shared" si="11"/>
        <v>198974</v>
      </c>
      <c r="AB16" s="92">
        <f t="shared" si="12"/>
        <v>66325</v>
      </c>
    </row>
    <row r="17" ht="40.8" spans="2:28">
      <c r="B17" s="82">
        <v>8</v>
      </c>
      <c r="C17" s="22" t="s">
        <v>38</v>
      </c>
      <c r="D17" s="83" t="s">
        <v>31</v>
      </c>
      <c r="E17" s="84">
        <v>2</v>
      </c>
      <c r="F17" s="97">
        <v>196550</v>
      </c>
      <c r="G17" s="97">
        <v>220000</v>
      </c>
      <c r="H17" s="98">
        <v>105000</v>
      </c>
      <c r="I17" s="99">
        <v>58701</v>
      </c>
      <c r="J17" s="88">
        <f t="shared" si="1"/>
        <v>128861</v>
      </c>
      <c r="K17" s="89">
        <f t="shared" si="2"/>
        <v>143748</v>
      </c>
      <c r="L17" s="100">
        <v>61753</v>
      </c>
      <c r="M17" s="88">
        <f t="shared" si="0"/>
        <v>131753</v>
      </c>
      <c r="N17" s="89">
        <f t="shared" si="13"/>
        <v>139843</v>
      </c>
      <c r="O17" s="89">
        <v>91050</v>
      </c>
      <c r="P17" s="90">
        <f t="shared" si="14"/>
        <v>135601</v>
      </c>
      <c r="Q17" s="91">
        <f t="shared" si="3"/>
        <v>271202</v>
      </c>
      <c r="R17" s="92"/>
      <c r="S17" s="93">
        <f t="shared" si="4"/>
        <v>149365</v>
      </c>
      <c r="T17" s="94">
        <f t="shared" si="5"/>
        <v>135601</v>
      </c>
      <c r="U17" s="95">
        <f t="shared" si="6"/>
        <v>141796</v>
      </c>
      <c r="V17" s="95">
        <f t="shared" si="7"/>
        <v>142321</v>
      </c>
      <c r="W17" s="95">
        <f t="shared" si="8"/>
        <v>91050</v>
      </c>
      <c r="X17" s="96">
        <f t="shared" si="9"/>
        <v>220000</v>
      </c>
      <c r="Y17" s="95"/>
      <c r="Z17" s="92">
        <f t="shared" si="10"/>
        <v>149365</v>
      </c>
      <c r="AA17" s="92">
        <f t="shared" si="11"/>
        <v>224048</v>
      </c>
      <c r="AB17" s="92">
        <f t="shared" si="12"/>
        <v>74683</v>
      </c>
    </row>
    <row r="18" ht="40.8" spans="2:28">
      <c r="B18" s="82">
        <v>9</v>
      </c>
      <c r="C18" s="22" t="s">
        <v>39</v>
      </c>
      <c r="D18" s="83" t="s">
        <v>31</v>
      </c>
      <c r="E18" s="84">
        <v>5</v>
      </c>
      <c r="F18" s="97">
        <v>180300</v>
      </c>
      <c r="G18" s="97">
        <v>160000</v>
      </c>
      <c r="H18" s="98">
        <v>105000</v>
      </c>
      <c r="I18" s="99">
        <v>59701</v>
      </c>
      <c r="J18" s="88">
        <f t="shared" si="1"/>
        <v>129861</v>
      </c>
      <c r="K18" s="89">
        <f t="shared" si="2"/>
        <v>144864</v>
      </c>
      <c r="L18" s="100">
        <v>62805</v>
      </c>
      <c r="M18" s="88">
        <f t="shared" si="0"/>
        <v>132805</v>
      </c>
      <c r="N18" s="89">
        <f t="shared" si="13"/>
        <v>140959</v>
      </c>
      <c r="O18" s="89">
        <v>91400</v>
      </c>
      <c r="P18" s="90">
        <f t="shared" si="14"/>
        <v>129706</v>
      </c>
      <c r="Q18" s="91">
        <f t="shared" si="3"/>
        <v>648530</v>
      </c>
      <c r="R18" s="92"/>
      <c r="S18" s="93">
        <f t="shared" si="4"/>
        <v>137087</v>
      </c>
      <c r="T18" s="94">
        <f t="shared" si="5"/>
        <v>129706</v>
      </c>
      <c r="U18" s="95">
        <f t="shared" si="6"/>
        <v>142912</v>
      </c>
      <c r="V18" s="95">
        <f t="shared" si="7"/>
        <v>133470</v>
      </c>
      <c r="W18" s="95">
        <f t="shared" si="8"/>
        <v>91400</v>
      </c>
      <c r="X18" s="96">
        <f t="shared" si="9"/>
        <v>180300</v>
      </c>
      <c r="Y18" s="95"/>
      <c r="Z18" s="92">
        <f t="shared" si="10"/>
        <v>137087</v>
      </c>
      <c r="AA18" s="92">
        <f t="shared" si="11"/>
        <v>205631</v>
      </c>
      <c r="AB18" s="92">
        <f t="shared" si="12"/>
        <v>68544</v>
      </c>
    </row>
    <row r="19" ht="40.8" spans="2:28">
      <c r="B19" s="82">
        <v>10</v>
      </c>
      <c r="C19" s="22" t="s">
        <v>40</v>
      </c>
      <c r="D19" s="83" t="s">
        <v>31</v>
      </c>
      <c r="E19" s="84">
        <v>4</v>
      </c>
      <c r="F19" s="97">
        <v>226400</v>
      </c>
      <c r="G19" s="97">
        <v>220000</v>
      </c>
      <c r="H19" s="98">
        <v>105000</v>
      </c>
      <c r="I19" s="99">
        <v>66044</v>
      </c>
      <c r="J19" s="88">
        <f t="shared" si="1"/>
        <v>136204</v>
      </c>
      <c r="K19" s="89">
        <f t="shared" si="2"/>
        <v>151940</v>
      </c>
      <c r="L19" s="100">
        <v>69478</v>
      </c>
      <c r="M19" s="88">
        <f t="shared" si="0"/>
        <v>139478</v>
      </c>
      <c r="N19" s="89">
        <f t="shared" si="13"/>
        <v>148042</v>
      </c>
      <c r="O19" s="89">
        <v>95450</v>
      </c>
      <c r="P19" s="90">
        <f t="shared" si="14"/>
        <v>141846</v>
      </c>
      <c r="Q19" s="91">
        <f t="shared" si="3"/>
        <v>567384</v>
      </c>
      <c r="R19" s="92"/>
      <c r="S19" s="93">
        <f t="shared" si="4"/>
        <v>157805</v>
      </c>
      <c r="T19" s="94">
        <f t="shared" si="5"/>
        <v>141846</v>
      </c>
      <c r="U19" s="95">
        <f t="shared" si="6"/>
        <v>149991</v>
      </c>
      <c r="V19" s="95">
        <f t="shared" si="7"/>
        <v>149642</v>
      </c>
      <c r="W19" s="95">
        <f t="shared" si="8"/>
        <v>95450</v>
      </c>
      <c r="X19" s="96">
        <f t="shared" si="9"/>
        <v>226400</v>
      </c>
      <c r="Y19" s="95"/>
      <c r="Z19" s="92">
        <f t="shared" si="10"/>
        <v>157805</v>
      </c>
      <c r="AA19" s="92">
        <f t="shared" si="11"/>
        <v>236708</v>
      </c>
      <c r="AB19" s="92">
        <f t="shared" si="12"/>
        <v>78903</v>
      </c>
    </row>
    <row r="20" ht="40.8" spans="2:28">
      <c r="B20" s="82">
        <v>11</v>
      </c>
      <c r="C20" s="22" t="s">
        <v>41</v>
      </c>
      <c r="D20" s="83" t="s">
        <v>31</v>
      </c>
      <c r="E20" s="84">
        <v>3</v>
      </c>
      <c r="F20" s="101">
        <v>249350</v>
      </c>
      <c r="G20" s="97">
        <v>220000</v>
      </c>
      <c r="H20" s="98">
        <v>105000</v>
      </c>
      <c r="I20" s="99">
        <v>64951</v>
      </c>
      <c r="J20" s="88">
        <f t="shared" si="1"/>
        <v>135111</v>
      </c>
      <c r="K20" s="89">
        <f t="shared" si="2"/>
        <v>150721</v>
      </c>
      <c r="L20" s="100">
        <v>68328</v>
      </c>
      <c r="M20" s="88">
        <f t="shared" si="0"/>
        <v>138328</v>
      </c>
      <c r="N20" s="89">
        <f t="shared" si="13"/>
        <v>146821</v>
      </c>
      <c r="O20" s="89">
        <v>98100</v>
      </c>
      <c r="P20" s="90">
        <f t="shared" si="14"/>
        <v>132595</v>
      </c>
      <c r="Q20" s="91">
        <f t="shared" si="3"/>
        <v>397785</v>
      </c>
      <c r="R20" s="92"/>
      <c r="S20" s="93">
        <f>ROUND(AVERAGE(G20,H20,K20,N20,O20),0)</f>
        <v>144128</v>
      </c>
      <c r="T20" s="94">
        <f>ROUND(HARMEAN(G20,H20,K20,N20,O20),0)</f>
        <v>132595</v>
      </c>
      <c r="U20" s="95">
        <f>ROUND(MEDIAN(G20,H20,K20,N20,O20),0)</f>
        <v>146821</v>
      </c>
      <c r="V20" s="95">
        <f>ROUND(GEOMEAN(G20,H20,K20,N20,O20),0)</f>
        <v>138054</v>
      </c>
      <c r="W20" s="95">
        <f>MIN(G20,H20,K20,N20,O20)</f>
        <v>98100</v>
      </c>
      <c r="X20" s="96">
        <f>MAX(G20,H20,K20,N20,O20)</f>
        <v>220000</v>
      </c>
      <c r="Y20" s="95"/>
      <c r="Z20" s="92">
        <f t="shared" si="10"/>
        <v>161665</v>
      </c>
      <c r="AA20" s="92">
        <f t="shared" si="11"/>
        <v>242498</v>
      </c>
      <c r="AB20" s="92">
        <f t="shared" si="12"/>
        <v>80833</v>
      </c>
    </row>
    <row r="21" ht="40.8" spans="2:28">
      <c r="B21" s="82">
        <v>12</v>
      </c>
      <c r="C21" s="22" t="s">
        <v>42</v>
      </c>
      <c r="D21" s="83" t="s">
        <v>31</v>
      </c>
      <c r="E21" s="84">
        <v>6</v>
      </c>
      <c r="F21" s="97">
        <v>168100</v>
      </c>
      <c r="G21" s="97">
        <v>160000</v>
      </c>
      <c r="H21" s="98">
        <v>105000</v>
      </c>
      <c r="I21" s="99">
        <v>58701</v>
      </c>
      <c r="J21" s="88">
        <f t="shared" si="1"/>
        <v>128861</v>
      </c>
      <c r="K21" s="89">
        <f t="shared" si="2"/>
        <v>143748</v>
      </c>
      <c r="L21" s="100">
        <v>61753</v>
      </c>
      <c r="M21" s="88">
        <f t="shared" si="0"/>
        <v>131753</v>
      </c>
      <c r="N21" s="89">
        <f t="shared" si="13"/>
        <v>139843</v>
      </c>
      <c r="O21" s="89">
        <v>91050</v>
      </c>
      <c r="P21" s="90">
        <f t="shared" si="14"/>
        <v>128169</v>
      </c>
      <c r="Q21" s="91">
        <f t="shared" si="3"/>
        <v>769014</v>
      </c>
      <c r="R21" s="92"/>
      <c r="S21" s="93">
        <f>ROUND(AVERAGE(F21,G21,H21,K21,N21,O21),0)</f>
        <v>134624</v>
      </c>
      <c r="T21" s="94">
        <f>ROUND(HARMEAN(F21,G21,H21,K21,N21,O21),0)</f>
        <v>128169</v>
      </c>
      <c r="U21" s="95">
        <f>ROUND(MEDIAN(F21,G21,H21,K21,N21,O21),0)</f>
        <v>141796</v>
      </c>
      <c r="V21" s="95">
        <f>ROUND(GEOMEAN(F21,G21,H21,K21,N21,O21),0)</f>
        <v>131492</v>
      </c>
      <c r="W21" s="95">
        <f>MIN(F21,G21,H21,K21,N21,O21)</f>
        <v>91050</v>
      </c>
      <c r="X21" s="96">
        <f>MAX(F21,G21,H21,K21,N21,O21)</f>
        <v>168100</v>
      </c>
      <c r="Y21" s="95"/>
      <c r="Z21" s="92">
        <f t="shared" si="10"/>
        <v>134624</v>
      </c>
      <c r="AA21" s="92">
        <f t="shared" si="11"/>
        <v>201936</v>
      </c>
      <c r="AB21" s="92">
        <f t="shared" si="12"/>
        <v>67312</v>
      </c>
    </row>
    <row r="22" ht="40.8" spans="2:28">
      <c r="B22" s="82">
        <v>13</v>
      </c>
      <c r="C22" s="22" t="s">
        <v>43</v>
      </c>
      <c r="D22" s="83" t="s">
        <v>31</v>
      </c>
      <c r="E22" s="84">
        <v>4</v>
      </c>
      <c r="F22" s="97">
        <v>156900</v>
      </c>
      <c r="G22" s="101">
        <v>220000</v>
      </c>
      <c r="H22" s="98">
        <v>105000</v>
      </c>
      <c r="I22" s="102">
        <v>57201</v>
      </c>
      <c r="J22" s="88">
        <f t="shared" si="1"/>
        <v>127361</v>
      </c>
      <c r="K22" s="89">
        <f t="shared" si="2"/>
        <v>142075</v>
      </c>
      <c r="L22" s="103">
        <v>60175</v>
      </c>
      <c r="M22" s="88">
        <f t="shared" si="0"/>
        <v>130175</v>
      </c>
      <c r="N22" s="89">
        <f t="shared" si="13"/>
        <v>138168</v>
      </c>
      <c r="O22" s="89">
        <v>90950</v>
      </c>
      <c r="P22" s="90">
        <f t="shared" si="14"/>
        <v>121452</v>
      </c>
      <c r="Q22" s="91">
        <f t="shared" si="3"/>
        <v>485808</v>
      </c>
      <c r="R22" s="92"/>
      <c r="S22" s="93">
        <f>ROUND(AVERAGE(F22,H22,K22,N22,O22),0)</f>
        <v>126619</v>
      </c>
      <c r="T22" s="94">
        <f>ROUND(HARMEAN(F22,H22,K22,N22,O22),0)</f>
        <v>121452</v>
      </c>
      <c r="U22" s="95">
        <f>ROUND(MEDIAN(F22,H22,K22,N22,O22),0)</f>
        <v>138168</v>
      </c>
      <c r="V22" s="95">
        <f>ROUND(GEOMEAN(F22,H22,K22,N22,O22),0)</f>
        <v>124082</v>
      </c>
      <c r="W22" s="95">
        <f>MIN(F22,H22,K22,N22,O22)</f>
        <v>90950</v>
      </c>
      <c r="X22" s="96">
        <f>MAX(F22,H22,K22,N22,O22)</f>
        <v>156900</v>
      </c>
      <c r="Y22" s="95"/>
      <c r="Z22" s="92">
        <f t="shared" si="10"/>
        <v>142182</v>
      </c>
      <c r="AA22" s="92">
        <f t="shared" si="11"/>
        <v>213273</v>
      </c>
      <c r="AB22" s="92">
        <f t="shared" si="12"/>
        <v>71091</v>
      </c>
    </row>
    <row r="23" ht="40.8" spans="2:28">
      <c r="B23" s="82">
        <v>14</v>
      </c>
      <c r="C23" s="22" t="s">
        <v>44</v>
      </c>
      <c r="D23" s="83" t="s">
        <v>31</v>
      </c>
      <c r="E23" s="84">
        <v>2</v>
      </c>
      <c r="F23" s="97">
        <v>119100</v>
      </c>
      <c r="G23" s="97">
        <v>160000</v>
      </c>
      <c r="H23" s="98">
        <v>105000</v>
      </c>
      <c r="I23" s="99">
        <v>58701</v>
      </c>
      <c r="J23" s="88">
        <f t="shared" si="1"/>
        <v>128861</v>
      </c>
      <c r="K23" s="89">
        <f t="shared" si="2"/>
        <v>143748</v>
      </c>
      <c r="L23" s="103">
        <v>61753</v>
      </c>
      <c r="M23" s="88">
        <f t="shared" si="0"/>
        <v>131753</v>
      </c>
      <c r="N23" s="89">
        <f t="shared" si="13"/>
        <v>139843</v>
      </c>
      <c r="O23" s="89">
        <v>90950</v>
      </c>
      <c r="P23" s="90">
        <f t="shared" si="14"/>
        <v>121771</v>
      </c>
      <c r="Q23" s="91">
        <f t="shared" si="3"/>
        <v>243542</v>
      </c>
      <c r="R23" s="92"/>
      <c r="S23" s="93">
        <f>ROUND(AVERAGE(F23,G23,H23,K23,N23,O23),0)</f>
        <v>126440</v>
      </c>
      <c r="T23" s="94">
        <f>ROUND(HARMEAN(F23,G23,H23,K23,N23,O23),0)</f>
        <v>121771</v>
      </c>
      <c r="U23" s="95">
        <f>ROUND(MEDIAN(F23,G23,H23,K23,N23,O23),0)</f>
        <v>129472</v>
      </c>
      <c r="V23" s="95">
        <f>ROUND(GEOMEAN(F23,G23,H23,K23,N23,O23),0)</f>
        <v>124130</v>
      </c>
      <c r="W23" s="95">
        <f>MIN(F23,G23,H23,K23,N23,O23)</f>
        <v>90950</v>
      </c>
      <c r="X23" s="96">
        <f>MAX(F23,G23,H23,K23,N23,O23)</f>
        <v>160000</v>
      </c>
      <c r="Y23" s="95"/>
      <c r="Z23" s="92">
        <f t="shared" si="10"/>
        <v>126440</v>
      </c>
      <c r="AA23" s="92">
        <f t="shared" si="11"/>
        <v>189660</v>
      </c>
      <c r="AB23" s="92">
        <f t="shared" si="12"/>
        <v>63220</v>
      </c>
    </row>
    <row r="24" ht="40.8" spans="2:28">
      <c r="B24" s="82">
        <v>15</v>
      </c>
      <c r="C24" s="22" t="s">
        <v>45</v>
      </c>
      <c r="D24" s="83" t="s">
        <v>31</v>
      </c>
      <c r="E24" s="84">
        <v>51</v>
      </c>
      <c r="F24" s="97">
        <v>115550</v>
      </c>
      <c r="G24" s="97">
        <v>160000</v>
      </c>
      <c r="H24" s="98">
        <v>100000</v>
      </c>
      <c r="I24" s="99">
        <v>58201</v>
      </c>
      <c r="J24" s="88">
        <f t="shared" si="1"/>
        <v>128361</v>
      </c>
      <c r="K24" s="89">
        <f t="shared" si="2"/>
        <v>143191</v>
      </c>
      <c r="L24" s="103">
        <v>61227</v>
      </c>
      <c r="M24" s="88">
        <f t="shared" si="0"/>
        <v>131227</v>
      </c>
      <c r="N24" s="89">
        <f t="shared" si="13"/>
        <v>139284</v>
      </c>
      <c r="O24" s="89">
        <v>90450</v>
      </c>
      <c r="P24" s="90">
        <f t="shared" si="14"/>
        <v>119705</v>
      </c>
      <c r="Q24" s="91">
        <f t="shared" si="3"/>
        <v>6104955</v>
      </c>
      <c r="R24" s="92"/>
      <c r="S24" s="93">
        <f t="shared" ref="S24:S25" si="15">ROUND(AVERAGE(F24,G24,H24,K24,N24,O24),0)</f>
        <v>124746</v>
      </c>
      <c r="T24" s="94">
        <f t="shared" ref="T24:T25" si="16">ROUND(HARMEAN(F24,G24,H24,K24,N24,O24),0)</f>
        <v>119705</v>
      </c>
      <c r="U24" s="95">
        <f t="shared" ref="U24:U25" si="17">ROUND(MEDIAN(F24,G24,H24,K24,N24,O24),0)</f>
        <v>127417</v>
      </c>
      <c r="V24" s="95">
        <f t="shared" ref="V24:V25" si="18">ROUND(GEOMEAN(F24,G24,H24,K24,N24,O24),0)</f>
        <v>122232</v>
      </c>
      <c r="W24" s="95">
        <f t="shared" ref="W24:W25" si="19">MIN(F24,G24,H24,K24,N24,O24)</f>
        <v>90450</v>
      </c>
      <c r="X24" s="96">
        <f t="shared" ref="X24:X25" si="20">MAX(F24,G24,H24,K24,N24,O24)</f>
        <v>160000</v>
      </c>
      <c r="Y24" s="95"/>
      <c r="Z24" s="92">
        <f t="shared" si="10"/>
        <v>124746</v>
      </c>
      <c r="AA24" s="92">
        <f t="shared" si="11"/>
        <v>187119</v>
      </c>
      <c r="AB24" s="92">
        <f t="shared" si="12"/>
        <v>62373</v>
      </c>
    </row>
    <row r="25" ht="40.8" spans="2:28">
      <c r="B25" s="82">
        <v>16</v>
      </c>
      <c r="C25" s="23" t="s">
        <v>46</v>
      </c>
      <c r="D25" s="83" t="s">
        <v>31</v>
      </c>
      <c r="E25" s="84">
        <v>30</v>
      </c>
      <c r="F25" s="97">
        <v>180000</v>
      </c>
      <c r="G25" s="97">
        <v>220000</v>
      </c>
      <c r="H25" s="98">
        <v>105000</v>
      </c>
      <c r="I25" s="87">
        <v>77167</v>
      </c>
      <c r="J25" s="88">
        <f t="shared" si="1"/>
        <v>147327</v>
      </c>
      <c r="K25" s="89">
        <f t="shared" si="2"/>
        <v>164348</v>
      </c>
      <c r="L25" s="87">
        <f>L10</f>
        <v>81080</v>
      </c>
      <c r="M25" s="88">
        <f t="shared" si="0"/>
        <v>151080</v>
      </c>
      <c r="N25" s="89">
        <f t="shared" si="13"/>
        <v>160356</v>
      </c>
      <c r="O25" s="89">
        <v>90450</v>
      </c>
      <c r="P25" s="90">
        <f t="shared" si="14"/>
        <v>139530</v>
      </c>
      <c r="Q25" s="91">
        <f t="shared" si="3"/>
        <v>4185900</v>
      </c>
      <c r="R25" s="92"/>
      <c r="S25" s="93">
        <f t="shared" si="15"/>
        <v>153359</v>
      </c>
      <c r="T25" s="94">
        <f t="shared" si="16"/>
        <v>139530</v>
      </c>
      <c r="U25" s="95">
        <f t="shared" si="17"/>
        <v>162352</v>
      </c>
      <c r="V25" s="95">
        <f t="shared" si="18"/>
        <v>146563</v>
      </c>
      <c r="W25" s="95">
        <f t="shared" si="19"/>
        <v>90450</v>
      </c>
      <c r="X25" s="96">
        <f t="shared" si="20"/>
        <v>220000</v>
      </c>
      <c r="Y25" s="95"/>
      <c r="Z25" s="92">
        <f t="shared" si="10"/>
        <v>153359</v>
      </c>
      <c r="AA25" s="92">
        <f t="shared" si="11"/>
        <v>230039</v>
      </c>
      <c r="AB25" s="92">
        <f t="shared" si="12"/>
        <v>76680</v>
      </c>
    </row>
    <row r="26" ht="20.4" spans="2:28">
      <c r="B26" s="82">
        <v>17</v>
      </c>
      <c r="C26" s="23" t="s">
        <v>47</v>
      </c>
      <c r="D26" s="83" t="s">
        <v>31</v>
      </c>
      <c r="E26" s="84">
        <v>1</v>
      </c>
      <c r="F26" s="97">
        <v>90000</v>
      </c>
      <c r="G26" s="101">
        <v>150000</v>
      </c>
      <c r="H26" s="98">
        <v>45000</v>
      </c>
      <c r="I26" s="87">
        <v>90669</v>
      </c>
      <c r="J26" s="88">
        <f>I26</f>
        <v>90669</v>
      </c>
      <c r="K26" s="89">
        <f t="shared" si="2"/>
        <v>101144</v>
      </c>
      <c r="L26" s="87">
        <v>95000</v>
      </c>
      <c r="M26" s="88">
        <f>L26</f>
        <v>95000</v>
      </c>
      <c r="N26" s="89">
        <f t="shared" si="13"/>
        <v>100833</v>
      </c>
      <c r="O26" s="104">
        <v>38450</v>
      </c>
      <c r="P26" s="90">
        <f t="shared" si="14"/>
        <v>75276</v>
      </c>
      <c r="Q26" s="91">
        <f t="shared" si="3"/>
        <v>75276</v>
      </c>
      <c r="R26" s="92"/>
      <c r="S26" s="93">
        <f>ROUND(AVERAGE(F26,H26,K26,N26),0)</f>
        <v>84244</v>
      </c>
      <c r="T26" s="94">
        <f>ROUND(HARMEAN(F26,H26,K26,N26),0)</f>
        <v>75276</v>
      </c>
      <c r="U26" s="95">
        <f>ROUND(MEDIAN(F26,H26,K26,N26),0)</f>
        <v>95417</v>
      </c>
      <c r="V26" s="95">
        <f>ROUND(GEOMEAN(F26,H26,K26,N26),0)</f>
        <v>80168</v>
      </c>
      <c r="W26" s="95">
        <f>MIN(F26,H26,K26,N26)</f>
        <v>45000</v>
      </c>
      <c r="X26" s="96">
        <f>MAX(F26,H26,K26,N26)</f>
        <v>101144</v>
      </c>
      <c r="Y26" s="95"/>
      <c r="Z26" s="92">
        <f t="shared" si="10"/>
        <v>87571</v>
      </c>
      <c r="AA26" s="92">
        <f t="shared" si="11"/>
        <v>131357</v>
      </c>
      <c r="AB26" s="92">
        <f t="shared" si="12"/>
        <v>43786</v>
      </c>
    </row>
    <row r="27" ht="75.75" customHeight="1" spans="2:28">
      <c r="B27" s="82">
        <v>18</v>
      </c>
      <c r="C27" s="22" t="s">
        <v>48</v>
      </c>
      <c r="D27" s="83" t="s">
        <v>31</v>
      </c>
      <c r="E27" s="84">
        <v>5</v>
      </c>
      <c r="F27" s="101">
        <v>180000</v>
      </c>
      <c r="G27" s="97">
        <v>150000</v>
      </c>
      <c r="H27" s="98">
        <v>55000</v>
      </c>
      <c r="I27" s="87">
        <v>95669</v>
      </c>
      <c r="J27" s="88">
        <f>I27</f>
        <v>95669</v>
      </c>
      <c r="K27" s="89">
        <f t="shared" si="2"/>
        <v>106722</v>
      </c>
      <c r="L27" s="87">
        <v>95000</v>
      </c>
      <c r="M27" s="88">
        <f t="shared" ref="M27:M35" si="21">L27</f>
        <v>95000</v>
      </c>
      <c r="N27" s="89">
        <f t="shared" si="13"/>
        <v>100833</v>
      </c>
      <c r="O27" s="104">
        <v>37450</v>
      </c>
      <c r="P27" s="90">
        <f t="shared" si="14"/>
        <v>90629</v>
      </c>
      <c r="Q27" s="91">
        <f t="shared" si="3"/>
        <v>453145</v>
      </c>
      <c r="R27" s="92"/>
      <c r="S27" s="93">
        <f>ROUND(AVERAGE(G27,H27,K27,N27),0)</f>
        <v>103139</v>
      </c>
      <c r="T27" s="94">
        <f>ROUND(HARMEAN(G27,H27,K27,N27),0)</f>
        <v>90629</v>
      </c>
      <c r="U27" s="95">
        <f>ROUND(MEDIAN(G27,H27,K27,N27),0)</f>
        <v>103778</v>
      </c>
      <c r="V27" s="95">
        <f>ROUND(GEOMEAN(G27,H27,K27,N27),0)</f>
        <v>97068</v>
      </c>
      <c r="W27" s="95">
        <f>MIN(G27,H27,K27,N27)</f>
        <v>55000</v>
      </c>
      <c r="X27" s="96">
        <f>MAX(G27,H27,K27,N27)</f>
        <v>150000</v>
      </c>
      <c r="Y27" s="95"/>
      <c r="Z27" s="92">
        <f t="shared" si="10"/>
        <v>105001</v>
      </c>
      <c r="AA27" s="92">
        <f t="shared" si="11"/>
        <v>157502</v>
      </c>
      <c r="AB27" s="92">
        <f t="shared" si="12"/>
        <v>52501</v>
      </c>
    </row>
    <row r="28" ht="20.4" spans="2:28">
      <c r="B28" s="82">
        <v>19</v>
      </c>
      <c r="C28" s="22" t="s">
        <v>49</v>
      </c>
      <c r="D28" s="83" t="s">
        <v>31</v>
      </c>
      <c r="E28" s="84">
        <v>5</v>
      </c>
      <c r="F28" s="101">
        <v>180000</v>
      </c>
      <c r="G28" s="101">
        <v>200000</v>
      </c>
      <c r="H28" s="101">
        <v>50000</v>
      </c>
      <c r="I28" s="87">
        <v>100927</v>
      </c>
      <c r="J28" s="88">
        <f>I28</f>
        <v>100927</v>
      </c>
      <c r="K28" s="89">
        <f t="shared" si="2"/>
        <v>112587</v>
      </c>
      <c r="L28" s="87">
        <v>95000</v>
      </c>
      <c r="M28" s="88">
        <f t="shared" si="21"/>
        <v>95000</v>
      </c>
      <c r="N28" s="89">
        <f t="shared" si="13"/>
        <v>100833</v>
      </c>
      <c r="O28" s="104">
        <v>40950</v>
      </c>
      <c r="P28" s="90">
        <f t="shared" si="14"/>
        <v>106386</v>
      </c>
      <c r="Q28" s="91">
        <f t="shared" si="3"/>
        <v>531930</v>
      </c>
      <c r="R28" s="92"/>
      <c r="S28" s="93">
        <f>ROUND(AVERAGE(K28,N28),0)</f>
        <v>106710</v>
      </c>
      <c r="T28" s="94">
        <f>ROUND(HARMEAN(K28,N28),0)</f>
        <v>106386</v>
      </c>
      <c r="U28" s="95">
        <f>ROUND(MEDIAN(K28,N28),0)</f>
        <v>106710</v>
      </c>
      <c r="V28" s="95">
        <f>ROUND(GEOMEAN(K28,N28),0)</f>
        <v>106548</v>
      </c>
      <c r="W28" s="95">
        <f>MIN(K28,N28)</f>
        <v>100833</v>
      </c>
      <c r="X28" s="96">
        <f>MAX(K28,N28)</f>
        <v>112587</v>
      </c>
      <c r="Y28" s="95"/>
      <c r="Z28" s="92">
        <f t="shared" si="10"/>
        <v>114062</v>
      </c>
      <c r="AA28" s="92">
        <f t="shared" si="11"/>
        <v>171093</v>
      </c>
      <c r="AB28" s="92">
        <f t="shared" si="12"/>
        <v>57031</v>
      </c>
    </row>
    <row r="29" ht="40.8" spans="2:28">
      <c r="B29" s="82">
        <v>20</v>
      </c>
      <c r="C29" s="22" t="s">
        <v>50</v>
      </c>
      <c r="D29" s="83" t="s">
        <v>31</v>
      </c>
      <c r="E29" s="84">
        <v>2</v>
      </c>
      <c r="F29" s="97">
        <v>176000</v>
      </c>
      <c r="G29" s="101">
        <v>300000</v>
      </c>
      <c r="H29" s="101">
        <v>48000</v>
      </c>
      <c r="I29" s="87">
        <v>138463</v>
      </c>
      <c r="J29" s="88">
        <f t="shared" ref="J29:J36" si="22">I29</f>
        <v>138463</v>
      </c>
      <c r="K29" s="89">
        <f t="shared" si="2"/>
        <v>154460</v>
      </c>
      <c r="L29" s="87">
        <v>90000</v>
      </c>
      <c r="M29" s="88">
        <f t="shared" si="21"/>
        <v>90000</v>
      </c>
      <c r="N29" s="89">
        <f t="shared" si="13"/>
        <v>95526</v>
      </c>
      <c r="O29" s="104">
        <v>37450</v>
      </c>
      <c r="P29" s="90">
        <f t="shared" si="14"/>
        <v>132601</v>
      </c>
      <c r="Q29" s="91">
        <f t="shared" si="3"/>
        <v>265202</v>
      </c>
      <c r="R29" s="92"/>
      <c r="S29" s="93">
        <f>ROUND(AVERAGE(F29,K29,N29),0)</f>
        <v>141995</v>
      </c>
      <c r="T29" s="94">
        <f>ROUND(HARMEAN(F29,K29,N29),0)</f>
        <v>132601</v>
      </c>
      <c r="U29" s="95">
        <f>ROUND(MEDIAN(F29,K29,N29),0)</f>
        <v>154460</v>
      </c>
      <c r="V29" s="95">
        <f>ROUND(GEOMEAN(F29,K29,N29),0)</f>
        <v>137452</v>
      </c>
      <c r="W29" s="95">
        <f>MIN(F29,K29,N29)</f>
        <v>95526</v>
      </c>
      <c r="X29" s="96">
        <f>MAX(F29,K29,N29)</f>
        <v>176000</v>
      </c>
      <c r="Y29" s="95"/>
      <c r="Z29" s="92">
        <f t="shared" si="10"/>
        <v>135239</v>
      </c>
      <c r="AA29" s="92">
        <f t="shared" si="11"/>
        <v>202859</v>
      </c>
      <c r="AB29" s="92">
        <f t="shared" si="12"/>
        <v>67620</v>
      </c>
    </row>
    <row r="30" ht="20.4" spans="2:28">
      <c r="B30" s="82">
        <v>21</v>
      </c>
      <c r="C30" s="22" t="s">
        <v>51</v>
      </c>
      <c r="D30" s="83" t="s">
        <v>31</v>
      </c>
      <c r="E30" s="84">
        <v>2</v>
      </c>
      <c r="F30" s="97">
        <v>125450</v>
      </c>
      <c r="G30" s="101">
        <v>250000</v>
      </c>
      <c r="H30" s="98">
        <v>55000</v>
      </c>
      <c r="I30" s="105">
        <v>74696</v>
      </c>
      <c r="J30" s="88">
        <f t="shared" si="22"/>
        <v>74696</v>
      </c>
      <c r="K30" s="89">
        <f t="shared" si="2"/>
        <v>83326</v>
      </c>
      <c r="L30" s="87">
        <v>78580</v>
      </c>
      <c r="M30" s="88">
        <f t="shared" si="21"/>
        <v>78580</v>
      </c>
      <c r="N30" s="89">
        <f t="shared" si="13"/>
        <v>83405</v>
      </c>
      <c r="O30" s="104">
        <v>48950</v>
      </c>
      <c r="P30" s="90">
        <f t="shared" si="14"/>
        <v>79770</v>
      </c>
      <c r="Q30" s="91">
        <f t="shared" si="3"/>
        <v>159540</v>
      </c>
      <c r="R30" s="92"/>
      <c r="S30" s="93">
        <f>ROUND(AVERAGE(F30,H30,K30,N30),0)</f>
        <v>86795</v>
      </c>
      <c r="T30" s="94">
        <f>ROUND(HARMEAN(F30,H30,K30,N30),0)</f>
        <v>79770</v>
      </c>
      <c r="U30" s="95">
        <f>ROUND(MEDIAN(F30,H30,K30,N30),0)</f>
        <v>83366</v>
      </c>
      <c r="V30" s="95">
        <f>ROUND(GEOMEAN(F30,H30,K30,N30),0)</f>
        <v>83215</v>
      </c>
      <c r="W30" s="95">
        <f>MIN(F30,H30,K30,N30)</f>
        <v>55000</v>
      </c>
      <c r="X30" s="96">
        <f>MAX(F30,H30,K30,N30)</f>
        <v>125450</v>
      </c>
      <c r="Y30" s="95"/>
      <c r="Z30" s="92">
        <f t="shared" si="10"/>
        <v>107689</v>
      </c>
      <c r="AA30" s="92">
        <f t="shared" si="11"/>
        <v>161534</v>
      </c>
      <c r="AB30" s="92">
        <f t="shared" si="12"/>
        <v>53845</v>
      </c>
    </row>
    <row r="31" ht="20.4" spans="2:28">
      <c r="B31" s="82">
        <v>22</v>
      </c>
      <c r="C31" s="22" t="s">
        <v>52</v>
      </c>
      <c r="D31" s="83" t="s">
        <v>31</v>
      </c>
      <c r="E31" s="84">
        <v>2</v>
      </c>
      <c r="F31" s="97">
        <v>125450</v>
      </c>
      <c r="G31" s="101">
        <v>150000</v>
      </c>
      <c r="H31" s="98">
        <v>60000</v>
      </c>
      <c r="I31" s="105">
        <v>73237</v>
      </c>
      <c r="J31" s="88">
        <f t="shared" si="22"/>
        <v>73237</v>
      </c>
      <c r="K31" s="89">
        <f t="shared" si="2"/>
        <v>81698</v>
      </c>
      <c r="L31" s="87">
        <v>77045</v>
      </c>
      <c r="M31" s="88">
        <f t="shared" si="21"/>
        <v>77045</v>
      </c>
      <c r="N31" s="89">
        <f t="shared" si="13"/>
        <v>81776</v>
      </c>
      <c r="O31" s="89">
        <v>62950</v>
      </c>
      <c r="P31" s="90">
        <f t="shared" si="14"/>
        <v>76932</v>
      </c>
      <c r="Q31" s="91">
        <f t="shared" si="3"/>
        <v>153864</v>
      </c>
      <c r="R31" s="92"/>
      <c r="S31" s="93">
        <f>ROUND(AVERAGE(F31,H31,K31,N31,O31),0)</f>
        <v>82375</v>
      </c>
      <c r="T31" s="94">
        <f>ROUND(HARMEAN(F31,H31,K31,N31,O31),0)</f>
        <v>76932</v>
      </c>
      <c r="U31" s="95">
        <f>ROUND(MEDIAN(F31,H31,K31,N31,O31),0)</f>
        <v>81698</v>
      </c>
      <c r="V31" s="95">
        <f>ROUND(GEOMEAN(F31,H31,K31,N31,O31),0)</f>
        <v>79449</v>
      </c>
      <c r="W31" s="95">
        <f>MIN(F31,H31,K31,N31,O31)</f>
        <v>60000</v>
      </c>
      <c r="X31" s="96">
        <f>MAX(F31,H31,K31,N31,O31)</f>
        <v>125450</v>
      </c>
      <c r="Y31" s="95"/>
      <c r="Z31" s="92">
        <f t="shared" si="10"/>
        <v>93646</v>
      </c>
      <c r="AA31" s="92">
        <f t="shared" si="11"/>
        <v>140469</v>
      </c>
      <c r="AB31" s="92">
        <f t="shared" si="12"/>
        <v>46823</v>
      </c>
    </row>
    <row r="32" ht="20.4" spans="2:28">
      <c r="B32" s="82">
        <v>23</v>
      </c>
      <c r="C32" s="22" t="s">
        <v>53</v>
      </c>
      <c r="D32" s="83" t="s">
        <v>31</v>
      </c>
      <c r="E32" s="84">
        <v>2</v>
      </c>
      <c r="F32" s="97">
        <v>100000</v>
      </c>
      <c r="G32" s="97">
        <v>85000</v>
      </c>
      <c r="H32" s="98">
        <v>60000</v>
      </c>
      <c r="I32" s="105">
        <v>84428</v>
      </c>
      <c r="J32" s="88">
        <f t="shared" si="22"/>
        <v>84428</v>
      </c>
      <c r="K32" s="89">
        <f t="shared" si="2"/>
        <v>94182</v>
      </c>
      <c r="L32" s="87">
        <v>85000</v>
      </c>
      <c r="M32" s="88">
        <f t="shared" si="21"/>
        <v>85000</v>
      </c>
      <c r="N32" s="89">
        <f t="shared" si="13"/>
        <v>90219</v>
      </c>
      <c r="O32" s="89">
        <v>52950</v>
      </c>
      <c r="P32" s="90">
        <f t="shared" si="14"/>
        <v>75931</v>
      </c>
      <c r="Q32" s="91">
        <f t="shared" si="3"/>
        <v>151862</v>
      </c>
      <c r="R32" s="92"/>
      <c r="S32" s="93">
        <f>ROUND(AVERAGE(F32,G32,H32,K32,N32,O32),0)</f>
        <v>80392</v>
      </c>
      <c r="T32" s="94">
        <f>ROUND(HARMEAN(F32,G32,H32,K32,N32,O32),0)</f>
        <v>75931</v>
      </c>
      <c r="U32" s="95">
        <f>ROUND(MEDIAN(F32,G32,H32,K32,N32,O32),0)</f>
        <v>87610</v>
      </c>
      <c r="V32" s="95">
        <f>ROUND(GEOMEAN(F32,G32,H32,K32,N32,O32),0)</f>
        <v>78244</v>
      </c>
      <c r="W32" s="95">
        <f>MIN(F32,G32,H32,K32,N32,O32)</f>
        <v>52950</v>
      </c>
      <c r="X32" s="96">
        <f>MAX(F32,G32,H32,K32,N32,O32)</f>
        <v>100000</v>
      </c>
      <c r="Y32" s="95"/>
      <c r="Z32" s="92">
        <f t="shared" si="10"/>
        <v>80392</v>
      </c>
      <c r="AA32" s="92">
        <f t="shared" si="11"/>
        <v>120588</v>
      </c>
      <c r="AB32" s="92">
        <f t="shared" si="12"/>
        <v>40196</v>
      </c>
    </row>
    <row r="33" ht="40.8" spans="1:47">
      <c r="B33" s="82">
        <v>24</v>
      </c>
      <c r="C33" s="22" t="s">
        <v>54</v>
      </c>
      <c r="D33" s="83" t="s">
        <v>31</v>
      </c>
      <c r="E33" s="84">
        <v>105</v>
      </c>
      <c r="F33" s="101">
        <v>155000</v>
      </c>
      <c r="G33" s="97">
        <v>120000</v>
      </c>
      <c r="H33" s="101">
        <v>40000</v>
      </c>
      <c r="I33" s="105">
        <v>90667</v>
      </c>
      <c r="J33" s="88">
        <f t="shared" si="22"/>
        <v>90667</v>
      </c>
      <c r="K33" s="89">
        <f t="shared" si="2"/>
        <v>101142</v>
      </c>
      <c r="L33" s="87">
        <v>80000</v>
      </c>
      <c r="M33" s="88">
        <f t="shared" si="21"/>
        <v>80000</v>
      </c>
      <c r="N33" s="89">
        <f t="shared" si="13"/>
        <v>84912</v>
      </c>
      <c r="O33" s="89">
        <v>60450</v>
      </c>
      <c r="P33" s="90">
        <f t="shared" si="14"/>
        <v>85948</v>
      </c>
      <c r="Q33" s="91">
        <f t="shared" si="3"/>
        <v>9024540</v>
      </c>
      <c r="R33" s="92"/>
      <c r="S33" s="93">
        <f>ROUND(AVERAGE(G33,K33,N33,O33),0)</f>
        <v>91626</v>
      </c>
      <c r="T33" s="94">
        <f>ROUND(HARMEAN(G33,K33,N33,O33),0)</f>
        <v>85948</v>
      </c>
      <c r="U33" s="95">
        <f>ROUND(MEDIAN(G33,K33,N33,O33),0)</f>
        <v>93027</v>
      </c>
      <c r="V33" s="95">
        <f>ROUND(GEOMEAN(G33,K33,N33,O33),0)</f>
        <v>88842</v>
      </c>
      <c r="W33" s="95">
        <f>MIN(G33,K33,N33,O33)</f>
        <v>60450</v>
      </c>
      <c r="X33" s="96">
        <f>MAX(G33,K33,N33,O33)</f>
        <v>120000</v>
      </c>
      <c r="Y33" s="95"/>
      <c r="Z33" s="92">
        <f t="shared" si="10"/>
        <v>93584</v>
      </c>
      <c r="AA33" s="92">
        <f t="shared" si="11"/>
        <v>140376</v>
      </c>
      <c r="AB33" s="92">
        <f t="shared" si="12"/>
        <v>46792</v>
      </c>
    </row>
    <row r="34" ht="20.4" spans="1:47">
      <c r="B34" s="82">
        <v>25</v>
      </c>
      <c r="C34" s="22" t="s">
        <v>55</v>
      </c>
      <c r="D34" s="83" t="s">
        <v>31</v>
      </c>
      <c r="E34" s="84">
        <v>5</v>
      </c>
      <c r="F34" s="101">
        <v>120000</v>
      </c>
      <c r="G34" s="97">
        <v>70000</v>
      </c>
      <c r="H34" s="98">
        <v>55000</v>
      </c>
      <c r="I34" s="105">
        <v>73733</v>
      </c>
      <c r="J34" s="88">
        <f t="shared" si="22"/>
        <v>73733</v>
      </c>
      <c r="K34" s="89">
        <f t="shared" si="2"/>
        <v>82251</v>
      </c>
      <c r="L34" s="87">
        <v>45000</v>
      </c>
      <c r="M34" s="88">
        <f t="shared" si="21"/>
        <v>45000</v>
      </c>
      <c r="N34" s="89">
        <f t="shared" si="13"/>
        <v>47763</v>
      </c>
      <c r="O34" s="104">
        <v>21450</v>
      </c>
      <c r="P34" s="90">
        <f t="shared" si="14"/>
        <v>61011</v>
      </c>
      <c r="Q34" s="91">
        <f t="shared" si="3"/>
        <v>305055</v>
      </c>
      <c r="R34" s="92"/>
      <c r="S34" s="93">
        <f>ROUND(AVERAGE(G34,H34,K34,N34),0)</f>
        <v>63754</v>
      </c>
      <c r="T34" s="94">
        <f>ROUND(HARMEAN(G34,H34,K34,N34),0)</f>
        <v>61011</v>
      </c>
      <c r="U34" s="95">
        <f>ROUND(MEDIAN(G34,H34,K34,N34),0)</f>
        <v>62500</v>
      </c>
      <c r="V34" s="95">
        <f>ROUND(GEOMEAN(G34,H34,K34,N34),0)</f>
        <v>62362</v>
      </c>
      <c r="W34" s="95">
        <f>MIN(G34,H34,K34,N34)</f>
        <v>47763</v>
      </c>
      <c r="X34" s="96">
        <f>MAX(G34,H34,K34,N34)</f>
        <v>82251</v>
      </c>
      <c r="Y34" s="95"/>
      <c r="Z34" s="92">
        <f t="shared" si="10"/>
        <v>66077</v>
      </c>
      <c r="AA34" s="92">
        <f t="shared" si="11"/>
        <v>99116</v>
      </c>
      <c r="AB34" s="92">
        <f t="shared" si="12"/>
        <v>33039</v>
      </c>
    </row>
    <row r="35" ht="20.4" spans="1:47">
      <c r="B35" s="82">
        <v>26</v>
      </c>
      <c r="C35" s="22" t="s">
        <v>56</v>
      </c>
      <c r="D35" s="83" t="s">
        <v>31</v>
      </c>
      <c r="E35" s="84">
        <v>3</v>
      </c>
      <c r="F35" s="101">
        <v>88000</v>
      </c>
      <c r="G35" s="98">
        <v>40000</v>
      </c>
      <c r="H35" s="98">
        <v>40000</v>
      </c>
      <c r="I35" s="105">
        <v>39600</v>
      </c>
      <c r="J35" s="88">
        <f t="shared" si="22"/>
        <v>39600</v>
      </c>
      <c r="K35" s="89">
        <f t="shared" si="2"/>
        <v>44175</v>
      </c>
      <c r="L35" s="87">
        <v>41659</v>
      </c>
      <c r="M35" s="88">
        <f t="shared" si="21"/>
        <v>41659</v>
      </c>
      <c r="N35" s="89">
        <f t="shared" si="13"/>
        <v>44217</v>
      </c>
      <c r="O35" s="104">
        <v>15450</v>
      </c>
      <c r="P35" s="90">
        <f t="shared" si="14"/>
        <v>41993</v>
      </c>
      <c r="Q35" s="91">
        <f t="shared" si="3"/>
        <v>125979</v>
      </c>
      <c r="R35" s="92"/>
      <c r="S35" s="93">
        <f>ROUND(AVERAGE(G35,H35,K35,N35),0)</f>
        <v>42098</v>
      </c>
      <c r="T35" s="94">
        <f>ROUND(HARMEAN(G35,H35,K35,N35),0)</f>
        <v>41993</v>
      </c>
      <c r="U35" s="95">
        <f>ROUND(MEDIAN(G35,H35,K35,N35),0)</f>
        <v>42088</v>
      </c>
      <c r="V35" s="95">
        <f>ROUND(GEOMEAN(G35,H35,K35,N35),0)</f>
        <v>42046</v>
      </c>
      <c r="W35" s="95">
        <f>MIN(G35,H35,K35,N35)</f>
        <v>40000</v>
      </c>
      <c r="X35" s="96">
        <f>MAX(G35,H35,K35,N35)</f>
        <v>44217</v>
      </c>
      <c r="Y35" s="95"/>
      <c r="Z35" s="92">
        <f t="shared" si="10"/>
        <v>45307</v>
      </c>
      <c r="AA35" s="92">
        <f t="shared" si="11"/>
        <v>67961</v>
      </c>
      <c r="AB35" s="92">
        <f t="shared" si="12"/>
        <v>22654</v>
      </c>
    </row>
    <row r="36" ht="21.15" spans="1:47">
      <c r="B36" s="82">
        <v>27</v>
      </c>
      <c r="C36" s="22" t="s">
        <v>57</v>
      </c>
      <c r="D36" s="83" t="s">
        <v>31</v>
      </c>
      <c r="E36" s="84">
        <v>5</v>
      </c>
      <c r="F36" s="106">
        <v>150000</v>
      </c>
      <c r="G36" s="106">
        <v>100000</v>
      </c>
      <c r="H36" s="106">
        <v>175000</v>
      </c>
      <c r="I36" s="87" t="s">
        <v>58</v>
      </c>
      <c r="J36" s="88" t="str">
        <f t="shared" si="22"/>
        <v>NO DISPONIBLE</v>
      </c>
      <c r="K36" s="107" t="s">
        <v>59</v>
      </c>
      <c r="L36" s="87"/>
      <c r="M36" s="88"/>
      <c r="N36" s="89" t="s">
        <v>59</v>
      </c>
      <c r="O36" s="89" t="s">
        <v>59</v>
      </c>
      <c r="P36" s="90">
        <f t="shared" si="14"/>
        <v>134043</v>
      </c>
      <c r="Q36" s="108">
        <f t="shared" si="3"/>
        <v>670215</v>
      </c>
      <c r="R36" s="92"/>
      <c r="S36" s="109">
        <f>ROUND(AVERAGE(F36,G36,H36),0)</f>
        <v>141667</v>
      </c>
      <c r="T36" s="110">
        <f>ROUND(HARMEAN(F36,G36,H36),0)</f>
        <v>134043</v>
      </c>
      <c r="U36" s="111">
        <f>ROUND(MEDIAN(F36,G36,H36),0)</f>
        <v>150000</v>
      </c>
      <c r="V36" s="111">
        <f>ROUND(GEOMEAN(F36,G36,H36),0)</f>
        <v>137946</v>
      </c>
      <c r="W36" s="111">
        <f>MIN(F36,G36,H36)</f>
        <v>100000</v>
      </c>
      <c r="X36" s="112">
        <f>MAX(F36,G36,H36)</f>
        <v>175000</v>
      </c>
      <c r="Y36" s="95"/>
      <c r="Z36" s="92">
        <f>ROUND(AVERAGE(F36,G36,H36),0)</f>
        <v>141667</v>
      </c>
      <c r="AA36" s="92">
        <f t="shared" si="11"/>
        <v>212501</v>
      </c>
      <c r="AB36" s="92">
        <f t="shared" si="12"/>
        <v>70834</v>
      </c>
    </row>
    <row r="37" ht="16.35" spans="1:47">
      <c r="B37" s="113" t="s">
        <v>60</v>
      </c>
      <c r="C37" s="114"/>
      <c r="D37" s="114"/>
      <c r="E37" s="114"/>
      <c r="F37" s="114"/>
      <c r="G37" s="114"/>
      <c r="H37" s="114"/>
      <c r="I37" s="114"/>
      <c r="J37" s="114"/>
      <c r="K37" s="114"/>
      <c r="L37" s="114"/>
      <c r="M37" s="114"/>
      <c r="N37" s="114"/>
      <c r="O37" s="114"/>
      <c r="P37" s="115">
        <f>SUM(Q10:Q36)</f>
        <v>32985416</v>
      </c>
      <c r="Q37" s="116"/>
      <c r="R37" s="117"/>
      <c r="S37" s="118"/>
      <c r="T37" s="118"/>
      <c r="U37" s="119"/>
      <c r="V37" s="119"/>
      <c r="W37" s="119"/>
      <c r="X37" s="119"/>
      <c r="Y37" s="95"/>
      <c r="Z37" s="95"/>
      <c r="AA37" s="117"/>
    </row>
    <row r="38" spans="1:47">
      <c r="B38" s="120"/>
      <c r="C38" s="120"/>
      <c r="D38" s="120"/>
      <c r="E38" s="120"/>
      <c r="F38" s="121"/>
      <c r="G38" s="121"/>
      <c r="H38" s="121"/>
      <c r="I38" s="121"/>
      <c r="J38" s="121"/>
      <c r="K38" s="121"/>
      <c r="L38" s="121"/>
      <c r="M38" s="121"/>
      <c r="N38" s="121"/>
      <c r="O38" s="121"/>
      <c r="P38" s="120"/>
      <c r="Q38" s="120"/>
      <c r="R38" s="120"/>
      <c r="AA38" s="120"/>
    </row>
    <row r="39" s="30" customFormat="1" ht="15" customHeight="1" spans="1:47">
      <c r="A39" s="122"/>
      <c r="B39" s="123" t="s">
        <v>61</v>
      </c>
      <c r="C39" s="123"/>
      <c r="D39" s="123"/>
      <c r="E39" s="123"/>
      <c r="F39" s="123"/>
      <c r="G39" s="123"/>
      <c r="H39" s="123"/>
      <c r="I39" s="123"/>
      <c r="J39" s="123"/>
      <c r="K39" s="123"/>
      <c r="L39" s="123"/>
      <c r="M39" s="123"/>
      <c r="N39" s="123"/>
      <c r="O39" s="123"/>
      <c r="P39" s="123"/>
      <c r="Q39" s="123"/>
      <c r="R39" s="122"/>
      <c r="S39" s="122"/>
      <c r="T39" s="122"/>
      <c r="U39" s="122"/>
      <c r="V39" s="122"/>
      <c r="W39" s="122"/>
      <c r="X39" s="122"/>
      <c r="Y39" s="122"/>
      <c r="Z39" s="122"/>
      <c r="AA39" s="122"/>
      <c r="AC39" s="124"/>
      <c r="AD39" s="125"/>
      <c r="AE39" s="125"/>
      <c r="AF39" s="125"/>
      <c r="AG39" s="124"/>
      <c r="AH39" s="125"/>
      <c r="AI39" s="125"/>
      <c r="AJ39" s="125"/>
      <c r="AK39" s="124"/>
      <c r="AL39" s="125"/>
      <c r="AM39" s="125"/>
      <c r="AN39" s="124"/>
      <c r="AO39" s="124"/>
      <c r="AP39" s="125"/>
      <c r="AQ39" s="125"/>
      <c r="AR39" s="124"/>
      <c r="AS39" s="124"/>
      <c r="AT39" s="125"/>
      <c r="AU39" s="125"/>
    </row>
    <row r="40" s="31" customFormat="1" ht="77.25" customHeight="1" spans="1:47">
      <c r="A40" s="126"/>
      <c r="B40" s="127" t="s">
        <v>62</v>
      </c>
      <c r="C40" s="127"/>
      <c r="D40" s="127"/>
      <c r="E40" s="127"/>
      <c r="F40" s="127"/>
      <c r="G40" s="127"/>
      <c r="H40" s="127"/>
      <c r="I40" s="127"/>
      <c r="J40" s="127"/>
      <c r="K40" s="127"/>
      <c r="L40" s="127"/>
      <c r="M40" s="127"/>
      <c r="N40" s="127"/>
      <c r="O40" s="127"/>
      <c r="P40" s="127"/>
      <c r="Q40" s="127"/>
      <c r="R40" s="128"/>
      <c r="S40" s="128"/>
      <c r="T40" s="128"/>
      <c r="U40" s="128"/>
      <c r="V40" s="128"/>
      <c r="W40" s="128"/>
      <c r="X40" s="128"/>
      <c r="Y40" s="128"/>
      <c r="Z40" s="128"/>
      <c r="AA40" s="128"/>
      <c r="AC40" s="129"/>
      <c r="AD40" s="130"/>
      <c r="AE40" s="130"/>
      <c r="AF40" s="130"/>
      <c r="AG40" s="129"/>
      <c r="AH40" s="130"/>
      <c r="AI40" s="130"/>
      <c r="AJ40" s="130"/>
      <c r="AK40" s="129"/>
      <c r="AL40" s="130"/>
      <c r="AM40" s="130"/>
      <c r="AN40" s="129"/>
      <c r="AO40" s="129"/>
      <c r="AP40" s="130"/>
      <c r="AQ40" s="130"/>
      <c r="AR40" s="129"/>
      <c r="AS40" s="129"/>
      <c r="AT40" s="130"/>
      <c r="AU40" s="130"/>
    </row>
    <row r="44" spans="1:47">
      <c r="H44" s="131"/>
    </row>
  </sheetData>
  <mergeCells count="18">
    <mergeCell ref="A1:Q1"/>
    <mergeCell ref="A2:Q2"/>
    <mergeCell ref="F7:H7"/>
    <mergeCell ref="I7:K7"/>
    <mergeCell ref="L7:N7"/>
    <mergeCell ref="Z8:AB8"/>
    <mergeCell ref="B37:O37"/>
    <mergeCell ref="P37:Q37"/>
    <mergeCell ref="B39:Q39"/>
    <mergeCell ref="B40:Q40"/>
    <mergeCell ref="B7:B9"/>
    <mergeCell ref="C7:C9"/>
    <mergeCell ref="D7:D9"/>
    <mergeCell ref="E7:E9"/>
    <mergeCell ref="K8:K9"/>
    <mergeCell ref="N8:N9"/>
    <mergeCell ref="O7:O9"/>
    <mergeCell ref="P7:Q8"/>
  </mergeCells>
  <pageMargins left="0.7" right="0.7" top="0.75" bottom="0.75" header="0.3" footer="0.3"/>
  <pageSetup paperSize="1" scale="92" orientation="portrait"/>
  <headerFooter/>
  <ignoredErrors>
    <ignoredError sqref="W33:X33 S30:X30 W26:X26 U23:V23 S22:X22 S20:X20" formula="1"/>
  </ignoredError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599993896298105"/>
  </sheetPr>
  <dimension ref="A1:J30"/>
  <sheetViews>
    <sheetView workbookViewId="0">
      <selection activeCell="B2" sqref="B2"/>
    </sheetView>
  </sheetViews>
  <sheetFormatPr defaultColWidth="11" defaultRowHeight="10.2"/>
  <cols>
    <col min="1" max="1" width="4.42592592592593" style="13" customWidth="1"/>
    <col min="2" max="2" width="40.8518518518519" style="13" customWidth="1"/>
    <col min="3" max="3" width="9.42592592592593" style="13" customWidth="1"/>
    <col min="4" max="4" width="13.287037037037" style="14" customWidth="1"/>
    <col min="5" max="8" width="14.4259259259259" style="13" customWidth="1"/>
    <col min="9" max="9" width="14.4259259259259" style="13" hidden="1" customWidth="1"/>
    <col min="10" max="10" width="14.4259259259259" style="13" customWidth="1"/>
    <col min="11" max="16384" width="11.4259259259259" style="13"/>
  </cols>
  <sheetData>
    <row r="1" ht="51" spans="1:10">
      <c r="A1" s="15" t="s">
        <v>63</v>
      </c>
      <c r="B1" s="15" t="s">
        <v>64</v>
      </c>
      <c r="C1" s="15" t="s">
        <v>4</v>
      </c>
      <c r="D1" s="16" t="s">
        <v>65</v>
      </c>
      <c r="E1" s="16" t="s">
        <v>66</v>
      </c>
      <c r="F1" s="16" t="s">
        <v>67</v>
      </c>
      <c r="G1" s="16" t="s">
        <v>68</v>
      </c>
      <c r="H1" s="16" t="s">
        <v>69</v>
      </c>
      <c r="I1" s="17" t="s">
        <v>70</v>
      </c>
      <c r="J1" s="17" t="s">
        <v>71</v>
      </c>
    </row>
    <row r="2" ht="30.6" spans="1:10">
      <c r="A2" s="18">
        <v>1</v>
      </c>
      <c r="B2" s="19" t="s">
        <v>30</v>
      </c>
      <c r="C2" s="20" t="s">
        <v>72</v>
      </c>
      <c r="D2" s="21">
        <f>70900+35000+35000</f>
        <v>140900</v>
      </c>
      <c r="E2" s="21">
        <f>71000+18000+18000</f>
        <v>107000</v>
      </c>
      <c r="F2" s="21">
        <f>80000+35000+35000</f>
        <v>150000</v>
      </c>
      <c r="G2" s="21">
        <f>78744+33950+33950</f>
        <v>146644</v>
      </c>
      <c r="H2" s="21">
        <f>81000+35000+35000</f>
        <v>151000</v>
      </c>
      <c r="I2" s="21">
        <f>ROUND(AVERAGE(D2:H2),0)</f>
        <v>139109</v>
      </c>
      <c r="J2" s="21">
        <f>ROUND(AVERAGE(D2:E2),0)</f>
        <v>123950</v>
      </c>
    </row>
    <row r="3" ht="30.6" spans="1:10">
      <c r="A3" s="18">
        <v>2</v>
      </c>
      <c r="B3" s="22" t="s">
        <v>32</v>
      </c>
      <c r="C3" s="20" t="s">
        <v>72</v>
      </c>
      <c r="D3" s="21">
        <f>41900+35000+35000</f>
        <v>111900</v>
      </c>
      <c r="E3" s="21">
        <f t="shared" ref="E3:E15" si="0">35000+18000+18000</f>
        <v>71000</v>
      </c>
      <c r="F3" s="21">
        <f t="shared" ref="F3:F10" si="1">50000+35000+35000</f>
        <v>120000</v>
      </c>
      <c r="G3" s="21">
        <f>60920+33950+33950</f>
        <v>128820</v>
      </c>
      <c r="H3" s="21">
        <f>61000+35000+35000</f>
        <v>131000</v>
      </c>
      <c r="I3" s="21">
        <f t="shared" ref="I3:I28" si="2">ROUND(AVERAGE(D3:H3),0)</f>
        <v>112544</v>
      </c>
      <c r="J3" s="21">
        <f t="shared" ref="J3:J28" si="3">ROUND(AVERAGE(D3:E3),0)</f>
        <v>91450</v>
      </c>
    </row>
    <row r="4" ht="30.6" spans="1:10">
      <c r="A4" s="18">
        <v>3</v>
      </c>
      <c r="B4" s="22" t="s">
        <v>33</v>
      </c>
      <c r="C4" s="20" t="s">
        <v>72</v>
      </c>
      <c r="D4" s="21">
        <f>41800+35000+35000</f>
        <v>111800</v>
      </c>
      <c r="E4" s="21">
        <f t="shared" si="0"/>
        <v>71000</v>
      </c>
      <c r="F4" s="21">
        <f t="shared" si="1"/>
        <v>120000</v>
      </c>
      <c r="G4" s="21">
        <f>60920+33950+33950</f>
        <v>128820</v>
      </c>
      <c r="H4" s="21">
        <f>61000+35000+35000</f>
        <v>131000</v>
      </c>
      <c r="I4" s="21">
        <f t="shared" si="2"/>
        <v>112524</v>
      </c>
      <c r="J4" s="21">
        <f t="shared" si="3"/>
        <v>91400</v>
      </c>
    </row>
    <row r="5" ht="30.6" spans="1:10">
      <c r="A5" s="18">
        <v>4</v>
      </c>
      <c r="B5" s="22" t="s">
        <v>34</v>
      </c>
      <c r="C5" s="20" t="s">
        <v>72</v>
      </c>
      <c r="D5" s="21">
        <f>45500+35000+35000</f>
        <v>115500</v>
      </c>
      <c r="E5" s="21">
        <f t="shared" si="0"/>
        <v>71000</v>
      </c>
      <c r="F5" s="21">
        <f t="shared" si="1"/>
        <v>120000</v>
      </c>
      <c r="G5" s="21">
        <f>66118+33950+33950</f>
        <v>134018</v>
      </c>
      <c r="H5" s="21">
        <f>68000+35000+35000</f>
        <v>138000</v>
      </c>
      <c r="I5" s="21">
        <f t="shared" si="2"/>
        <v>115704</v>
      </c>
      <c r="J5" s="21">
        <f t="shared" si="3"/>
        <v>93250</v>
      </c>
    </row>
    <row r="6" ht="30.6" spans="1:10">
      <c r="A6" s="18">
        <v>5</v>
      </c>
      <c r="B6" s="22" t="s">
        <v>35</v>
      </c>
      <c r="C6" s="20" t="s">
        <v>72</v>
      </c>
      <c r="D6" s="21">
        <f>41900+35000+35000</f>
        <v>111900</v>
      </c>
      <c r="E6" s="21">
        <f t="shared" si="0"/>
        <v>71000</v>
      </c>
      <c r="F6" s="21">
        <f t="shared" si="1"/>
        <v>120000</v>
      </c>
      <c r="G6" s="21">
        <f>60815+33950+33950</f>
        <v>128715</v>
      </c>
      <c r="H6" s="21">
        <f>61000+35000+35000</f>
        <v>131000</v>
      </c>
      <c r="I6" s="21">
        <f t="shared" si="2"/>
        <v>112523</v>
      </c>
      <c r="J6" s="21">
        <f t="shared" si="3"/>
        <v>91450</v>
      </c>
    </row>
    <row r="7" ht="30.6" spans="1:10">
      <c r="A7" s="18">
        <v>6</v>
      </c>
      <c r="B7" s="22" t="s">
        <v>36</v>
      </c>
      <c r="C7" s="20" t="s">
        <v>72</v>
      </c>
      <c r="D7" s="21">
        <f>41100+35000+35000</f>
        <v>111100</v>
      </c>
      <c r="E7" s="21">
        <f t="shared" si="0"/>
        <v>71000</v>
      </c>
      <c r="F7" s="21">
        <f t="shared" si="1"/>
        <v>120000</v>
      </c>
      <c r="G7" s="21">
        <f>59900+33950+33950</f>
        <v>127800</v>
      </c>
      <c r="H7" s="21">
        <f>61000+35000+35000</f>
        <v>131000</v>
      </c>
      <c r="I7" s="21">
        <f t="shared" si="2"/>
        <v>112180</v>
      </c>
      <c r="J7" s="21">
        <f t="shared" si="3"/>
        <v>91050</v>
      </c>
    </row>
    <row r="8" ht="30.6" spans="1:10">
      <c r="A8" s="18">
        <v>7</v>
      </c>
      <c r="B8" s="22" t="s">
        <v>37</v>
      </c>
      <c r="C8" s="20" t="s">
        <v>72</v>
      </c>
      <c r="D8" s="21">
        <f>41100+35000+35000</f>
        <v>111100</v>
      </c>
      <c r="E8" s="21">
        <f t="shared" si="0"/>
        <v>71000</v>
      </c>
      <c r="F8" s="21">
        <f t="shared" si="1"/>
        <v>120000</v>
      </c>
      <c r="G8" s="21">
        <f>59900+33950+33950</f>
        <v>127800</v>
      </c>
      <c r="H8" s="21">
        <f>61000+35000+35000</f>
        <v>131000</v>
      </c>
      <c r="I8" s="21">
        <f t="shared" si="2"/>
        <v>112180</v>
      </c>
      <c r="J8" s="21">
        <f t="shared" si="3"/>
        <v>91050</v>
      </c>
    </row>
    <row r="9" ht="30.6" spans="1:10">
      <c r="A9" s="18">
        <v>8</v>
      </c>
      <c r="B9" s="22" t="s">
        <v>38</v>
      </c>
      <c r="C9" s="20" t="s">
        <v>72</v>
      </c>
      <c r="D9" s="21">
        <f>41100+35000+35000</f>
        <v>111100</v>
      </c>
      <c r="E9" s="21">
        <f t="shared" si="0"/>
        <v>71000</v>
      </c>
      <c r="F9" s="21">
        <f t="shared" si="1"/>
        <v>120000</v>
      </c>
      <c r="G9" s="21">
        <f>59900+33950+33950</f>
        <v>127800</v>
      </c>
      <c r="H9" s="21">
        <f>61000+35000+35000</f>
        <v>131000</v>
      </c>
      <c r="I9" s="21">
        <f t="shared" si="2"/>
        <v>112180</v>
      </c>
      <c r="J9" s="21">
        <f t="shared" si="3"/>
        <v>91050</v>
      </c>
    </row>
    <row r="10" ht="30.6" spans="1:10">
      <c r="A10" s="18">
        <v>9</v>
      </c>
      <c r="B10" s="22" t="s">
        <v>39</v>
      </c>
      <c r="C10" s="20" t="s">
        <v>72</v>
      </c>
      <c r="D10" s="21">
        <f>41800+35000+35000</f>
        <v>111800</v>
      </c>
      <c r="E10" s="21">
        <f t="shared" si="0"/>
        <v>71000</v>
      </c>
      <c r="F10" s="21">
        <f t="shared" si="1"/>
        <v>120000</v>
      </c>
      <c r="G10" s="21">
        <f>60920+33950+33950</f>
        <v>128820</v>
      </c>
      <c r="H10" s="21">
        <f>62000+35000+35000</f>
        <v>132000</v>
      </c>
      <c r="I10" s="21">
        <f t="shared" si="2"/>
        <v>112724</v>
      </c>
      <c r="J10" s="21">
        <f t="shared" si="3"/>
        <v>91400</v>
      </c>
    </row>
    <row r="11" ht="30.6" spans="1:10">
      <c r="A11" s="18">
        <v>10</v>
      </c>
      <c r="B11" s="22" t="s">
        <v>40</v>
      </c>
      <c r="C11" s="20" t="s">
        <v>72</v>
      </c>
      <c r="D11" s="21">
        <f>49900+35000+35000</f>
        <v>119900</v>
      </c>
      <c r="E11" s="21">
        <f t="shared" si="0"/>
        <v>71000</v>
      </c>
      <c r="F11" s="21">
        <f>68000+35000+35000</f>
        <v>138000</v>
      </c>
      <c r="G11" s="21">
        <f>67393+33950+33950</f>
        <v>135293</v>
      </c>
      <c r="H11" s="21">
        <f>69000+35000+35000</f>
        <v>139000</v>
      </c>
      <c r="I11" s="21">
        <f t="shared" si="2"/>
        <v>120639</v>
      </c>
      <c r="J11" s="21">
        <f t="shared" si="3"/>
        <v>95450</v>
      </c>
    </row>
    <row r="12" ht="30.6" spans="1:10">
      <c r="A12" s="18">
        <v>11</v>
      </c>
      <c r="B12" s="22" t="s">
        <v>41</v>
      </c>
      <c r="C12" s="20" t="s">
        <v>72</v>
      </c>
      <c r="D12" s="21">
        <f>55200+35000+35000</f>
        <v>125200</v>
      </c>
      <c r="E12" s="21">
        <f t="shared" si="0"/>
        <v>71000</v>
      </c>
      <c r="F12" s="21">
        <f>50000+35000+35000</f>
        <v>120000</v>
      </c>
      <c r="G12" s="21">
        <f>66278+33950+33950</f>
        <v>134178</v>
      </c>
      <c r="H12" s="21">
        <f>68000+35000+35000</f>
        <v>138000</v>
      </c>
      <c r="I12" s="21">
        <f t="shared" si="2"/>
        <v>117676</v>
      </c>
      <c r="J12" s="21">
        <f t="shared" si="3"/>
        <v>98100</v>
      </c>
    </row>
    <row r="13" ht="30.6" spans="1:10">
      <c r="A13" s="18">
        <v>12</v>
      </c>
      <c r="B13" s="22" t="s">
        <v>42</v>
      </c>
      <c r="C13" s="20" t="s">
        <v>72</v>
      </c>
      <c r="D13" s="21">
        <f>41100+35000+35000</f>
        <v>111100</v>
      </c>
      <c r="E13" s="21">
        <f t="shared" si="0"/>
        <v>71000</v>
      </c>
      <c r="F13" s="21">
        <f>60000+35000+35000</f>
        <v>130000</v>
      </c>
      <c r="G13" s="21">
        <f>59900+33950+33950</f>
        <v>127800</v>
      </c>
      <c r="H13" s="21">
        <f>61000+35000+35000</f>
        <v>131000</v>
      </c>
      <c r="I13" s="21">
        <f t="shared" si="2"/>
        <v>114180</v>
      </c>
      <c r="J13" s="21">
        <f t="shared" si="3"/>
        <v>91050</v>
      </c>
    </row>
    <row r="14" ht="30.6" spans="1:10">
      <c r="A14" s="18">
        <v>13</v>
      </c>
      <c r="B14" s="22" t="s">
        <v>43</v>
      </c>
      <c r="C14" s="20" t="s">
        <v>72</v>
      </c>
      <c r="D14" s="21">
        <f>40900+35000+35000</f>
        <v>110900</v>
      </c>
      <c r="E14" s="21">
        <f t="shared" si="0"/>
        <v>71000</v>
      </c>
      <c r="F14" s="21">
        <f>60000+35000+35000</f>
        <v>130000</v>
      </c>
      <c r="G14" s="21">
        <f>58369+33950+33950</f>
        <v>126269</v>
      </c>
      <c r="H14" s="21">
        <f>60000+35000+35000</f>
        <v>130000</v>
      </c>
      <c r="I14" s="21">
        <f t="shared" si="2"/>
        <v>113634</v>
      </c>
      <c r="J14" s="21">
        <f t="shared" si="3"/>
        <v>90950</v>
      </c>
    </row>
    <row r="15" ht="30.6" spans="1:10">
      <c r="A15" s="18">
        <v>14</v>
      </c>
      <c r="B15" s="22" t="s">
        <v>44</v>
      </c>
      <c r="C15" s="20" t="s">
        <v>72</v>
      </c>
      <c r="D15" s="21">
        <f>40900+35000+35000</f>
        <v>110900</v>
      </c>
      <c r="E15" s="21">
        <f t="shared" si="0"/>
        <v>71000</v>
      </c>
      <c r="F15" s="21">
        <f>60000+35000+35000</f>
        <v>130000</v>
      </c>
      <c r="G15" s="21">
        <f>59900+33950+33950</f>
        <v>127800</v>
      </c>
      <c r="H15" s="21">
        <f>61000+35000+35000</f>
        <v>131000</v>
      </c>
      <c r="I15" s="21">
        <f t="shared" si="2"/>
        <v>114140</v>
      </c>
      <c r="J15" s="21">
        <f t="shared" si="3"/>
        <v>90950</v>
      </c>
    </row>
    <row r="16" ht="30.6" spans="1:10">
      <c r="A16" s="18">
        <v>15</v>
      </c>
      <c r="B16" s="22" t="s">
        <v>45</v>
      </c>
      <c r="C16" s="20" t="s">
        <v>72</v>
      </c>
      <c r="D16" s="21">
        <f>24900+35000+35000</f>
        <v>94900</v>
      </c>
      <c r="E16" s="21">
        <f>50000+18000+18000</f>
        <v>86000</v>
      </c>
      <c r="F16" s="21">
        <f>60000+35000+35000</f>
        <v>130000</v>
      </c>
      <c r="G16" s="21">
        <f>59390+33950+33950</f>
        <v>127290</v>
      </c>
      <c r="H16" s="21">
        <f>61000+35000+35000</f>
        <v>131000</v>
      </c>
      <c r="I16" s="21">
        <f t="shared" si="2"/>
        <v>113838</v>
      </c>
      <c r="J16" s="21">
        <f t="shared" si="3"/>
        <v>90450</v>
      </c>
    </row>
    <row r="17" ht="30.6" spans="1:10">
      <c r="A17" s="18">
        <v>16</v>
      </c>
      <c r="B17" s="23" t="s">
        <v>46</v>
      </c>
      <c r="C17" s="20" t="s">
        <v>72</v>
      </c>
      <c r="D17" s="21">
        <f>24900+35000+35000</f>
        <v>94900</v>
      </c>
      <c r="E17" s="21">
        <f>50000+18000+18000</f>
        <v>86000</v>
      </c>
      <c r="F17" s="21">
        <f>60000+35000+35000</f>
        <v>130000</v>
      </c>
      <c r="G17" s="21">
        <f>59390+33950+33950</f>
        <v>127290</v>
      </c>
      <c r="H17" s="21">
        <f>61000+35000+35000</f>
        <v>131000</v>
      </c>
      <c r="I17" s="21">
        <f t="shared" si="2"/>
        <v>113838</v>
      </c>
      <c r="J17" s="21">
        <f t="shared" si="3"/>
        <v>90450</v>
      </c>
    </row>
    <row r="18" ht="20.4" spans="1:10">
      <c r="A18" s="18">
        <v>17</v>
      </c>
      <c r="B18" s="23" t="s">
        <v>47</v>
      </c>
      <c r="C18" s="20" t="s">
        <v>72</v>
      </c>
      <c r="D18" s="21">
        <v>50900</v>
      </c>
      <c r="E18" s="21">
        <v>26000</v>
      </c>
      <c r="F18" s="21">
        <v>95000</v>
      </c>
      <c r="G18" s="21">
        <v>92150</v>
      </c>
      <c r="H18" s="21">
        <v>95000</v>
      </c>
      <c r="I18" s="21">
        <f t="shared" si="2"/>
        <v>71810</v>
      </c>
      <c r="J18" s="21">
        <f t="shared" si="3"/>
        <v>38450</v>
      </c>
    </row>
    <row r="19" ht="40.8" spans="1:10">
      <c r="A19" s="18">
        <v>18</v>
      </c>
      <c r="B19" s="22" t="s">
        <v>48</v>
      </c>
      <c r="C19" s="20" t="s">
        <v>72</v>
      </c>
      <c r="D19" s="21">
        <v>48900</v>
      </c>
      <c r="E19" s="21">
        <v>26000</v>
      </c>
      <c r="F19" s="21">
        <v>95000</v>
      </c>
      <c r="G19" s="21">
        <v>92150</v>
      </c>
      <c r="H19" s="21">
        <v>95000</v>
      </c>
      <c r="I19" s="21">
        <f t="shared" si="2"/>
        <v>71410</v>
      </c>
      <c r="J19" s="21">
        <f t="shared" si="3"/>
        <v>37450</v>
      </c>
    </row>
    <row r="20" ht="20.4" spans="1:10">
      <c r="A20" s="18">
        <v>19</v>
      </c>
      <c r="B20" s="22" t="s">
        <v>49</v>
      </c>
      <c r="C20" s="20" t="s">
        <v>72</v>
      </c>
      <c r="D20" s="21">
        <v>55900</v>
      </c>
      <c r="E20" s="21">
        <v>26000</v>
      </c>
      <c r="F20" s="21">
        <v>95000</v>
      </c>
      <c r="G20" s="21">
        <v>92150</v>
      </c>
      <c r="H20" s="21">
        <v>95000</v>
      </c>
      <c r="I20" s="21">
        <f t="shared" si="2"/>
        <v>72810</v>
      </c>
      <c r="J20" s="21">
        <f t="shared" si="3"/>
        <v>40950</v>
      </c>
    </row>
    <row r="21" ht="30.6" spans="1:10">
      <c r="A21" s="18">
        <v>20</v>
      </c>
      <c r="B21" s="22" t="s">
        <v>50</v>
      </c>
      <c r="C21" s="20" t="s">
        <v>72</v>
      </c>
      <c r="D21" s="21">
        <v>39900</v>
      </c>
      <c r="E21" s="21">
        <v>35000</v>
      </c>
      <c r="F21" s="21">
        <v>45000</v>
      </c>
      <c r="G21" s="21">
        <v>43950</v>
      </c>
      <c r="H21" s="21">
        <v>45000</v>
      </c>
      <c r="I21" s="21">
        <f t="shared" si="2"/>
        <v>41770</v>
      </c>
      <c r="J21" s="21">
        <f t="shared" si="3"/>
        <v>37450</v>
      </c>
    </row>
    <row r="22" spans="1:10">
      <c r="A22" s="18">
        <v>21</v>
      </c>
      <c r="B22" s="22" t="s">
        <v>73</v>
      </c>
      <c r="C22" s="20" t="s">
        <v>72</v>
      </c>
      <c r="D22" s="21">
        <v>129900</v>
      </c>
      <c r="E22" s="21">
        <v>120000</v>
      </c>
      <c r="F22" s="21">
        <v>135000</v>
      </c>
      <c r="G22" s="21">
        <v>130950</v>
      </c>
      <c r="H22" s="21">
        <v>135000</v>
      </c>
      <c r="I22" s="21">
        <f t="shared" si="2"/>
        <v>130170</v>
      </c>
      <c r="J22" s="21">
        <f t="shared" si="3"/>
        <v>124950</v>
      </c>
    </row>
    <row r="23" spans="1:10">
      <c r="A23" s="18">
        <v>22</v>
      </c>
      <c r="B23" s="22" t="s">
        <v>51</v>
      </c>
      <c r="C23" s="20" t="s">
        <v>72</v>
      </c>
      <c r="D23" s="21">
        <v>39900</v>
      </c>
      <c r="E23" s="21">
        <v>58000</v>
      </c>
      <c r="F23" s="21">
        <v>78000</v>
      </c>
      <c r="G23" s="21">
        <v>76222</v>
      </c>
      <c r="H23" s="21">
        <v>78500</v>
      </c>
      <c r="I23" s="21">
        <f t="shared" si="2"/>
        <v>66124</v>
      </c>
      <c r="J23" s="21">
        <f t="shared" si="3"/>
        <v>48950</v>
      </c>
    </row>
    <row r="24" spans="1:10">
      <c r="A24" s="18">
        <v>23</v>
      </c>
      <c r="B24" s="22" t="s">
        <v>52</v>
      </c>
      <c r="C24" s="20" t="s">
        <v>72</v>
      </c>
      <c r="D24" s="21">
        <v>60900</v>
      </c>
      <c r="E24" s="21">
        <v>65000</v>
      </c>
      <c r="F24" s="21">
        <v>77000</v>
      </c>
      <c r="G24" s="21">
        <v>74733</v>
      </c>
      <c r="H24" s="21">
        <v>77000</v>
      </c>
      <c r="I24" s="21">
        <f t="shared" si="2"/>
        <v>70927</v>
      </c>
      <c r="J24" s="21">
        <f t="shared" si="3"/>
        <v>62950</v>
      </c>
    </row>
    <row r="25" ht="20.4" spans="1:10">
      <c r="A25" s="18">
        <v>24</v>
      </c>
      <c r="B25" s="22" t="s">
        <v>53</v>
      </c>
      <c r="C25" s="20" t="s">
        <v>72</v>
      </c>
      <c r="D25" s="21">
        <v>40900</v>
      </c>
      <c r="E25" s="21">
        <v>65000</v>
      </c>
      <c r="F25" s="21">
        <v>85000</v>
      </c>
      <c r="G25" s="21">
        <v>82150</v>
      </c>
      <c r="H25" s="21">
        <v>85000</v>
      </c>
      <c r="I25" s="21">
        <f t="shared" si="2"/>
        <v>71610</v>
      </c>
      <c r="J25" s="21">
        <f t="shared" si="3"/>
        <v>52950</v>
      </c>
    </row>
    <row r="26" ht="30.6" spans="1:10">
      <c r="A26" s="18">
        <v>25</v>
      </c>
      <c r="B26" s="22" t="s">
        <v>54</v>
      </c>
      <c r="C26" s="20" t="s">
        <v>72</v>
      </c>
      <c r="D26" s="21">
        <v>40900</v>
      </c>
      <c r="E26" s="21">
        <v>80000</v>
      </c>
      <c r="F26" s="21">
        <v>80000</v>
      </c>
      <c r="G26" s="21">
        <v>77600</v>
      </c>
      <c r="H26" s="21">
        <v>80000</v>
      </c>
      <c r="I26" s="21">
        <f t="shared" si="2"/>
        <v>71700</v>
      </c>
      <c r="J26" s="21">
        <f t="shared" si="3"/>
        <v>60450</v>
      </c>
    </row>
    <row r="27" ht="20.4" spans="1:10">
      <c r="A27" s="18">
        <v>26</v>
      </c>
      <c r="B27" s="22" t="s">
        <v>55</v>
      </c>
      <c r="C27" s="20" t="s">
        <v>72</v>
      </c>
      <c r="D27" s="21">
        <v>22900</v>
      </c>
      <c r="E27" s="21">
        <v>20000</v>
      </c>
      <c r="F27" s="21">
        <v>45000</v>
      </c>
      <c r="G27" s="21">
        <v>43950</v>
      </c>
      <c r="H27" s="21">
        <v>45000</v>
      </c>
      <c r="I27" s="21">
        <f t="shared" si="2"/>
        <v>35370</v>
      </c>
      <c r="J27" s="21">
        <f t="shared" si="3"/>
        <v>21450</v>
      </c>
    </row>
    <row r="28" ht="20.4" spans="1:10">
      <c r="A28" s="18">
        <v>27</v>
      </c>
      <c r="B28" s="22" t="s">
        <v>56</v>
      </c>
      <c r="C28" s="20" t="s">
        <v>72</v>
      </c>
      <c r="D28" s="21">
        <v>15900</v>
      </c>
      <c r="E28" s="21">
        <v>15000</v>
      </c>
      <c r="F28" s="21">
        <v>41000</v>
      </c>
      <c r="G28" s="21">
        <v>40409</v>
      </c>
      <c r="H28" s="21">
        <v>41000</v>
      </c>
      <c r="I28" s="21">
        <f t="shared" si="2"/>
        <v>30662</v>
      </c>
      <c r="J28" s="21">
        <f t="shared" si="3"/>
        <v>15450</v>
      </c>
    </row>
    <row r="29" ht="20.4" spans="1:10">
      <c r="A29" s="18">
        <v>28</v>
      </c>
      <c r="B29" s="22" t="s">
        <v>57</v>
      </c>
      <c r="C29" s="20" t="s">
        <v>72</v>
      </c>
      <c r="D29" s="24"/>
      <c r="E29" s="24"/>
      <c r="F29" s="24"/>
      <c r="G29" s="24"/>
      <c r="H29" s="24"/>
      <c r="I29" s="24"/>
      <c r="J29" s="24"/>
    </row>
    <row r="30" ht="12" spans="1:10">
      <c r="A30" s="25" t="s">
        <v>74</v>
      </c>
      <c r="B30" s="26"/>
      <c r="C30" s="26"/>
      <c r="D30" s="27"/>
    </row>
  </sheetData>
  <mergeCells count="1">
    <mergeCell ref="A30:D30"/>
  </mergeCells>
  <pageMargins left="0.7" right="0.7" top="0.75" bottom="0.75" header="0.3" footer="0.3"/>
  <pageSetup paperSize="1" orientation="portrait"/>
  <headerFooter/>
  <ignoredErrors>
    <ignoredError sqref="J18:J28" formulaRange="1"/>
    <ignoredError sqref="H5 G14:H14 F11" formula="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showGridLines="0" zoomScale="150" zoomScaleNormal="150" workbookViewId="0">
      <selection activeCell="E18" sqref="E18"/>
    </sheetView>
  </sheetViews>
  <sheetFormatPr defaultColWidth="11" defaultRowHeight="14.4" outlineLevelCol="7"/>
  <cols>
    <col min="1" max="1" width="10.8518518518519" style="1"/>
    <col min="3" max="3" width="22.712962962963" customWidth="1"/>
  </cols>
  <sheetData>
    <row r="1" ht="20.4" spans="1:8">
      <c r="A1" s="2" t="s">
        <v>75</v>
      </c>
      <c r="B1" s="3" t="s">
        <v>76</v>
      </c>
      <c r="C1" s="2" t="s">
        <v>64</v>
      </c>
      <c r="D1" s="3" t="s">
        <v>77</v>
      </c>
      <c r="E1" s="3" t="s">
        <v>78</v>
      </c>
      <c r="F1" s="3" t="s">
        <v>79</v>
      </c>
    </row>
    <row r="2" ht="71.4" spans="1:8">
      <c r="A2" s="4" t="s">
        <v>80</v>
      </c>
      <c r="B2" s="5" t="s">
        <v>81</v>
      </c>
      <c r="C2" s="6" t="s">
        <v>82</v>
      </c>
      <c r="D2" s="7" t="s">
        <v>83</v>
      </c>
      <c r="E2" s="8">
        <v>10500000</v>
      </c>
      <c r="F2" s="6" t="s">
        <v>84</v>
      </c>
      <c r="H2" s="9" t="s">
        <v>85</v>
      </c>
    </row>
    <row r="3" ht="91.8" spans="1:8">
      <c r="A3" s="4" t="s">
        <v>86</v>
      </c>
      <c r="B3" s="5" t="s">
        <v>87</v>
      </c>
      <c r="C3" s="6" t="s">
        <v>88</v>
      </c>
      <c r="D3" s="7" t="s">
        <v>83</v>
      </c>
      <c r="E3" s="8">
        <v>14622000</v>
      </c>
      <c r="F3" s="6" t="s">
        <v>89</v>
      </c>
      <c r="H3" s="9"/>
    </row>
    <row r="4" ht="51" spans="1:8">
      <c r="A4" s="4" t="s">
        <v>90</v>
      </c>
      <c r="B4" s="5" t="s">
        <v>91</v>
      </c>
      <c r="C4" s="6" t="s">
        <v>92</v>
      </c>
      <c r="D4" s="7" t="s">
        <v>83</v>
      </c>
      <c r="E4" s="8">
        <v>30000000</v>
      </c>
      <c r="F4" s="6" t="s">
        <v>93</v>
      </c>
    </row>
    <row r="5" ht="173.4" spans="1:8">
      <c r="A5" s="4" t="s">
        <v>94</v>
      </c>
      <c r="B5" s="6" t="s">
        <v>95</v>
      </c>
      <c r="C5" s="4" t="s">
        <v>96</v>
      </c>
      <c r="D5" s="7" t="s">
        <v>83</v>
      </c>
      <c r="E5" s="8">
        <v>39858000</v>
      </c>
      <c r="F5" s="4" t="s">
        <v>97</v>
      </c>
    </row>
    <row r="6" ht="132.6" spans="1:8">
      <c r="A6" s="4" t="s">
        <v>98</v>
      </c>
      <c r="B6" s="4" t="s">
        <v>99</v>
      </c>
      <c r="C6" s="4" t="s">
        <v>100</v>
      </c>
      <c r="D6" s="7" t="s">
        <v>83</v>
      </c>
      <c r="E6" s="8">
        <v>81536153</v>
      </c>
      <c r="F6" s="4" t="s">
        <v>101</v>
      </c>
    </row>
    <row r="7" ht="40.8" spans="1:8">
      <c r="A7" s="4" t="s">
        <v>102</v>
      </c>
      <c r="B7" s="6" t="s">
        <v>103</v>
      </c>
      <c r="C7" s="6" t="s">
        <v>104</v>
      </c>
      <c r="D7" s="7" t="s">
        <v>83</v>
      </c>
      <c r="E7" s="8">
        <v>24668247</v>
      </c>
      <c r="F7" s="6" t="s">
        <v>105</v>
      </c>
    </row>
    <row r="8" ht="61.2" spans="1:8">
      <c r="A8" s="4" t="s">
        <v>106</v>
      </c>
      <c r="B8" s="5" t="s">
        <v>107</v>
      </c>
      <c r="C8" s="4" t="s">
        <v>108</v>
      </c>
      <c r="D8" s="7" t="s">
        <v>83</v>
      </c>
      <c r="E8" s="10">
        <v>27941700</v>
      </c>
      <c r="F8" s="6" t="s">
        <v>109</v>
      </c>
    </row>
    <row r="10" spans="1:8">
      <c r="B10" s="11"/>
      <c r="C10" s="12"/>
      <c r="D10" s="11"/>
      <c r="E10" s="11"/>
    </row>
  </sheetData>
  <hyperlinks>
    <hyperlink ref="H2" r:id="rId1" display="https://www.secop.gov.co/CO1BusinessLine/Tendering/ContractNoticeView/Index?notice=CO1.NTC.10155120"/>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ESTUDIO DE MERCADO</vt:lpstr>
      <vt:lpstr>PROMEDIO OFERTAS SMC-06-2025</vt:lpstr>
      <vt:lpstr>Hoja5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447756</dc:creator>
  <cp:lastModifiedBy>RAQUEL</cp:lastModifiedBy>
  <dcterms:created xsi:type="dcterms:W3CDTF">2020-04-13T16:35:00Z</dcterms:created>
  <cp:lastPrinted>2023-04-14T15:31:00Z</cp:lastPrinted>
  <dcterms:modified xsi:type="dcterms:W3CDTF">2026-09-10T22:19:53Z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F247BE7F40AD46F6B17CD40434133D8F_12</vt:lpwstr>
  </property>
  <property fmtid="{D5CDD505-2E9C-101B-9397-08002B2CF9AE}" pid="3" name="KSOProductBuildVer">
    <vt:lpwstr>2058-12.1.0.28485</vt:lpwstr>
  </property>
  <property fmtid="{D5CDD505-2E9C-101B-9397-08002B2CF9AE}" pid="4" name="CalculationRule">
    <vt:i4>0</vt:i4>
  </property>
</Properties>
</file>