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codeName="ThisWorkbook" defaultThemeVersion="166925"/>
  <mc:AlternateContent xmlns:mc="http://schemas.openxmlformats.org/markup-compatibility/2006">
    <mc:Choice Requires="x15">
      <x15ac:absPath xmlns:x15ac="http://schemas.microsoft.com/office/spreadsheetml/2010/11/ac" url="https://gobiernobogota-my.sharepoint.com/personal/katherine_quintin_gobiernobogota_gov_co/Documents/KENNEDY/7. Formulación 2026/17. Funcionamiento/VIGILANCIA Y SEGURIDAD M. CUANTÍA/ESTUDIO DEL SECTOR/"/>
    </mc:Choice>
  </mc:AlternateContent>
  <xr:revisionPtr revIDLastSave="0" documentId="8_{1EE3FB31-A9EB-4827-A9CA-F77AC3BFAAF7}" xr6:coauthVersionLast="47" xr6:coauthVersionMax="47" xr10:uidLastSave="{00000000-0000-0000-0000-000000000000}"/>
  <bookViews>
    <workbookView xWindow="-28920" yWindow="-1020" windowWidth="29040" windowHeight="15720" firstSheet="4" activeTab="4" xr2:uid="{00000000-000D-0000-FFFF-FFFF00000000}"/>
  </bookViews>
  <sheets>
    <sheet name="CosteoIndividual" sheetId="5" state="hidden" r:id="rId1"/>
    <sheet name="Proyección_Bolsa" sheetId="22" state="hidden" r:id="rId2"/>
    <sheet name="RESUMEN" sheetId="29" r:id="rId3"/>
    <sheet name="RECURSO HUMANO 2026" sheetId="36" r:id="rId4"/>
    <sheet name="COMPONENTES LOGIS Y TECN" sheetId="25" r:id="rId5"/>
    <sheet name="ProyecciónResolución2026 (2)" sheetId="28" r:id="rId6"/>
    <sheet name="COT 1" sheetId="35" r:id="rId7"/>
    <sheet name="COT 2" sheetId="30" r:id="rId8"/>
    <sheet name="COT 3" sheetId="34" r:id="rId9"/>
    <sheet name="COT 4" sheetId="31" r:id="rId10"/>
    <sheet name="COT 5" sheetId="32" r:id="rId11"/>
    <sheet name="COT 6" sheetId="33" r:id="rId12"/>
    <sheet name="Hoja6" sheetId="20" state="hidden" r:id="rId13"/>
    <sheet name="ServiciosDeVigilancia" sheetId="17" state="hidden" r:id="rId14"/>
    <sheet name="matriz calculo 2025" sheetId="23" state="hidden" r:id="rId15"/>
    <sheet name="FDLBOSALIC 003-2021 (59820)" sheetId="13" state="hidden" r:id="rId16"/>
    <sheet name="338-2022 CTO-PS (72300)" sheetId="14" state="hidden" r:id="rId17"/>
    <sheet name="EstudioMercado 2022" sheetId="11" state="hidden" r:id="rId18"/>
    <sheet name="TalentoHumano_2022" sheetId="8" state="hidden" r:id="rId19"/>
    <sheet name="EstudioMercado 2021" sheetId="9" state="hidden" r:id="rId20"/>
    <sheet name="SeguridadScanner" sheetId="10" state="hidden" r:id="rId21"/>
  </sheets>
  <definedNames>
    <definedName name="_xlnm._FilterDatabase" localSheetId="4" hidden="1">'COMPONENTES LOGIS Y TECN'!$B$3:$AD$18</definedName>
    <definedName name="_xlnm._FilterDatabase" localSheetId="0" hidden="1">CosteoIndividual!$B$5:$Q$6</definedName>
    <definedName name="_xlnm._FilterDatabase" localSheetId="17" hidden="1">'EstudioMercado 2022'!$B$4:$Z$5</definedName>
    <definedName name="_xlnm._FilterDatabase" localSheetId="1" hidden="1">Proyección_Bolsa!$B$5:$K$6</definedName>
    <definedName name="_xlnm._FilterDatabase" localSheetId="3" hidden="1">'RECURSO HUMANO 2026'!#REF!</definedName>
    <definedName name="_xlnm._FilterDatabase" localSheetId="2" hidden="1">RESUMEN!#REF!</definedName>
    <definedName name="_xlnm.Print_Titles" localSheetId="4">'COMPONENTES LOGIS Y TECN'!$B:$H,'COMPONENTES LOGIS Y TECN'!$1:$6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 i="25" l="1"/>
  <c r="I16" i="25"/>
  <c r="I17" i="25"/>
  <c r="I14" i="25"/>
  <c r="I9" i="25"/>
  <c r="I10" i="25"/>
  <c r="I11" i="25"/>
  <c r="I12" i="25"/>
  <c r="I8" i="25"/>
  <c r="H22" i="35"/>
  <c r="I22" i="35" s="1"/>
  <c r="H19" i="35"/>
  <c r="I19" i="35" s="1"/>
  <c r="J19" i="35" s="1"/>
  <c r="K19" i="35" s="1"/>
  <c r="H18" i="35"/>
  <c r="I18" i="35" s="1"/>
  <c r="J18" i="35" s="1"/>
  <c r="K18" i="35" s="1"/>
  <c r="H17" i="35"/>
  <c r="I17" i="35" s="1"/>
  <c r="J17" i="35" s="1"/>
  <c r="K17" i="35" s="1"/>
  <c r="H16" i="35"/>
  <c r="I16" i="35" s="1"/>
  <c r="H13" i="35"/>
  <c r="I13" i="35" s="1"/>
  <c r="J13" i="35" s="1"/>
  <c r="K13" i="35" s="1"/>
  <c r="K14" i="35" s="1"/>
  <c r="H12" i="35"/>
  <c r="I12" i="35" s="1"/>
  <c r="H9" i="35"/>
  <c r="I9" i="35" s="1"/>
  <c r="J9" i="35" s="1"/>
  <c r="K9" i="35" s="1"/>
  <c r="H8" i="35"/>
  <c r="I8" i="35" s="1"/>
  <c r="J8" i="35" s="1"/>
  <c r="K8" i="35" s="1"/>
  <c r="H7" i="35"/>
  <c r="I7" i="35" s="1"/>
  <c r="J7" i="35" s="1"/>
  <c r="K7" i="35" s="1"/>
  <c r="H6" i="35"/>
  <c r="I6" i="35" s="1"/>
  <c r="J6" i="35" s="1"/>
  <c r="K6" i="35" s="1"/>
  <c r="H5" i="35"/>
  <c r="I5" i="35" s="1"/>
  <c r="J8" i="25" l="1"/>
  <c r="J15" i="25"/>
  <c r="J16" i="25"/>
  <c r="J17" i="25"/>
  <c r="J14" i="25"/>
  <c r="J9" i="25"/>
  <c r="J10" i="25"/>
  <c r="J11" i="25"/>
  <c r="J12" i="25"/>
  <c r="J22" i="35"/>
  <c r="K22" i="35" s="1"/>
  <c r="K23" i="35" s="1"/>
  <c r="I23" i="35"/>
  <c r="J12" i="35"/>
  <c r="K12" i="35" s="1"/>
  <c r="I14" i="35"/>
  <c r="J16" i="35"/>
  <c r="K16" i="35" s="1"/>
  <c r="K20" i="35" s="1"/>
  <c r="I20" i="35"/>
  <c r="I10" i="35"/>
  <c r="J5" i="35"/>
  <c r="K5" i="35" s="1"/>
  <c r="K10" i="35" s="1"/>
  <c r="K8" i="25" l="1"/>
  <c r="K15" i="25"/>
  <c r="K16" i="25"/>
  <c r="K17" i="25"/>
  <c r="K10" i="25"/>
  <c r="K11" i="25"/>
  <c r="K12" i="25"/>
  <c r="K9" i="25"/>
  <c r="I27" i="35"/>
  <c r="K24" i="35"/>
  <c r="J18" i="25"/>
  <c r="O15" i="25"/>
  <c r="O16" i="25"/>
  <c r="O17" i="25"/>
  <c r="O14" i="25"/>
  <c r="O9" i="25"/>
  <c r="O10" i="25"/>
  <c r="O11" i="25"/>
  <c r="O12" i="25"/>
  <c r="O8" i="25"/>
  <c r="H22" i="34"/>
  <c r="I22" i="34" s="1"/>
  <c r="H19" i="34"/>
  <c r="I19" i="34" s="1"/>
  <c r="J19" i="34" s="1"/>
  <c r="K19" i="34" s="1"/>
  <c r="H18" i="34"/>
  <c r="I18" i="34" s="1"/>
  <c r="J18" i="34" s="1"/>
  <c r="K18" i="34" s="1"/>
  <c r="H17" i="34"/>
  <c r="I17" i="34" s="1"/>
  <c r="J17" i="34" s="1"/>
  <c r="K17" i="34" s="1"/>
  <c r="H16" i="34"/>
  <c r="I16" i="34" s="1"/>
  <c r="H13" i="34"/>
  <c r="I13" i="34" s="1"/>
  <c r="J13" i="34" s="1"/>
  <c r="K13" i="34" s="1"/>
  <c r="H12" i="34"/>
  <c r="I12" i="34" s="1"/>
  <c r="H9" i="34"/>
  <c r="I9" i="34" s="1"/>
  <c r="J9" i="34" s="1"/>
  <c r="K9" i="34" s="1"/>
  <c r="H8" i="34"/>
  <c r="I8" i="34" s="1"/>
  <c r="J8" i="34" s="1"/>
  <c r="K8" i="34" s="1"/>
  <c r="H7" i="34"/>
  <c r="I7" i="34" s="1"/>
  <c r="J7" i="34" s="1"/>
  <c r="K7" i="34" s="1"/>
  <c r="H6" i="34"/>
  <c r="I6" i="34" s="1"/>
  <c r="J6" i="34" s="1"/>
  <c r="K6" i="34" s="1"/>
  <c r="H5" i="34"/>
  <c r="I5" i="34" s="1"/>
  <c r="P15" i="25" l="1"/>
  <c r="Q15" i="25" s="1"/>
  <c r="P16" i="25"/>
  <c r="Q16" i="25" s="1"/>
  <c r="P17" i="25"/>
  <c r="Q17" i="25" s="1"/>
  <c r="P14" i="25"/>
  <c r="P9" i="25"/>
  <c r="Q9" i="25" s="1"/>
  <c r="P10" i="25"/>
  <c r="Q10" i="25" s="1"/>
  <c r="P11" i="25"/>
  <c r="Q11" i="25" s="1"/>
  <c r="P12" i="25"/>
  <c r="Q12" i="25" s="1"/>
  <c r="P8" i="25"/>
  <c r="Q8" i="25" s="1"/>
  <c r="I10" i="34"/>
  <c r="J5" i="34"/>
  <c r="K5" i="34" s="1"/>
  <c r="K10" i="34" s="1"/>
  <c r="J12" i="34"/>
  <c r="K12" i="34" s="1"/>
  <c r="K14" i="34" s="1"/>
  <c r="I14" i="34"/>
  <c r="I20" i="34"/>
  <c r="J16" i="34"/>
  <c r="K16" i="34" s="1"/>
  <c r="K20" i="34" s="1"/>
  <c r="J22" i="34"/>
  <c r="K22" i="34" s="1"/>
  <c r="K23" i="34" s="1"/>
  <c r="I23" i="34"/>
  <c r="K24" i="34" l="1"/>
  <c r="P18" i="25"/>
  <c r="X15" i="25"/>
  <c r="X16" i="25"/>
  <c r="Y16" i="25" s="1"/>
  <c r="Z16" i="25" s="1"/>
  <c r="X17" i="25"/>
  <c r="X14" i="25"/>
  <c r="X9" i="25"/>
  <c r="X10" i="25"/>
  <c r="X11" i="25"/>
  <c r="Y11" i="25" s="1"/>
  <c r="Z11" i="25" s="1"/>
  <c r="X12" i="25"/>
  <c r="X8" i="25"/>
  <c r="H22" i="33"/>
  <c r="I22" i="33" s="1"/>
  <c r="H19" i="33"/>
  <c r="I19" i="33" s="1"/>
  <c r="J19" i="33" s="1"/>
  <c r="K19" i="33" s="1"/>
  <c r="H18" i="33"/>
  <c r="I18" i="33" s="1"/>
  <c r="J18" i="33" s="1"/>
  <c r="K18" i="33" s="1"/>
  <c r="H17" i="33"/>
  <c r="I17" i="33" s="1"/>
  <c r="H16" i="33"/>
  <c r="I16" i="33" s="1"/>
  <c r="H13" i="33"/>
  <c r="I13" i="33" s="1"/>
  <c r="H12" i="33"/>
  <c r="I12" i="33" s="1"/>
  <c r="J12" i="33" s="1"/>
  <c r="K12" i="33" s="1"/>
  <c r="H9" i="33"/>
  <c r="I9" i="33" s="1"/>
  <c r="J9" i="33" s="1"/>
  <c r="K9" i="33" s="1"/>
  <c r="H8" i="33"/>
  <c r="I8" i="33" s="1"/>
  <c r="J8" i="33" s="1"/>
  <c r="K8" i="33" s="1"/>
  <c r="H7" i="33"/>
  <c r="I7" i="33" s="1"/>
  <c r="J7" i="33" s="1"/>
  <c r="K7" i="33" s="1"/>
  <c r="H6" i="33"/>
  <c r="I6" i="33" s="1"/>
  <c r="J6" i="33" s="1"/>
  <c r="K6" i="33" s="1"/>
  <c r="H5" i="33"/>
  <c r="I5" i="33" s="1"/>
  <c r="Y15" i="25" l="1"/>
  <c r="Z15" i="25" s="1"/>
  <c r="Y17" i="25"/>
  <c r="Z17" i="25" s="1"/>
  <c r="Y14" i="25"/>
  <c r="Y9" i="25"/>
  <c r="Z9" i="25" s="1"/>
  <c r="Y10" i="25"/>
  <c r="Z10" i="25" s="1"/>
  <c r="Y12" i="25"/>
  <c r="Z12" i="25" s="1"/>
  <c r="Y8" i="25"/>
  <c r="Z8" i="25" s="1"/>
  <c r="I14" i="33"/>
  <c r="I10" i="33"/>
  <c r="I20" i="33"/>
  <c r="J17" i="33"/>
  <c r="K17" i="33" s="1"/>
  <c r="J13" i="33"/>
  <c r="K13" i="33" s="1"/>
  <c r="K14" i="33" s="1"/>
  <c r="J22" i="33"/>
  <c r="K22" i="33" s="1"/>
  <c r="K23" i="33" s="1"/>
  <c r="I23" i="33"/>
  <c r="J5" i="33"/>
  <c r="K5" i="33" s="1"/>
  <c r="K10" i="33" s="1"/>
  <c r="J16" i="33"/>
  <c r="K16" i="33" s="1"/>
  <c r="K20" i="33" l="1"/>
  <c r="K24" i="33" s="1"/>
  <c r="J26" i="33"/>
  <c r="Y18" i="25"/>
  <c r="U15" i="25"/>
  <c r="U16" i="25"/>
  <c r="U17" i="25"/>
  <c r="U14" i="25"/>
  <c r="U9" i="25"/>
  <c r="U10" i="25"/>
  <c r="U11" i="25"/>
  <c r="U12" i="25"/>
  <c r="U8" i="25"/>
  <c r="H22" i="32"/>
  <c r="I22" i="32" s="1"/>
  <c r="H19" i="32"/>
  <c r="I19" i="32" s="1"/>
  <c r="J19" i="32" s="1"/>
  <c r="K19" i="32" s="1"/>
  <c r="H18" i="32"/>
  <c r="I18" i="32" s="1"/>
  <c r="J18" i="32" s="1"/>
  <c r="K18" i="32" s="1"/>
  <c r="H17" i="32"/>
  <c r="I17" i="32" s="1"/>
  <c r="J17" i="32" s="1"/>
  <c r="K17" i="32" s="1"/>
  <c r="H16" i="32"/>
  <c r="I16" i="32" s="1"/>
  <c r="H13" i="32"/>
  <c r="I13" i="32" s="1"/>
  <c r="H12" i="32"/>
  <c r="I12" i="32" s="1"/>
  <c r="H9" i="32"/>
  <c r="I9" i="32" s="1"/>
  <c r="J9" i="32" s="1"/>
  <c r="K9" i="32" s="1"/>
  <c r="H8" i="32"/>
  <c r="I8" i="32" s="1"/>
  <c r="J8" i="32" s="1"/>
  <c r="K8" i="32" s="1"/>
  <c r="H7" i="32"/>
  <c r="I7" i="32" s="1"/>
  <c r="J7" i="32" s="1"/>
  <c r="K7" i="32" s="1"/>
  <c r="H6" i="32"/>
  <c r="I6" i="32" s="1"/>
  <c r="J6" i="32" s="1"/>
  <c r="K6" i="32" s="1"/>
  <c r="H5" i="32"/>
  <c r="I5" i="32" s="1"/>
  <c r="R15" i="25"/>
  <c r="R16" i="25"/>
  <c r="R17" i="25"/>
  <c r="R14" i="25"/>
  <c r="R9" i="25"/>
  <c r="R10" i="25"/>
  <c r="R11" i="25"/>
  <c r="R12" i="25"/>
  <c r="R8" i="25"/>
  <c r="H22" i="31"/>
  <c r="I22" i="31" s="1"/>
  <c r="H19" i="31"/>
  <c r="I19" i="31" s="1"/>
  <c r="J19" i="31" s="1"/>
  <c r="K19" i="31" s="1"/>
  <c r="H18" i="31"/>
  <c r="I18" i="31" s="1"/>
  <c r="J18" i="31" s="1"/>
  <c r="K18" i="31" s="1"/>
  <c r="H17" i="31"/>
  <c r="I17" i="31" s="1"/>
  <c r="J17" i="31" s="1"/>
  <c r="K17" i="31" s="1"/>
  <c r="H16" i="31"/>
  <c r="I16" i="31" s="1"/>
  <c r="H13" i="31"/>
  <c r="I13" i="31" s="1"/>
  <c r="H12" i="31"/>
  <c r="I12" i="31" s="1"/>
  <c r="J12" i="31" s="1"/>
  <c r="K12" i="31" s="1"/>
  <c r="H9" i="31"/>
  <c r="I9" i="31" s="1"/>
  <c r="J9" i="31" s="1"/>
  <c r="K9" i="31" s="1"/>
  <c r="H8" i="31"/>
  <c r="I8" i="31" s="1"/>
  <c r="J8" i="31" s="1"/>
  <c r="K8" i="31" s="1"/>
  <c r="H7" i="31"/>
  <c r="I7" i="31" s="1"/>
  <c r="J7" i="31" s="1"/>
  <c r="K7" i="31" s="1"/>
  <c r="H6" i="31"/>
  <c r="I6" i="31" s="1"/>
  <c r="J6" i="31" s="1"/>
  <c r="K6" i="31" s="1"/>
  <c r="H5" i="31"/>
  <c r="I5" i="31" s="1"/>
  <c r="V15" i="25" l="1"/>
  <c r="W15" i="25" s="1"/>
  <c r="V16" i="25"/>
  <c r="W16" i="25" s="1"/>
  <c r="V17" i="25"/>
  <c r="W17" i="25" s="1"/>
  <c r="V14" i="25"/>
  <c r="V9" i="25"/>
  <c r="W9" i="25" s="1"/>
  <c r="V10" i="25"/>
  <c r="W10" i="25" s="1"/>
  <c r="V11" i="25"/>
  <c r="W11" i="25" s="1"/>
  <c r="V12" i="25"/>
  <c r="W12" i="25" s="1"/>
  <c r="V8" i="25"/>
  <c r="W8" i="25" s="1"/>
  <c r="I20" i="32"/>
  <c r="S15" i="25"/>
  <c r="T15" i="25" s="1"/>
  <c r="S16" i="25"/>
  <c r="T16" i="25" s="1"/>
  <c r="S17" i="25"/>
  <c r="T17" i="25" s="1"/>
  <c r="S14" i="25"/>
  <c r="S9" i="25"/>
  <c r="T9" i="25" s="1"/>
  <c r="S10" i="25"/>
  <c r="T10" i="25" s="1"/>
  <c r="S11" i="25"/>
  <c r="T11" i="25" s="1"/>
  <c r="S12" i="25"/>
  <c r="T12" i="25" s="1"/>
  <c r="S8" i="25"/>
  <c r="T8" i="25" s="1"/>
  <c r="I20" i="31"/>
  <c r="I14" i="31"/>
  <c r="J12" i="32"/>
  <c r="K12" i="32" s="1"/>
  <c r="I14" i="32"/>
  <c r="J13" i="32"/>
  <c r="K13" i="32" s="1"/>
  <c r="I10" i="32"/>
  <c r="J22" i="32"/>
  <c r="K22" i="32" s="1"/>
  <c r="K23" i="32" s="1"/>
  <c r="I23" i="32"/>
  <c r="J5" i="32"/>
  <c r="K5" i="32" s="1"/>
  <c r="K10" i="32" s="1"/>
  <c r="J16" i="32"/>
  <c r="K16" i="32" s="1"/>
  <c r="K20" i="32" s="1"/>
  <c r="I10" i="31"/>
  <c r="J5" i="31"/>
  <c r="K5" i="31" s="1"/>
  <c r="J13" i="31"/>
  <c r="K13" i="31" s="1"/>
  <c r="K14" i="31" s="1"/>
  <c r="J16" i="31"/>
  <c r="K16" i="31" s="1"/>
  <c r="K20" i="31" s="1"/>
  <c r="J22" i="31"/>
  <c r="K22" i="31" s="1"/>
  <c r="K23" i="31" s="1"/>
  <c r="I23" i="31"/>
  <c r="K14" i="32" l="1"/>
  <c r="K24" i="32" s="1"/>
  <c r="J25" i="31"/>
  <c r="I27" i="32"/>
  <c r="S18" i="25"/>
  <c r="V18" i="25"/>
  <c r="K24" i="31"/>
  <c r="K10" i="31"/>
  <c r="G22" i="30"/>
  <c r="G19" i="30"/>
  <c r="G18" i="30"/>
  <c r="L16" i="25" s="1"/>
  <c r="AA16" i="25" s="1" a="1"/>
  <c r="G17" i="30"/>
  <c r="G16" i="30"/>
  <c r="G13" i="30"/>
  <c r="H13" i="30" s="1"/>
  <c r="I13" i="30" s="1"/>
  <c r="G12" i="30"/>
  <c r="G9" i="30"/>
  <c r="G8" i="30"/>
  <c r="L11" i="25" s="1"/>
  <c r="AA11" i="25" s="1" a="1"/>
  <c r="AB11" i="25" s="1"/>
  <c r="AC11" i="25" s="1"/>
  <c r="G7" i="30"/>
  <c r="G6" i="30"/>
  <c r="L9" i="25" s="1"/>
  <c r="AA9" i="25" s="1" a="1"/>
  <c r="AB9" i="25" s="1"/>
  <c r="AC9" i="25" s="1"/>
  <c r="G5" i="30"/>
  <c r="M16" i="25" l="1"/>
  <c r="N16" i="25" s="1"/>
  <c r="AB16" i="25"/>
  <c r="AC16" i="25" s="1"/>
  <c r="M11" i="25"/>
  <c r="M9" i="25"/>
  <c r="H17" i="30"/>
  <c r="I17" i="30" s="1"/>
  <c r="J17" i="30" s="1"/>
  <c r="K17" i="30" s="1"/>
  <c r="L15" i="25"/>
  <c r="AA15" i="25" s="1" a="1"/>
  <c r="AB15" i="25" s="1"/>
  <c r="AC15" i="25" s="1"/>
  <c r="L17" i="25"/>
  <c r="AA17" i="25" s="1" a="1"/>
  <c r="AB17" i="25" s="1"/>
  <c r="AC17" i="25" s="1"/>
  <c r="H19" i="30"/>
  <c r="I19" i="30" s="1"/>
  <c r="J19" i="30" s="1"/>
  <c r="K19" i="30" s="1"/>
  <c r="L14" i="25"/>
  <c r="AA14" i="25" s="1" a="1"/>
  <c r="AB14" i="25" s="1"/>
  <c r="AC14" i="25" s="1"/>
  <c r="H16" i="30"/>
  <c r="I16" i="30" s="1"/>
  <c r="J16" i="30" s="1"/>
  <c r="K16" i="30" s="1"/>
  <c r="H12" i="30"/>
  <c r="I12" i="30" s="1"/>
  <c r="L12" i="25"/>
  <c r="AA12" i="25" s="1" a="1"/>
  <c r="AB12" i="25" s="1"/>
  <c r="AC12" i="25" s="1"/>
  <c r="H9" i="30"/>
  <c r="I9" i="30" s="1"/>
  <c r="J9" i="30" s="1"/>
  <c r="K9" i="30" s="1"/>
  <c r="H8" i="30"/>
  <c r="I8" i="30" s="1"/>
  <c r="J8" i="30" s="1"/>
  <c r="K8" i="30" s="1"/>
  <c r="L10" i="25"/>
  <c r="AA10" i="25" s="1" a="1"/>
  <c r="AB10" i="25" s="1"/>
  <c r="AC10" i="25" s="1"/>
  <c r="H7" i="30"/>
  <c r="I7" i="30" s="1"/>
  <c r="J7" i="30" s="1"/>
  <c r="K7" i="30" s="1"/>
  <c r="L8" i="25"/>
  <c r="AA8" i="25" s="1" a="1"/>
  <c r="H5" i="30"/>
  <c r="I5" i="30" s="1"/>
  <c r="J5" i="30" s="1"/>
  <c r="K5" i="30" s="1"/>
  <c r="J13" i="30"/>
  <c r="K13" i="30" s="1"/>
  <c r="K14" i="30" s="1"/>
  <c r="H6" i="30"/>
  <c r="I6" i="30" s="1"/>
  <c r="J6" i="30" s="1"/>
  <c r="K6" i="30" s="1"/>
  <c r="H18" i="30"/>
  <c r="I18" i="30" s="1"/>
  <c r="H22" i="30"/>
  <c r="I22" i="30" s="1"/>
  <c r="N11" i="25" l="1"/>
  <c r="N9" i="25"/>
  <c r="M15" i="25"/>
  <c r="M17" i="25"/>
  <c r="M14" i="25"/>
  <c r="M12" i="25"/>
  <c r="M10" i="25"/>
  <c r="M8" i="25"/>
  <c r="AB8" i="25" s="1"/>
  <c r="I14" i="30"/>
  <c r="J12" i="30"/>
  <c r="K12" i="30" s="1"/>
  <c r="J22" i="30"/>
  <c r="K22" i="30" s="1"/>
  <c r="K23" i="30" s="1"/>
  <c r="I23" i="30"/>
  <c r="J18" i="30"/>
  <c r="K18" i="30" s="1"/>
  <c r="K20" i="30" s="1"/>
  <c r="I20" i="30"/>
  <c r="I10" i="30"/>
  <c r="K10" i="30"/>
  <c r="AB18" i="25" l="1"/>
  <c r="AC8" i="25"/>
  <c r="AC18" i="25" s="1"/>
  <c r="N8" i="25"/>
  <c r="N12" i="25"/>
  <c r="N10" i="25"/>
  <c r="N15" i="25"/>
  <c r="M18" i="25"/>
  <c r="N17" i="25"/>
  <c r="K24" i="30"/>
  <c r="J25" i="30"/>
  <c r="G19" i="28"/>
  <c r="C52" i="28"/>
  <c r="C31" i="28" s="1"/>
  <c r="D47" i="28"/>
  <c r="C32" i="28"/>
  <c r="D23" i="28"/>
  <c r="D22" i="28"/>
  <c r="C22" i="28"/>
  <c r="D21" i="28"/>
  <c r="C21" i="28"/>
  <c r="D19" i="28"/>
  <c r="C18" i="28"/>
  <c r="C17" i="28"/>
  <c r="C10" i="28"/>
  <c r="C16" i="28" s="1"/>
  <c r="F16" i="28" s="1"/>
  <c r="Z14" i="25"/>
  <c r="H8" i="29" l="1"/>
  <c r="I8" i="29"/>
  <c r="T14" i="25"/>
  <c r="N14" i="25"/>
  <c r="W14" i="25"/>
  <c r="K14" i="25"/>
  <c r="Q14" i="25"/>
  <c r="E18" i="28"/>
  <c r="F18" i="28"/>
  <c r="F17" i="28"/>
  <c r="E17" i="28"/>
  <c r="E16" i="28"/>
  <c r="G16" i="28" s="1"/>
  <c r="I16" i="28" s="1"/>
  <c r="J16" i="28" s="1"/>
  <c r="C40" i="28"/>
  <c r="C41" i="28"/>
  <c r="C15" i="28"/>
  <c r="C33" i="28"/>
  <c r="C38" i="28" s="1"/>
  <c r="C14" i="28"/>
  <c r="G17" i="28" l="1"/>
  <c r="I17" i="28" s="1"/>
  <c r="J17" i="28" s="1"/>
  <c r="K17" i="28" s="1"/>
  <c r="L17" i="28" s="1"/>
  <c r="N18" i="25"/>
  <c r="T18" i="25"/>
  <c r="Q18" i="25"/>
  <c r="K18" i="25"/>
  <c r="Z18" i="25"/>
  <c r="W18" i="25"/>
  <c r="I40" i="28"/>
  <c r="J40" i="28" s="1"/>
  <c r="K40" i="28" s="1"/>
  <c r="L40" i="28" s="1"/>
  <c r="M40" i="28" s="1"/>
  <c r="N40" i="28"/>
  <c r="G18" i="28"/>
  <c r="I18" i="28" s="1"/>
  <c r="J18" i="28" s="1"/>
  <c r="F14" i="28"/>
  <c r="E14" i="28"/>
  <c r="F15" i="28"/>
  <c r="E15" i="28"/>
  <c r="C37" i="28"/>
  <c r="C39" i="28"/>
  <c r="N39" i="28" s="1"/>
  <c r="I41" i="28"/>
  <c r="J41" i="28" s="1"/>
  <c r="N41" i="28"/>
  <c r="K16" i="28"/>
  <c r="L16" i="28" s="1"/>
  <c r="N38" i="28"/>
  <c r="I38" i="28"/>
  <c r="J38" i="28" s="1"/>
  <c r="G14" i="28" l="1"/>
  <c r="I14" i="28" s="1"/>
  <c r="J14" i="28" s="1"/>
  <c r="K14" i="28" s="1"/>
  <c r="L14" i="28" s="1"/>
  <c r="G15" i="28"/>
  <c r="I15" i="28" s="1"/>
  <c r="J15" i="28" s="1"/>
  <c r="K18" i="28"/>
  <c r="N37" i="28"/>
  <c r="I37" i="28"/>
  <c r="J37" i="28" s="1"/>
  <c r="K37" i="28" s="1"/>
  <c r="L37" i="28" s="1"/>
  <c r="M37" i="28" s="1"/>
  <c r="I39" i="28"/>
  <c r="J39" i="28" s="1"/>
  <c r="K39" i="28" s="1"/>
  <c r="L39" i="28" s="1"/>
  <c r="M39" i="28" s="1"/>
  <c r="K41" i="28"/>
  <c r="L41" i="28" s="1"/>
  <c r="M41" i="28" s="1"/>
  <c r="K38" i="28"/>
  <c r="L38" i="28" s="1"/>
  <c r="M38" i="28" s="1"/>
  <c r="M16" i="28"/>
  <c r="M17" i="28"/>
  <c r="K15" i="28" l="1"/>
  <c r="L18" i="28"/>
  <c r="M18" i="28" s="1"/>
  <c r="M14" i="28"/>
  <c r="E5" i="36" s="1"/>
  <c r="G3" i="29" l="1"/>
  <c r="H3" i="29"/>
  <c r="I3" i="29" s="1"/>
  <c r="F5" i="36"/>
  <c r="L15" i="28"/>
  <c r="M15" i="28" s="1"/>
  <c r="N11" i="5"/>
  <c r="B9" i="5"/>
  <c r="B10" i="5" s="1"/>
  <c r="B11" i="5" s="1"/>
  <c r="B12" i="5" s="1"/>
  <c r="B13" i="5" s="1"/>
  <c r="B14" i="5" s="1"/>
  <c r="B15" i="5" s="1"/>
  <c r="B16" i="5" s="1"/>
  <c r="B17" i="5" s="1"/>
  <c r="B18" i="5" s="1"/>
  <c r="B19" i="5" s="1"/>
  <c r="B20" i="5" s="1"/>
  <c r="B21" i="5" s="1"/>
  <c r="B10" i="22"/>
  <c r="B11" i="22" s="1"/>
  <c r="B12" i="22" s="1"/>
  <c r="B13" i="22" s="1"/>
  <c r="B14" i="22" s="1"/>
  <c r="B15" i="22" s="1"/>
  <c r="B16" i="22" s="1"/>
  <c r="E6" i="36" l="1"/>
  <c r="E7" i="36"/>
  <c r="G4" i="29"/>
  <c r="G5" i="29"/>
  <c r="H4" i="29"/>
  <c r="I4" i="29" s="1"/>
  <c r="H5" i="29"/>
  <c r="F6" i="36"/>
  <c r="F7" i="36"/>
  <c r="G7" i="36" s="1"/>
  <c r="G5" i="36"/>
  <c r="B7" i="22"/>
  <c r="B8" i="22" s="1"/>
  <c r="B26" i="23"/>
  <c r="F25" i="23"/>
  <c r="G25" i="23" s="1"/>
  <c r="G24" i="23"/>
  <c r="F24" i="23"/>
  <c r="G23" i="23"/>
  <c r="F23" i="23"/>
  <c r="G22" i="23"/>
  <c r="F22" i="23"/>
  <c r="G21" i="23"/>
  <c r="F21" i="23"/>
  <c r="G20" i="23"/>
  <c r="F20" i="23"/>
  <c r="G19" i="23"/>
  <c r="F19" i="23"/>
  <c r="G18" i="23"/>
  <c r="F18" i="23"/>
  <c r="G17" i="23"/>
  <c r="F17" i="23"/>
  <c r="G11" i="23"/>
  <c r="F11" i="23"/>
  <c r="B11" i="23"/>
  <c r="K4" i="23"/>
  <c r="K3" i="23"/>
  <c r="K2" i="23"/>
  <c r="H22" i="5"/>
  <c r="I22" i="5"/>
  <c r="J22" i="5"/>
  <c r="I5" i="29" l="1"/>
  <c r="I6" i="29" s="1"/>
  <c r="H6" i="29"/>
  <c r="G6" i="36"/>
  <c r="G8" i="36" s="1"/>
  <c r="F8" i="36"/>
  <c r="G26" i="23"/>
  <c r="H25" i="23"/>
  <c r="I25" i="23" s="1"/>
  <c r="J25" i="23" s="1"/>
  <c r="K25" i="23" s="1"/>
  <c r="L25" i="23" s="1"/>
  <c r="M25" i="23" s="1"/>
  <c r="N25" i="23" s="1"/>
  <c r="F26" i="23"/>
  <c r="O25" i="23" l="1"/>
  <c r="G10" i="5" l="1"/>
  <c r="G9" i="5"/>
  <c r="G6" i="5"/>
  <c r="G8" i="5"/>
  <c r="N8" i="5" s="1"/>
  <c r="O8" i="5" s="1"/>
  <c r="K8" i="5" s="1"/>
  <c r="N10" i="5" l="1"/>
  <c r="O10" i="5" s="1"/>
  <c r="K10" i="5" s="1"/>
  <c r="L10" i="5" s="1"/>
  <c r="N9" i="5"/>
  <c r="O9" i="5" s="1"/>
  <c r="K9" i="5" s="1"/>
  <c r="L9" i="5" s="1"/>
  <c r="G7" i="5"/>
  <c r="I17" i="17"/>
  <c r="I16" i="17"/>
  <c r="I11" i="17"/>
  <c r="R10" i="5" l="1"/>
  <c r="R9" i="5"/>
  <c r="N14" i="5"/>
  <c r="O14" i="5" s="1"/>
  <c r="K14" i="5" s="1"/>
  <c r="I13" i="17"/>
  <c r="N17" i="5"/>
  <c r="N21" i="5"/>
  <c r="N18" i="5"/>
  <c r="N15" i="5"/>
  <c r="N19" i="5"/>
  <c r="I12" i="17"/>
  <c r="I15" i="17"/>
  <c r="N16" i="5"/>
  <c r="N20" i="5"/>
  <c r="H11" i="17"/>
  <c r="H15" i="17"/>
  <c r="L14" i="5" l="1"/>
  <c r="G9" i="22" s="1"/>
  <c r="H9" i="22" s="1"/>
  <c r="R14" i="5"/>
  <c r="O19" i="5"/>
  <c r="K19" i="5" s="1"/>
  <c r="O15" i="5"/>
  <c r="K15" i="5" s="1"/>
  <c r="O18" i="5"/>
  <c r="K18" i="5" s="1"/>
  <c r="O20" i="5"/>
  <c r="K20" i="5" s="1"/>
  <c r="O16" i="5"/>
  <c r="K16" i="5" s="1"/>
  <c r="O21" i="5"/>
  <c r="K21" i="5" s="1"/>
  <c r="O17" i="5"/>
  <c r="K17" i="5" s="1"/>
  <c r="H16" i="17"/>
  <c r="K11" i="17"/>
  <c r="L11" i="17" s="1"/>
  <c r="K15" i="17"/>
  <c r="L15" i="17" s="1"/>
  <c r="H13" i="17"/>
  <c r="H12" i="17"/>
  <c r="H17" i="17"/>
  <c r="L20" i="5" l="1"/>
  <c r="G15" i="22" s="1"/>
  <c r="H15" i="22" s="1"/>
  <c r="L18" i="5"/>
  <c r="G13" i="22" s="1"/>
  <c r="H13" i="22" s="1"/>
  <c r="L15" i="5"/>
  <c r="G10" i="22" s="1"/>
  <c r="H10" i="22" s="1"/>
  <c r="L17" i="5"/>
  <c r="G12" i="22" s="1"/>
  <c r="H12" i="22" s="1"/>
  <c r="L21" i="5"/>
  <c r="G16" i="22" s="1"/>
  <c r="H16" i="22" s="1"/>
  <c r="L16" i="5"/>
  <c r="G11" i="22" s="1"/>
  <c r="H11" i="22" s="1"/>
  <c r="L19" i="5"/>
  <c r="G14" i="22" s="1"/>
  <c r="H14" i="22" s="1"/>
  <c r="M15" i="17"/>
  <c r="N15" i="17" s="1"/>
  <c r="O15" i="17" s="1"/>
  <c r="M11" i="17"/>
  <c r="N11" i="17" s="1"/>
  <c r="O11" i="17" s="1"/>
  <c r="K13" i="17"/>
  <c r="L13" i="17" s="1"/>
  <c r="K17" i="17"/>
  <c r="L17" i="17" s="1"/>
  <c r="K16" i="17"/>
  <c r="L16" i="17" s="1"/>
  <c r="K12" i="17"/>
  <c r="L12" i="17" s="1"/>
  <c r="R15" i="5" l="1"/>
  <c r="R19" i="5"/>
  <c r="O11" i="5"/>
  <c r="N12" i="5"/>
  <c r="R18" i="5"/>
  <c r="R20" i="5"/>
  <c r="R21" i="5"/>
  <c r="N13" i="5"/>
  <c r="R16" i="5"/>
  <c r="R17" i="5"/>
  <c r="M13" i="17"/>
  <c r="N13" i="17" s="1"/>
  <c r="O13" i="17" s="1"/>
  <c r="M17" i="17"/>
  <c r="N17" i="17" s="1"/>
  <c r="O17" i="17" s="1"/>
  <c r="M12" i="17"/>
  <c r="N12" i="17" s="1"/>
  <c r="O12" i="17" s="1"/>
  <c r="M16" i="17"/>
  <c r="N16" i="17" s="1"/>
  <c r="O16" i="17" s="1"/>
  <c r="R11" i="5" l="1"/>
  <c r="O12" i="5"/>
  <c r="K12" i="5" s="1"/>
  <c r="O13" i="5"/>
  <c r="K13" i="5" s="1"/>
  <c r="O20" i="17"/>
  <c r="L12" i="5" l="1"/>
  <c r="L13" i="5"/>
  <c r="G6" i="22"/>
  <c r="H6" i="22" s="1"/>
  <c r="R13" i="5" l="1"/>
  <c r="R12" i="5"/>
  <c r="G8" i="22"/>
  <c r="H8" i="22" s="1"/>
  <c r="G7" i="22"/>
  <c r="H7" i="22" s="1"/>
  <c r="E3" i="14"/>
  <c r="F3" i="14" s="1"/>
  <c r="E4" i="14"/>
  <c r="F4" i="14" s="1"/>
  <c r="E5" i="14"/>
  <c r="F5" i="14" s="1"/>
  <c r="E6" i="14"/>
  <c r="F6" i="14" s="1"/>
  <c r="E7" i="14"/>
  <c r="F7" i="14" s="1"/>
  <c r="E8" i="14"/>
  <c r="F8" i="14" s="1"/>
  <c r="E9" i="14"/>
  <c r="F9" i="14" s="1"/>
  <c r="E10" i="14"/>
  <c r="F10" i="14" s="1"/>
  <c r="E11" i="14"/>
  <c r="F11" i="14" s="1"/>
  <c r="E12" i="14"/>
  <c r="F12" i="14" s="1"/>
  <c r="E13" i="14"/>
  <c r="F13" i="14" s="1"/>
  <c r="E2" i="14"/>
  <c r="F2" i="14" s="1"/>
  <c r="H17" i="22" l="1"/>
  <c r="G17" i="22"/>
  <c r="R8" i="5"/>
  <c r="C4" i="13"/>
  <c r="D4" i="13" s="1"/>
  <c r="C5" i="13"/>
  <c r="D5" i="13" s="1"/>
  <c r="C6" i="13"/>
  <c r="D6" i="13" s="1"/>
  <c r="C7" i="13"/>
  <c r="D7" i="13" s="1"/>
  <c r="C8" i="13"/>
  <c r="D8" i="13" s="1"/>
  <c r="C9" i="13"/>
  <c r="D9" i="13" s="1"/>
  <c r="C10" i="13"/>
  <c r="D10" i="13" s="1"/>
  <c r="C11" i="13"/>
  <c r="D11" i="13" s="1"/>
  <c r="C12" i="13"/>
  <c r="D12" i="13" s="1"/>
  <c r="C13" i="13"/>
  <c r="D13" i="13" s="1"/>
  <c r="C14" i="13"/>
  <c r="D14" i="13" s="1"/>
  <c r="C3" i="13"/>
  <c r="D3" i="13" s="1"/>
  <c r="L8" i="5" l="1"/>
  <c r="G22" i="5" l="1"/>
  <c r="S20" i="11" l="1"/>
  <c r="R20" i="11"/>
  <c r="Q20" i="11"/>
  <c r="P20" i="11"/>
  <c r="L20" i="11"/>
  <c r="K20" i="11"/>
  <c r="J20" i="11"/>
  <c r="I20" i="11"/>
  <c r="H20" i="11"/>
  <c r="B2" i="11" a="1"/>
  <c r="E17" i="8" l="1"/>
  <c r="E22" i="8"/>
  <c r="F22" i="8" s="1"/>
  <c r="E23" i="8"/>
  <c r="F23" i="8" s="1"/>
  <c r="G23" i="8" s="1"/>
  <c r="H23" i="8" s="1"/>
  <c r="E24" i="8"/>
  <c r="F24" i="8" s="1"/>
  <c r="G24" i="8" s="1"/>
  <c r="H24" i="8" s="1"/>
  <c r="I23" i="8" l="1"/>
  <c r="M6" i="11" s="1"/>
  <c r="G22" i="8"/>
  <c r="H22" i="8" s="1"/>
  <c r="I22" i="8" s="1"/>
  <c r="M5" i="11" s="1"/>
  <c r="I24" i="8"/>
  <c r="M7" i="11" s="1"/>
  <c r="C6" i="10"/>
  <c r="O9" i="11" s="1"/>
  <c r="C7" i="10"/>
  <c r="O10" i="11" s="1"/>
  <c r="C8" i="10"/>
  <c r="O11" i="11" s="1"/>
  <c r="C9" i="10"/>
  <c r="O13" i="11" s="1"/>
  <c r="C10" i="10"/>
  <c r="O14" i="11" s="1"/>
  <c r="C11" i="10"/>
  <c r="O15" i="11" s="1"/>
  <c r="C12" i="10"/>
  <c r="O12" i="11" s="1"/>
  <c r="C13" i="10"/>
  <c r="O16" i="11" s="1"/>
  <c r="C14" i="10"/>
  <c r="O17" i="11" s="1"/>
  <c r="C15" i="10"/>
  <c r="O18" i="11" s="1"/>
  <c r="C16" i="10"/>
  <c r="O19" i="11" s="1"/>
  <c r="C17" i="10"/>
  <c r="C18" i="10"/>
  <c r="C5" i="10"/>
  <c r="O8" i="11" s="1"/>
  <c r="O20" i="11" l="1"/>
  <c r="Z5" i="11"/>
  <c r="M20" i="11"/>
  <c r="W5" i="11"/>
  <c r="X5" i="11" s="1"/>
  <c r="T5" i="11" s="1"/>
  <c r="W6" i="11"/>
  <c r="X6" i="11" s="1"/>
  <c r="T6" i="11" s="1"/>
  <c r="U6" i="11" s="1"/>
  <c r="Z6" i="11"/>
  <c r="Z7" i="11"/>
  <c r="W7" i="11"/>
  <c r="X7" i="11" s="1"/>
  <c r="T7" i="11" s="1"/>
  <c r="U7" i="11" s="1"/>
  <c r="J7" i="9"/>
  <c r="K7" i="9" s="1"/>
  <c r="N9" i="11" s="1"/>
  <c r="J8" i="9"/>
  <c r="K8" i="9" s="1"/>
  <c r="N10" i="11" s="1"/>
  <c r="J9" i="9"/>
  <c r="K9" i="9" s="1"/>
  <c r="N11" i="11" s="1"/>
  <c r="J10" i="9"/>
  <c r="K10" i="9" s="1"/>
  <c r="N13" i="11" s="1"/>
  <c r="J11" i="9"/>
  <c r="K11" i="9" s="1"/>
  <c r="N14" i="11" s="1"/>
  <c r="J12" i="9"/>
  <c r="K12" i="9" s="1"/>
  <c r="N15" i="11" s="1"/>
  <c r="J13" i="9"/>
  <c r="K13" i="9" s="1"/>
  <c r="N12" i="11" s="1"/>
  <c r="J14" i="9"/>
  <c r="K14" i="9" s="1"/>
  <c r="N16" i="11" s="1"/>
  <c r="J15" i="9"/>
  <c r="K15" i="9" s="1"/>
  <c r="N17" i="11" s="1"/>
  <c r="J16" i="9"/>
  <c r="K16" i="9" s="1"/>
  <c r="N18" i="11" s="1"/>
  <c r="J17" i="9"/>
  <c r="K17" i="9" s="1"/>
  <c r="N19" i="11" s="1"/>
  <c r="Z19" i="11" s="1"/>
  <c r="J18" i="9"/>
  <c r="K18" i="9" s="1"/>
  <c r="J19" i="9"/>
  <c r="K19" i="9" s="1"/>
  <c r="J20" i="9"/>
  <c r="K20" i="9" s="1"/>
  <c r="J21" i="9"/>
  <c r="K21" i="9" s="1"/>
  <c r="J22" i="9"/>
  <c r="K22" i="9" s="1"/>
  <c r="J23" i="9"/>
  <c r="K23" i="9" s="1"/>
  <c r="J6" i="9"/>
  <c r="K6" i="9" s="1"/>
  <c r="N8" i="11" s="1"/>
  <c r="Z12" i="11" l="1"/>
  <c r="W12" i="11"/>
  <c r="X12" i="11" s="1"/>
  <c r="T12" i="11" s="1"/>
  <c r="Z15" i="11"/>
  <c r="W15" i="11"/>
  <c r="X15" i="11" s="1"/>
  <c r="T15" i="11" s="1"/>
  <c r="W17" i="11"/>
  <c r="X17" i="11" s="1"/>
  <c r="T17" i="11" s="1"/>
  <c r="Z17" i="11"/>
  <c r="N20" i="11"/>
  <c r="W8" i="11"/>
  <c r="X8" i="11" s="1"/>
  <c r="T8" i="11" s="1"/>
  <c r="Z8" i="11"/>
  <c r="Z14" i="11"/>
  <c r="W14" i="11"/>
  <c r="X14" i="11" s="1"/>
  <c r="T14" i="11" s="1"/>
  <c r="W13" i="11"/>
  <c r="X13" i="11" s="1"/>
  <c r="T13" i="11" s="1"/>
  <c r="Z13" i="11"/>
  <c r="W16" i="11"/>
  <c r="X16" i="11" s="1"/>
  <c r="T16" i="11" s="1"/>
  <c r="Z16" i="11"/>
  <c r="W10" i="11"/>
  <c r="X10" i="11" s="1"/>
  <c r="T10" i="11" s="1"/>
  <c r="Z10" i="11"/>
  <c r="W9" i="11"/>
  <c r="X9" i="11" s="1"/>
  <c r="T9" i="11" s="1"/>
  <c r="Z9" i="11"/>
  <c r="W19" i="11"/>
  <c r="X19" i="11" s="1"/>
  <c r="T19" i="11" s="1"/>
  <c r="Z11" i="11"/>
  <c r="W11" i="11"/>
  <c r="X11" i="11" s="1"/>
  <c r="T11" i="11" s="1"/>
  <c r="Z18" i="11"/>
  <c r="W18" i="11"/>
  <c r="X18" i="11" s="1"/>
  <c r="T18" i="11" s="1"/>
  <c r="U5" i="11"/>
  <c r="N7" i="5"/>
  <c r="AA18" i="11" l="1"/>
  <c r="U18" i="11"/>
  <c r="AA13" i="11"/>
  <c r="U13" i="11"/>
  <c r="AA17" i="11"/>
  <c r="U17" i="11"/>
  <c r="U8" i="11"/>
  <c r="AA8" i="11"/>
  <c r="U15" i="11"/>
  <c r="AA15" i="11"/>
  <c r="AA11" i="11"/>
  <c r="U11" i="11"/>
  <c r="AA14" i="11"/>
  <c r="U14" i="11"/>
  <c r="U9" i="11"/>
  <c r="AA9" i="11"/>
  <c r="U12" i="11"/>
  <c r="AA12" i="11"/>
  <c r="AA19" i="11"/>
  <c r="U19" i="11"/>
  <c r="AA10" i="11"/>
  <c r="U10" i="11"/>
  <c r="U16" i="11"/>
  <c r="AA16" i="11"/>
  <c r="T20" i="11"/>
  <c r="O7" i="5"/>
  <c r="U20" i="11" l="1"/>
  <c r="K7" i="5"/>
  <c r="R7" i="5" l="1"/>
  <c r="L7" i="5"/>
  <c r="N6" i="5" l="1"/>
  <c r="O6" i="5" l="1"/>
  <c r="K6" i="5" s="1"/>
  <c r="R6" i="5" l="1"/>
  <c r="K22" i="5"/>
  <c r="L6" i="5"/>
  <c r="L22" i="5" s="1"/>
  <c r="M8" i="23" l="1"/>
  <c r="H8" i="23" l="1"/>
  <c r="I2" i="23"/>
  <c r="M23" i="23"/>
  <c r="M17" i="23"/>
  <c r="M24" i="23"/>
  <c r="M21" i="23"/>
  <c r="N8" i="23"/>
  <c r="M10" i="23"/>
  <c r="M9" i="23"/>
  <c r="E8" i="23"/>
  <c r="D8" i="23"/>
  <c r="N24" i="23" l="1"/>
  <c r="N21" i="23"/>
  <c r="N23" i="23"/>
  <c r="N17" i="23"/>
  <c r="I8" i="23"/>
  <c r="H21" i="23"/>
  <c r="H24" i="23"/>
  <c r="H23" i="23"/>
  <c r="H17" i="23"/>
  <c r="H10" i="23"/>
  <c r="I4" i="23"/>
  <c r="M18" i="23"/>
  <c r="M11" i="23"/>
  <c r="N9" i="23"/>
  <c r="I3" i="23"/>
  <c r="H9" i="23"/>
  <c r="N10" i="23"/>
  <c r="M22" i="23"/>
  <c r="M19" i="23"/>
  <c r="M20" i="23"/>
  <c r="E10" i="23"/>
  <c r="D10" i="23"/>
  <c r="E9" i="23"/>
  <c r="E18" i="23" s="1"/>
  <c r="D9" i="23"/>
  <c r="D18" i="23" s="1"/>
  <c r="D23" i="23"/>
  <c r="D17" i="23"/>
  <c r="D21" i="23"/>
  <c r="D24" i="23"/>
  <c r="E23" i="23"/>
  <c r="E17" i="23"/>
  <c r="E24" i="23"/>
  <c r="E21" i="23"/>
  <c r="I23" i="23" l="1"/>
  <c r="I17" i="23"/>
  <c r="I24" i="23"/>
  <c r="I21" i="23"/>
  <c r="J8" i="23"/>
  <c r="H11" i="23"/>
  <c r="I9" i="23"/>
  <c r="H18" i="23"/>
  <c r="N18" i="23"/>
  <c r="N11" i="23"/>
  <c r="M26" i="23"/>
  <c r="H19" i="23"/>
  <c r="H20" i="23"/>
  <c r="I10" i="23"/>
  <c r="H22" i="23"/>
  <c r="N22" i="23"/>
  <c r="N19" i="23"/>
  <c r="N20" i="23"/>
  <c r="E22" i="23"/>
  <c r="E19" i="23"/>
  <c r="E20" i="23"/>
  <c r="D22" i="23"/>
  <c r="D20" i="23"/>
  <c r="D19" i="23"/>
  <c r="D11" i="23"/>
  <c r="K8" i="23" l="1"/>
  <c r="J23" i="23"/>
  <c r="J17" i="23"/>
  <c r="J24" i="23"/>
  <c r="J21" i="23"/>
  <c r="E26" i="23"/>
  <c r="N26" i="23"/>
  <c r="H26" i="23"/>
  <c r="I20" i="23"/>
  <c r="J10" i="23"/>
  <c r="I22" i="23"/>
  <c r="I19" i="23"/>
  <c r="J9" i="23"/>
  <c r="I11" i="23"/>
  <c r="I18" i="23"/>
  <c r="D26" i="23"/>
  <c r="K24" i="23" l="1"/>
  <c r="K21" i="23"/>
  <c r="L8" i="23"/>
  <c r="K23" i="23"/>
  <c r="K17" i="23"/>
  <c r="I26" i="23"/>
  <c r="J11" i="23"/>
  <c r="J18" i="23"/>
  <c r="K9" i="23"/>
  <c r="K10" i="23"/>
  <c r="J20" i="23"/>
  <c r="J22" i="23"/>
  <c r="J19" i="23"/>
  <c r="L23" i="23" l="1"/>
  <c r="O23" i="23" s="1"/>
  <c r="L17" i="23"/>
  <c r="O17" i="23" s="1"/>
  <c r="L21" i="23"/>
  <c r="O21" i="23" s="1"/>
  <c r="L24" i="23"/>
  <c r="O24" i="23" s="1"/>
  <c r="O8" i="23"/>
  <c r="J26" i="23"/>
  <c r="K20" i="23"/>
  <c r="L10" i="23"/>
  <c r="K22" i="23"/>
  <c r="K19" i="23"/>
  <c r="L9" i="23"/>
  <c r="K18" i="23"/>
  <c r="K11" i="23"/>
  <c r="K26" i="23" l="1"/>
  <c r="L18" i="23"/>
  <c r="O18" i="23" s="1"/>
  <c r="L11" i="23"/>
  <c r="O9" i="23"/>
  <c r="L19" i="23"/>
  <c r="O19" i="23" s="1"/>
  <c r="L20" i="23"/>
  <c r="O20" i="23" s="1"/>
  <c r="L22" i="23"/>
  <c r="O22" i="23" s="1"/>
  <c r="O10" i="23"/>
  <c r="D32" i="23" l="1"/>
  <c r="D33" i="23"/>
  <c r="O11" i="23"/>
  <c r="L26" i="23"/>
  <c r="O26" i="23" s="1"/>
  <c r="I10" i="29" l="1"/>
  <c r="D34" i="23"/>
  <c r="H10" i="29"/>
  <c r="B2" i="11"/>
  <c r="AA17" i="25"/>
  <c r="AA16" i="25"/>
  <c r="AA15" i="25"/>
  <c r="AA14" i="25"/>
  <c r="AA12" i="25"/>
  <c r="AA11" i="25"/>
  <c r="AA10" i="25"/>
  <c r="AA9" i="25"/>
  <c r="AA8"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Nelson Javier Arguellez Palacios</author>
  </authors>
  <commentList>
    <comment ref="O9" authorId="0" shapeId="0" xr:uid="{00000000-0006-0000-0600-000001000000}">
      <text>
        <r>
          <rPr>
            <b/>
            <sz val="9"/>
            <color indexed="81"/>
            <rFont val="Tahoma"/>
            <family val="2"/>
          </rPr>
          <t>Ajuste a 100</t>
        </r>
        <r>
          <rPr>
            <sz val="9"/>
            <color indexed="81"/>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<sst xmlns="http://schemas.openxmlformats.org/spreadsheetml/2006/main" count="1298" uniqueCount="469">
  <si>
    <t>Proyección Resolución 
CIRCULAR EXTERNA 
N° 20251300000115CS</t>
  </si>
  <si>
    <t>ITEM</t>
  </si>
  <si>
    <t>PRODUCTO O SERVICIO</t>
  </si>
  <si>
    <t>ESPECIFICACION TECNICA</t>
  </si>
  <si>
    <t>UNIDAD DE MEDIDA A COTIZAR</t>
  </si>
  <si>
    <t>CANTIDAD A COTIZAR</t>
  </si>
  <si>
    <t>Cotización 1
VALOR UNITARIO (INCLUIDO IVA SI APLICA)</t>
  </si>
  <si>
    <t>Cotización 2
VALOR UNITARIO (INCLUIDO IVA SI APLICA)</t>
  </si>
  <si>
    <t>Cotización 3
VALOR UNITARIO (INCLUIDO IVA SI APLICA)</t>
  </si>
  <si>
    <t>Cotización 4
VALOR UNITARIO (INCLUIDO IVA SI APLICA)</t>
  </si>
  <si>
    <t>VALOR UNITARIO PROMEDIO O MEDIANA (INCLUIDO IVA SI APLICA)</t>
  </si>
  <si>
    <t>VALOR PROMEDIO O MEDIANA TOTAL (INCLUIDO IVA SI APLICA)</t>
  </si>
  <si>
    <t>FUENTE DE CONSULTA</t>
  </si>
  <si>
    <t>DESVIACIÓN ESTÁNDAR</t>
  </si>
  <si>
    <t>SI DESVEST ES &gt;15% SE PROMEDIA CON MEDIANA</t>
  </si>
  <si>
    <t>Cotizaciones Elemento</t>
  </si>
  <si>
    <t>Probabilidad de ahorro</t>
  </si>
  <si>
    <t>Talento humano</t>
  </si>
  <si>
    <t>Servicio humano SIN ARMA (24 horas del día de Lunes a Domingo) - Mes de servicio (Incluye Impuestos, Seguros, AIU)</t>
  </si>
  <si>
    <t>Mes</t>
  </si>
  <si>
    <t>Servicio humano CON ARMA (24 horas del día de Lunes a Domingo) - Mes de servicio (Incluye Impuestos, Seguros, AIU)</t>
  </si>
  <si>
    <t>Servicio humano CON CANINO (24 horas del día de Lunes a Domingo) - Mes de servicio (Incluye Impuestos, Seguros, AIU)</t>
  </si>
  <si>
    <t>Servicio humano sin arma (12 horas diarias de lunes a viernes sin festivos)</t>
  </si>
  <si>
    <t>Servicio humano sin arma (12 horas diarias de lunes a sábado sin festivos)</t>
  </si>
  <si>
    <t>Servicio Alquiler</t>
  </si>
  <si>
    <t>CCTV compuesto por 140 cámaras Tipo domo IP  - Precio Alquiler Por Mes</t>
  </si>
  <si>
    <t>Brazos para soporte de cámaras  - Precio Alquiler Por Mes</t>
  </si>
  <si>
    <t>Alquiler RACK para Instalación de los equipos de grabación  - Precio Alquiler Por Mes</t>
  </si>
  <si>
    <t>Monitores LED de 50”  -  Precio Alquiler Por Mes</t>
  </si>
  <si>
    <t>Kit´s de alarma - Precio Alquiler Por Mes</t>
  </si>
  <si>
    <t>Computadores de escritorio - Precio Alquiler Por Mes</t>
  </si>
  <si>
    <t>Impresoras térmicas para stikers - Precio Alquiler Por Mes</t>
  </si>
  <si>
    <t xml:space="preserve"> Lector de registro de cedula - Precio Alquiler Por Mes</t>
  </si>
  <si>
    <t>Equipo biométrico - Precio Alquiler Por Mes</t>
  </si>
  <si>
    <t>Baños portátiles con sistema flushing con bomba de piso - Precio Alquiler Por Mes</t>
  </si>
  <si>
    <t>Unitario</t>
  </si>
  <si>
    <t xml:space="preserve">PROYECCIÓN COSTOS </t>
  </si>
  <si>
    <t>VALORES UNITARIOS</t>
  </si>
  <si>
    <t>VALOR UNITARIO ANTES DE IVA</t>
  </si>
  <si>
    <t>CCTV</t>
  </si>
  <si>
    <t>Brazo soporte</t>
  </si>
  <si>
    <t>RACK</t>
  </si>
  <si>
    <t>MONITORES</t>
  </si>
  <si>
    <t>ALARMA</t>
  </si>
  <si>
    <t>COMPUTADOR</t>
  </si>
  <si>
    <t>IMPRESORA</t>
  </si>
  <si>
    <t>LECTOR</t>
  </si>
  <si>
    <t>BIOMETRICO</t>
  </si>
  <si>
    <t>BAÑOS</t>
  </si>
  <si>
    <t>Elaborado por:</t>
  </si>
  <si>
    <t>COMPONENTE DEL COSTO</t>
  </si>
  <si>
    <t>UBICACIÓN</t>
  </si>
  <si>
    <t>No. PUESTOS</t>
  </si>
  <si>
    <t>CARACTERISTICAS</t>
  </si>
  <si>
    <t>PLAZO DE EJECUCIÓN EN MESES</t>
  </si>
  <si>
    <t>VALOR UNITARIO DEL SERVICIO</t>
  </si>
  <si>
    <t>VALOR TOTAL DEL SERVICIO</t>
  </si>
  <si>
    <t>VALOR PUESTOS DE TRABAJO 25 DÍAS</t>
  </si>
  <si>
    <t>RECURSO HUMANO</t>
  </si>
  <si>
    <t>SEDE KENNEDY</t>
  </si>
  <si>
    <t>Servicio humano sin arma las 24 horas del día de Lunes a Domingo</t>
  </si>
  <si>
    <t>Servicio humano CON arma las 24 horas del día de Lunes a Domingo</t>
  </si>
  <si>
    <t>SEDE CARVAJAL</t>
  </si>
  <si>
    <t>SUBTOTAL RECURSO HUMANO (A)</t>
  </si>
  <si>
    <t>SUBTOTAL MEDIOS TECNOLÓGICOS (B)</t>
  </si>
  <si>
    <t>VALOR TOTAL RECURSO HUMANO (A) + MEDIOS TECNOLÓGICOS (B)</t>
  </si>
  <si>
    <t>CIRCULAR EXTERNA N° 20251300000115CS - 30 diciembre de 2025 SuperVigilancia</t>
  </si>
  <si>
    <t>VALOR TOTAL DEL SERVICIO - 25 DÍAS</t>
  </si>
  <si>
    <t>TOTAL PUESTOS DE TRABAJO</t>
  </si>
  <si>
    <t>VALOR TOTAL TALENTO HUMANO</t>
  </si>
  <si>
    <t>FONDO DE DESARROLLO LOCAL DE KENNEDY</t>
  </si>
  <si>
    <t>CONOLIDADO DE COTIZACIONES - ESTUDIO DE MERCADO</t>
  </si>
  <si>
    <t xml:space="preserve">OBJETO: PRESTACIÓN DEL SERVICIO INTEGRAL DE VIGILANCIA Y SEGURIDAD PRIVADA EN LA MODALIDAD DE VIGILANCIA FIJA, CON MEDIO HUMANO CON Y SIN ARMA, Y MEDIOS TECNOLÓGICOS, PARA LA PROTECCIÓN DE LAS PERSONAS, BIENES MUEBLES E INMUEBLES Y DEMÁS INTERESES PATRIMONIALES DEL FONDO DESARROLLO LOCAL DE KENNEDY Y DE AQUELLOS POR LOS CUALES SEA O LLEGARE A SER LEGALMENTE RESPONSABLE. </t>
  </si>
  <si>
    <t xml:space="preserve">
EMPRESA DE VIGILANCIA
TIGERS JOB LTDA
SECOP ll</t>
  </si>
  <si>
    <t>EMPRESA DE VIGILANCIA
TOP GUARD LTDA</t>
  </si>
  <si>
    <t>EMPRESA DE VIGILANCIA 
FULL PROTECTION LTDA</t>
  </si>
  <si>
    <t>EMPRESA DE SEGURIDAD PRIVADA SHALOM LTDA.</t>
  </si>
  <si>
    <t xml:space="preserve">EMPRESAS DE SEGURIDAD CIPRÉS SEGURIDAD
 Y PROTECCIÓN LTDA. 
</t>
  </si>
  <si>
    <t>EMPRESAS DE SEGURIDAD TORONTO LTDA</t>
  </si>
  <si>
    <t>MEDIA GEOMETRICA 4 MÁS BAJAS</t>
  </si>
  <si>
    <t>Item</t>
  </si>
  <si>
    <t>Nombre</t>
  </si>
  <si>
    <t>Descripción</t>
  </si>
  <si>
    <t xml:space="preserve">Meses </t>
  </si>
  <si>
    <t xml:space="preserve">Unidad de
Medida </t>
  </si>
  <si>
    <t>Cantidad</t>
  </si>
  <si>
    <t>IVA</t>
  </si>
  <si>
    <t xml:space="preserve">VALOR UNITARIO ANTES DE IVA </t>
  </si>
  <si>
    <t xml:space="preserve">VALOR UNITARIO INCLUIDO IVA </t>
  </si>
  <si>
    <t xml:space="preserve">VALOR TOTAL OFERTA INCLUIDO IVA </t>
  </si>
  <si>
    <t>CIRCUITO CERRADO DE TELEVISIÓN ALK</t>
  </si>
  <si>
    <t xml:space="preserve">Alquiler de Cámaras de video vigilancia Tipo domo IP  P </t>
  </si>
  <si>
    <t xml:space="preserve">REQUERIMIENTOS TÉCNICOS MÍNIMOS
cámaras Tipo do-mo IP
• Resolución mínima: 2 megapíxeles (Full HD) o superior.
• Sensibilidad lumínica:0.001 Lux @ (F1.0, AGC ON), 0 Lux con iluminación infrarroja o luz blanca.
• Compresión de video: H.265 / H.265+ / H.264 / H.264+.
• Ángulo de visión: Panorámica: 0° a 360°, Inclinación: 0° a 75°, Rotación: 0° a 360°. Lente mínimo 2.8 mm con FOV amplio.
• Protocolos: TCP/IP, HTTP, HTTPS, DHCP, DNS, RTP, RTSP, NTP, IGMP, IPv4/IPv6, SSL/TLS.
• Compatibilidad: Compatible con el sistema actual de la Alcaldía y protocolo ONVIF Perfil S/G/T.
• Interfaz de red: Puerto Ethernet RJ45 10/100 Mbps autoadaptativo.
• Alimentación: 12 VDC ±25% y/o PoE IEEE 802.3af Clase 3.
• Consumo máximo: 6.5 W por cámara.
• Protección: IP66 o superior para exterior, IK10 cuando aplique en zonas de riesgo o exposición.
• Cableado:Se deberá conservar el cableado existente si cumple condiciones técnicas.
En caso contrario, se deberá suministrar e instalar cableado UTP categoría 6A en cobre certificado.
• Instalación: Incluye suministro, instalación, configuración, integración, pruebas y puesta en marcha del sistema completo.
Almacenamiento: la infraestructura de almacenamiento (servidores, NVR, discos duros tipo Surveillance o Enterprise) necesaria para garantizar la grabación continua (24/7) de las cámaras por un periodo mínimo de 90 días (3 meses).
Electrónica de Red (Switches): El servicio incluye el suministro y configuración de los switches administrables necesarios. El contratista deberá proveer equipos con puertos suficientes y capacidad Power over Ethernet (PoE) para energizar el 100% de las cámaras sin interrupciones.                                                                                                                                                             DEBE QUEDAR INSTALADO Y EN FUNCIONAMIENTO CON EL  CABLEADO QUE SEA REQUERIDO PARA SU FUNCIONAMIENTO
</t>
  </si>
  <si>
    <t>mes</t>
  </si>
  <si>
    <t>Alquiler Brazos para soporte de cámaras</t>
  </si>
  <si>
    <t xml:space="preserve">Brazos para soporte de cámaras de 0.5 metros a un metro metálico de color blanco o negro 
Con instalación y puesta en marcha ( EN LOS DOS COSTADOS DE LA ALCALDIA - DERECHA E IZQUIERDA CON VISTA AL PARQUEADERO)
</t>
  </si>
  <si>
    <t>Alquiler de RACK  mural para Instalación de los switches por piso</t>
  </si>
  <si>
    <t>Rack mural tipo gabinete cerrado para telecomunicaciones, con las siguientes características mínimas:
• Formato estándar de 19 pulgadas.
• Estructura metálica de alta resistencia.
• Montaje en pared.
• Puerta frontal con ventilación lateral y cerradura.
• Organización interna mediante patch panel, bandejas y organizadores horizontales de cableado.
• Espacio para instalación de switches, NVR y equipos de videovigilancia.
• Regleta eléctrica interna (PDU) mínimo de 6 tomas.
• Ventilación activa o ventiladores superiores.
Dimensiones mínimas recomendadas:
• Altura: entre 12U y 15U.
• Fondo mínimo: 60 cm.
• Capacidad de carga mínima: 40 kg.
Debe permitir la instalación y correcta operación de:
• Switches administrables y/o PoE.
• Equipos de videovigilancia tipo NVR.
• Patch panel.
• Organizadores de cableado.
• Cableado estructurado UTP y/o fibra óptica.
El rack deberá garantizar adecuada ventilación, distribución eléctrica y organización del cableado para asegurar el correcto funcionamiento de los equipos tecnológicos
Debe incluir:
• Instalación.
• Configuración.
• Organización interna del cableado.
• Puesta en marcha.
• Todos los accesorios requeridos para su correcto funcionamiento.</t>
  </si>
  <si>
    <t xml:space="preserve">Aquiler de rack de piso para instalación de los NVR </t>
  </si>
  <si>
    <t>Rack de Piso (Gabinete Principal) para alojamiento de NVR y Core de red, con las siguientes características mínimas:
• Formato estándar de 19 pulgadas.
• Estructura metálica en acero laminado en frío de alta resistencia.
• Gabinete autosoportado (de piso) con rodachinas de alta resistencia y niveladores.
• Puerta frontal y posterior microperforadas (malla) para garantizar un flujo de aire óptimo y disipación de calor, ambas con cerradura de seguridad.
• Paneles laterales desmontables con cerradura.
• Organización interna mediante patch panel, bandejas de alta resistencia y organizadores de cableado verticales y horizontales.
• Espacio y profundidad adecuada para instalación de switches core, servidores de videovigilancia (NVR) de gran formato y sistemas de alimentación ininterrumpida (UPS).
• Regletas eléctricas (PDU): Mínimo dos (2) regletas de montaje vertical con mínimo 10 tomas cada una.
• Sistema de ventilación activa en el techo (mínimo 4 ventiladores).
Dimensiones mínimas recomendadas:
• Altura: entre 32U y 42U
• Fondo mínimo: 100 cm (1000 mm). 
• Capacidad de carga estática mínima: 800 kg.
Debe permitir la instalación y correcta operación de:
• Servidores de almacenamiento y/o equipos de videovigilancia tipo NVR de alta densidad.
• Switches administrables de distribución/core.
• Patch panel y organizadores de cableado de alta densidad.
• Cableado estructurado UTP y/o fibra óptica (bandejas de empalme).</t>
  </si>
  <si>
    <t xml:space="preserve">Alquiler de Monitores LED de 50” </t>
  </si>
  <si>
    <t xml:space="preserve">Con entradas: VGA, DVI, HDMI, USB con bocinas internas y soporte de fijación tipo pared y/o tipo mesa. 
Estos monitores deben quedar instaladas en los mismos puntos con los que actualmente cuenta el Fondo Local de Kennedy o en su defecto los puntos recomendados por el área de TIC con instalación y puesta en marcha 
</t>
  </si>
  <si>
    <t>SISTEMAS PARA EL CONTROL DE ACCESO INTEGRAL</t>
  </si>
  <si>
    <t>Computadores de escritorio</t>
  </si>
  <si>
    <t>Las especificaciones de los computado-res de escritorio mínimo deben tener las siguientes características: 
• Procesador (CPU): Intel Core i5 de 14ª generación en adelante o AMD Ryzen 5 (serie 5000 o superior)
• Memoria RAM:16 GB DDR5 (mínimo)
• Almacenamiento: 512  GB SSD (mínimo)
• Sistema Operativo: Windows: Win-dows 11 Pro
• Monitor: de 24 pulgadas Full HD (mínimo)
• Conectividad: Ethernet (RJ45), Conexión a WiFi (integrado), Bluetooth (integrado)
• Puertos: 4 puertos USB 3.0 (Minimo), 1 puerto HDMI o DisplayPort
• Periféricos: Teclado y mouse alambrcos conexión USB
• Cámara web HD integrada en el monitor
• Lectores o dispositivos adicionales según operación (eje: lector de có-digo de barras)
• Seguridad: Antivirus Licenciado 
DEBE TENER SOFTWARE REGISTRO DE VISITANTES Y DEBE QUEDAR INSTALADO Y EN FUNCIONAMIENTO CON EL  CABLEADO QUE SEA REQUERIDO PARA SU FUNCIONAMIENTO</t>
  </si>
  <si>
    <t xml:space="preserve">Impresoras térmicas para stikers </t>
  </si>
  <si>
    <t xml:space="preserve">Dos (2) impresoras térmicas para impresión de stickers de ingreso de visitantes. 
El equipo deberá permitir la identificación de los visitantes mediante la impresión de información como: nombre completo, tipo y número de documento, fotografía, hora de ingreso, oficina a la cual se dirige y persona que autoriza el ingreso. 
Así mismo, el elemento deberá contar con tecnología de impresión térmica y ser compatible con el sistema operativo de los computadores de la entidad y sercompatible con e programa y equipos suministrados, incluyendo rollos de uso y de backup requeridos,                                                                         CON INSTALACION Y PUESTA EN MARCHA -  Y CABLEADO QUE SEA REQUERIDO PARA SU FUNCIONAMIENTO </t>
  </si>
  <si>
    <t>Lector de registro de cedulas</t>
  </si>
  <si>
    <t xml:space="preserve">Lector código de barras de las cedulas de ciudadania que permita registrar automáticamente en la base de datos la información de los visitantes. </t>
  </si>
  <si>
    <t>Equipo biométrico</t>
  </si>
  <si>
    <t xml:space="preserve">Con su respectivo enrolador que permita el registro de huellas, sensor óptico, control de tiempo y asistencia, comunicación TCP/IP, RS-485, identificación de huella en 1 segundo, mínimo 10.000 usuarios 
 Mínimo 50.000 eventos, kit de alimentación, software para el registro y salida de visitantes que será instalado en un equipo de cómputo de la entidad con entrega mensual de 20.000 stickers o etiquetas.  Con instalación y puesta en marcha </t>
  </si>
  <si>
    <r>
      <rPr>
        <b/>
        <sz val="12"/>
        <color rgb="FF000000"/>
        <rFont val="Arial Narrow"/>
      </rPr>
      <t>Nota 1 :</t>
    </r>
    <r>
      <rPr>
        <sz val="12"/>
        <color rgb="FF000000"/>
        <rFont val="Arial Narrow"/>
      </rPr>
      <t>Es importante indicar que la solicitud de cotización inicial se realizó para 7.5 meses de ejecución, contemplando un total de 12 ítem, relacionados con circuito cerrado de televisión ALK (5), alarma ALK (2) y sistemas para el control de acceso integral (4) y batería de baño (1).
No obstante, la Entidad no logró adelantar el proceso de selección bajo las condiciones inicialmente previstas. En consecuencia, y una vez realizada la correspondiente investigación de mercado, se tomaron como referencia las cotizaciones obtenidas para estructurar el presente proceso de selección bajo la modalidad de mínima cuantía, considerando un período de ejecución de un (1) mes.
Es importante señalar que las cotizaciones utilizadas corresponden a la vigencia 2026 y, por tanto, sus precios se consideran vigentes y actualizados para efectos de la estimación económica del presente proceso.
Dado lo anterior, los requerimientos de medios tecnológicos fueron ajustados a un total de nueve (9) ítems, modificando igualmente las cantidades inicialmente previstas, de acuerdo con las necesidades actuales de la Entidad y con el presupuesto disponible para adelantar el presente proceso.</t>
    </r>
  </si>
  <si>
    <r>
      <t xml:space="preserve">Nota 2: </t>
    </r>
    <r>
      <rPr>
        <sz val="12"/>
        <color theme="1"/>
        <rFont val="Arial Narrow"/>
        <family val="2"/>
      </rPr>
      <t>Para establecer el precio de referencia, se calculó la media geométrica de las cuatro (4) cotizaciones de menor valor unitario</t>
    </r>
  </si>
  <si>
    <t>ESTIMACIÓN DE COSTOS 2026</t>
  </si>
  <si>
    <t>CIRCULAR 20251300000115CS</t>
  </si>
  <si>
    <t>ESTIMACIÓN DE COSTOS DEL 15/07/2026 - 31/12/2026</t>
  </si>
  <si>
    <t>Tarifa Base Personal</t>
  </si>
  <si>
    <t>Base de incremento por costos</t>
  </si>
  <si>
    <t>Valor estimado antes de variables</t>
  </si>
  <si>
    <t>SERVICIO</t>
  </si>
  <si>
    <t xml:space="preserve"> VALOR </t>
  </si>
  <si>
    <t xml:space="preserve"> SEGURO DE VIDA  </t>
  </si>
  <si>
    <t xml:space="preserve">VARIABLE PROPORCIONALIDAD </t>
  </si>
  <si>
    <t xml:space="preserve">VALOR 25 DIAS </t>
  </si>
  <si>
    <t xml:space="preserve">Porcentaje de gastos de administración y supervisión </t>
  </si>
  <si>
    <t>Gasto de Administración y de supervisión</t>
  </si>
  <si>
    <t xml:space="preserve"> TOTAL SIN IVA </t>
  </si>
  <si>
    <t xml:space="preserve"> AIU 10% DEL SERVICIO </t>
  </si>
  <si>
    <t xml:space="preserve"> IVA 19% </t>
  </si>
  <si>
    <t xml:space="preserve"> TOTAL CON IVA </t>
  </si>
  <si>
    <t>24 HORAS</t>
  </si>
  <si>
    <t>ESTIMACIÓN DE COSTOS 2027</t>
  </si>
  <si>
    <t>ESTIMACION AÑO  2027</t>
  </si>
  <si>
    <t>ESTIMACIÓN DE COSTOS DEL 01/01/2027 - 14/07/2027</t>
  </si>
  <si>
    <t>Porcentaje</t>
  </si>
  <si>
    <t xml:space="preserve"> A y S</t>
  </si>
  <si>
    <t>Año</t>
  </si>
  <si>
    <t>Aumento</t>
  </si>
  <si>
    <t>Salario Mínimo</t>
  </si>
  <si>
    <t xml:space="preserve">PROMEDIO </t>
  </si>
  <si>
    <t xml:space="preserve">FORMATO COTIZACIÓN
Objeto: CONTRATAR LA PRESTACIÓN DEL SERVICIO INTEGRAL DE VIGILANCIA Y SEGURIDAD PRIVADA EN LA MODALIDAD DE VIGILANCIA FIJA, CON MEDIO HUMANO CON Y SIN ARMA, APOYO CANINO Y MEDIOS TECNOLÓGICOS, PARA LA PROTECCIÓN DE LAS PERSONAS, BIENES MUEBLES E INMUEBLES Y DEMÁS INTERESES PATRIMONIALES DEL FONDO DE DESARROLLO LOCAL DE KENNEDY Y DE AQUELLOS POR LOS CUALES SEA O LLEGARE A SER LEGALMENTE RESPONSABLE.
</t>
  </si>
  <si>
    <t>INFORMACIÓN GENERAL</t>
  </si>
  <si>
    <t>COTIZACIÓN</t>
  </si>
  <si>
    <t>Items Totaltes</t>
  </si>
  <si>
    <t>Valor unitarios sin IVA</t>
  </si>
  <si>
    <t>Valor IVA</t>
  </si>
  <si>
    <t>Valor total con IVA</t>
  </si>
  <si>
    <t>Valor total mensual</t>
  </si>
  <si>
    <t>Valor total includio iva por los 7,5 meses</t>
  </si>
  <si>
    <t xml:space="preserve">REQUERIMIENTOS TÉCNICOS MÍNIMOS
140 cámaras Tipo do-mo IP
• Resolución mínima: 2 megapíxeles (Full HD) o superior.
• Sensibilidad lumínica:0.001 Lux @ (F1.0, AGC ON), 0 Lux con iluminación infrarroja o luz blanca.
• Compresión de video: H.265 / H.265+ / H.264 / H.264+.
• Ángulo de visión: Panorámica: 0° a 360°, Inclinación: 0° a 75°, Rotación: 0° a 360°. Lente mínimo 2.8 mm con FOV amplio.
• Protocolos: TCP/IP, HTTP, HTTPS, DHCP, DNS, RTP, RTSP, NTP, IGMP, IPv4/IPv6, SSL/TLS.
• Compatibilidad: Compatible con el sistema actual de la Alcaldía y protocolo ONVIF Perfil S/G/T.
• Interfaz de red: Puerto Ethernet RJ45 10/100 Mbps autoadaptativo.
• Alimentación: 12 VDC ±25% y/o PoE IEEE 802.3af Clase 3.
• Consumo máximo: 6.5 W por cámara.
• Protección: IP66 o superior para exterior, IK10 cuando aplique en zonas de riesgo o exposición.
• Cableado:Se deberá conservar el cableado existente si cumple condiciones técnicas.
En caso contrario, se deberá suministrar e instalar cableado UTP categoría 6A en cobre certificado.
• Instalación: Incluye suministro, instalación, configuración, integración, pruebas y puesta en marcha del sistema completo.
Almacenamiento: la infraestructura de almacenamiento (servidores, NVR, discos duros tipo Surveillance o Enterprise) necesaria para garantizar la grabación continua (24/7) de las 140 cámaras por un periodo mínimo de 90 días (3 meses).
Electrónica de Red (Switches): El servicio incluye el suministro y configuración de los switches administrables necesarios. El contratista deberá proveer equipos con puertos suficientes y capacidad Power over Ethernet (PoE) para energizar el 100% de las cámaras sin interrupciones.                                                                                                                                                             DEBE QUEDAR INSTALADO Y EN FUNCIONAMIENTO CON EL  CABLEADO QUE SEA REQUERIDO PARA SU FUNCIONAMIENTO
</t>
  </si>
  <si>
    <t>Alquiler de RACK para Instalación de los switches por piso</t>
  </si>
  <si>
    <t>Rack mural tipo gabinete cerrado para telecomunicaciones, con las siguientes características mínimas:
• Formato estándar de 19 pulgadas.
• Estructura metálica de alta resistencia.
• Montaje en pared.
• Puerta frontal con ventilación lateral y cerradura.
• Organización interna mediante patch panel, bandejas y organizadores horizontales de cableado.
• Espacio para instalación de switches, NVR y equipos de videovigilancia.
• Regleta eléctrica interna (PDU) mínimo de 6 tomas.
• Ventilación activa o ventiladores superiores.
Dimensiones mínimas recomendadas:
• Altura: entre 12U y 15U.
• Fondo mínimo: 60 cm.
• Capacidad de carga mínima: 40 kg.
Debe permitir la instalación y correcta operación de:
• Switches administrables y/o PoE.
• Equipos de videovigilancia tipo NVR.
• Patch panel.
• Organizadores de cableado.
• Cableado estructurado UTP y/o fibra óptica.
El rack deberá garantizar adecuada ventilación, distribución eléctrica y organización del cableado para asegurar el correcto funcionamiento de los equipos tecnológicos.
Debe incluir:
• Instalación.
• Configuración.
• Organización interna del cableado.
• Puesta en marcha.
• Todos los accesorios requeridos para su correcto funcionamiento.</t>
  </si>
  <si>
    <t xml:space="preserve">Aquiler de rack para instalación de los NVR </t>
  </si>
  <si>
    <t xml:space="preserve">SUBTOTAL </t>
  </si>
  <si>
    <t>ALARMA ALK</t>
  </si>
  <si>
    <t xml:space="preserve">Alquiler de  Kit´s de alarma </t>
  </si>
  <si>
    <t>Kit de alarma deberá incluir como mínimo:  Panel de alarma con capacidad mínima de 4 zonas expandibles, Teclado LED, Caja metálica, Batería de respaldo, Sirena interior y/o exterior, Transformador, Pulsador de pánico fijo, Sensores magnéticos para puertas,  Mínimo cuatro (4) sensores de movimiento PIR, Módulo de comunicación GPRS/IP, Accesorios completos para instalación y funcionamiento.
El sistema deberá permitir monitoreo, activación y funcionamiento continuo de manera estable y segura. Debe incluir: Instalación,  Configuración, Integración, Puesta en marcha, Cableado y accesorios requeridos para su funcionamiento. Los equipos deben compatibles con la infraestructura tecnológica existente.
Los equipos deberán quedar instalados en los mismos puntos actualmente definidos por el Fondo Local de Kennedy o según indicaciones del área TIC.
Debe incluir instalación, configuración y puesta en marcha.</t>
  </si>
  <si>
    <t xml:space="preserve">Arco de seguridad detector de metales </t>
  </si>
  <si>
    <t xml:space="preserve">Altura exterior: approx 2.20 m (87 pulgadas)                                                                                                                           Ancho exterior: Approx 0.90 (35 pulgadas)                                                                                                                                Paso interior: Approx 0.76 a 0.80  (30 a 33 pulgadas) Arco Detector De Metales Garrett PD 6500i, Arco detector de metales Garrett MZ-6100                                                                                                                                                                          EnergíaEnergía: Totalmente automáticos (AC 100 a 240 V, 50/60 Hz), con un consumo bajo (aprox.45 W- Garrett PD 6500i                     Arco Detector de Metales Profesional | 33 Zonas.
-Humedad del 95% sin condensacion
-Almacenamiento: -40°C a 70°C (-40°F a 158°F)
-Alimentacion: Totalmente automática de 100 a 240 VCA, 50 o 60 Hz, 45 vatios
- Estándares de protección contra la intemperie / objetos extraños Cumple con las normas de protección IP 55, IEC. ''Grados de protección proporcionados por los cerramientos'', IEC 529. *IP 65 opcional                                                                                           -Contador de personas de 4 dígitos, y contador de detecciones de metal de 4 dígitos. 
- Luces de localización precisa de objetivo: Dispone de un indicador LED para cada una de las zonas, que permite la identificación aproximada de la zona del cuerpo en donde hay metales.
-Programas: Mas de 20 programas independientes
- Supresion de interferencias: Filtrado avanzado analógico y digital, así como frecuencias de operación ajustables, eliminan los efectos potenciales de unidades de rayos x, radios y otras fuentes de interferencia eléctrica
- Alarmas: Tono audible y volumen ajustable. Alarma visual de LED brillante
- A prueba de manipulacion: Todos los ajustes están asegurados con una cerradura con llave y dos niveles de códigos de acceso
- Salidas de control: Interruptores de estado sólido (AC o DC de baja tensión) para el funcionamiento de las alarmas y dispositivos de control.  Se debe instalar y dejar funcional segun indique la norma vigente, realizando las pruebas necesarias para el buen funcionamiento </t>
  </si>
  <si>
    <t>BATERIA DE BAÑO</t>
  </si>
  <si>
    <t>Baño portátil con sistema flushing con bomba de piso (66 GL) y unidad de lavamanos  interna (7.7 GL) que incluya como mínimo dos (2) aseos semana-les para un total de ocho (8) mensuales.</t>
  </si>
  <si>
    <t xml:space="preserve">Baño portátil con sistema flushing con bomba de piso (66 GL) y unidad de lavamanos interna (7.7 GL) que incluya como mínimo dos (2) aseos semanales para un total de ocho (8) mensuales.
Con instalación y puesta en marcha 
</t>
  </si>
  <si>
    <t xml:space="preserve">TOTAL </t>
  </si>
  <si>
    <t>NOTA 1. No se aceptarán cotizaciones parciales ni que omitan alguno de los componentes solicitados.</t>
  </si>
  <si>
    <t>NOTA 2. El valor deberá incluir todos los impuestos, tasas y contribuciones a que haya lugar.</t>
  </si>
  <si>
    <t xml:space="preserve">NOTA 3:  Los  computadores deberán contar con software de control de visitantes con sistema biométrico, el cual deberá adaptarse y ser compatible con las características y especificaciones técnicas de los dos (2) equipos suministrados en calidad de arrendamiento y del computador de propiedad de la Alcaldía Local.  Así mismo, deberá contar con base de datos SQL y permitir el registro de información como nombre del visitante, tipo y número de documento, dependencia o tema al cual se dirige en la Alcaldía, fecha y hora de ingreso y salida, así como la generación de informes estadísticos relacionados con la cantidad de visitantes, horarios de ingreso y salida y demás reportes requeridos por la entidad, conforme a las especificaciones mínimas establecidas. </t>
  </si>
  <si>
    <t>NOMBRE DE LA EMPRESA</t>
  </si>
  <si>
    <t>TIGERS JOB LTDA</t>
  </si>
  <si>
    <t>NOMBRE REP. LEGAL</t>
  </si>
  <si>
    <t>MARIA DEL CARMEN DELGADO LEÓN</t>
  </si>
  <si>
    <t xml:space="preserve">NUMERO DOCUMENTO DE IDENTIDAD: </t>
  </si>
  <si>
    <t>FIRMA:</t>
  </si>
  <si>
    <t xml:space="preserve"> </t>
  </si>
  <si>
    <t>TOP GUARD LTDA.</t>
  </si>
  <si>
    <t>SEBASTIAN ALEJANDRO MORENO TRUJILLO</t>
  </si>
  <si>
    <t>FIRMADO EN ORIGINAL</t>
  </si>
  <si>
    <t>FULL PROTECTION LTDA</t>
  </si>
  <si>
    <t>ANA MARIA MARTINEZ NORENA</t>
  </si>
  <si>
    <t>1.007.796.170</t>
  </si>
  <si>
    <t>Valor total includio iva por los 5,5 meses</t>
  </si>
  <si>
    <t>59,592,225</t>
  </si>
  <si>
    <t xml:space="preserve">SEGURIDAD SHALOM LTDA </t>
  </si>
  <si>
    <t>ANGEL MAURICIO ROMERO AGUILAR</t>
  </si>
  <si>
    <t>C.C 79.362.913 DE BOGOTA</t>
  </si>
  <si>
    <t xml:space="preserve">FORMATO COTIZACIÓN
Objeto: CONTRATAR LA PRESTACIÓN DEL SERVICIO INTEGRAL DE VIGILANCIA Y SEGURIDAD PRIVADA EN LA MODALIDAD DE VIGILANCIA FIJA, CON MEDIO HUMANO CON Y SIN ARMA, Y MEDIOS TECNOLÓGICOS, PARA LA PROTECCIÓN DE LAS PERSONAS, BIENES MUEBLES E INMUEBLES Y DEMÁS INTERESES PATRIMONIALES DEL FONDO DESARROLLO LOCAL DE KENNEDY Y DE AQUELLOS POR LOS CUALES SEA O LLEGARE A SER LEGALMENTE RESPONSABLE. 
</t>
  </si>
  <si>
    <t>54,696,565</t>
  </si>
  <si>
    <t>CIPRES SEGURIDAD Y PROTECCION LTDA</t>
  </si>
  <si>
    <t>WILLIAM AUGUSTO MORENO ARDILA</t>
  </si>
  <si>
    <t xml:space="preserve">TORONTO DE COLOMBIA LTDA </t>
  </si>
  <si>
    <t xml:space="preserve">JORGE ELIECER LARA RIOS </t>
  </si>
  <si>
    <t xml:space="preserve">79643825 DE BOGOTA </t>
  </si>
  <si>
    <t>ENERO-JUNIO 2025</t>
  </si>
  <si>
    <t>ENERO-MAYO 2025</t>
  </si>
  <si>
    <t>ENERO-ABRIL 2025</t>
  </si>
  <si>
    <t>ENERO-MARZO 2025</t>
  </si>
  <si>
    <t>ENERO-FEBRERO 2025</t>
  </si>
  <si>
    <t>ENEERO 2025</t>
  </si>
  <si>
    <t>FICHA TECNICA CON ESPECIFICACIONES PARA COTIZACIÓN PROCESO DE COTIZACIÓN FDLB-SIP-C-008-2024</t>
  </si>
  <si>
    <t>DIRIGIDA A ALCALDÍA LOCAL DE BOSA - NIT 899.999.061-9</t>
  </si>
  <si>
    <t>Los valores base estan de acuerdo a las tarifas reglamentadas en la Circular Nº  20231300001105 "tarifas mínimas servicios vigilancia y seguridad privada vigencia 2024". Diligencie unicamente los campos en amarillo en caso de que la proyección realizada este de acuerdo con los valores proporcionados por la Superintendencia de Vigilancia, en caso de evidenciar que los valores presentan errores, diligencie los mismos de acuerdo a lo establecido por la circular y sus tablas de costos.</t>
  </si>
  <si>
    <t>Ver Circular</t>
  </si>
  <si>
    <t>ESPECIFICACION TECNICA
(Detalle especificaciones tecnicas del elemento, Marca, Serial, ETC)</t>
  </si>
  <si>
    <t>DESCRIPCION TECNICA
(Especifique mas detalles en caso de ser necesario)</t>
  </si>
  <si>
    <t xml:space="preserve"> SEGURO DE VIDA
(Valor por mes)  </t>
  </si>
  <si>
    <t xml:space="preserve"> AIU 10% DEL SERVICIO (artículo 462-1 del estatuto tributario)</t>
  </si>
  <si>
    <t xml:space="preserve"> IVA 19% (Aclarado DIAN)</t>
  </si>
  <si>
    <t xml:space="preserve"> TOTAL (INCLUYE A Y S, IVA, SEGUROS)</t>
  </si>
  <si>
    <t>TARIFAS DEL 14/07/2024 AL 31/12/2024</t>
  </si>
  <si>
    <t>TARIFAS SERVICIOS DE VIGILANCIA DESDE 15/07/2024 A 31/12/2024 - TENER EN CUENTA NORMATIVIDAD Circular externa 20231300001105 tarifas mínimas servicios vigilancia y seguridad privada vigencia 2024</t>
  </si>
  <si>
    <t>Talento Humano Seguridad 1</t>
  </si>
  <si>
    <r>
      <t xml:space="preserve">Servicio humano </t>
    </r>
    <r>
      <rPr>
        <b/>
        <sz val="12"/>
        <color theme="1"/>
        <rFont val="Calibri"/>
        <family val="2"/>
        <scheme val="minor"/>
      </rPr>
      <t>SIN ARMA</t>
    </r>
    <r>
      <rPr>
        <sz val="12"/>
        <color theme="1"/>
        <rFont val="Calibri"/>
        <family val="2"/>
        <scheme val="minor"/>
      </rPr>
      <t xml:space="preserve"> </t>
    </r>
    <r>
      <rPr>
        <b/>
        <sz val="12"/>
        <color theme="1"/>
        <rFont val="Calibri"/>
        <family val="2"/>
        <scheme val="minor"/>
      </rPr>
      <t>(</t>
    </r>
    <r>
      <rPr>
        <b/>
        <sz val="12"/>
        <color theme="9" tint="-0.499984740745262"/>
        <rFont val="Calibri"/>
        <family val="2"/>
        <scheme val="minor"/>
      </rPr>
      <t>24 horas</t>
    </r>
    <r>
      <rPr>
        <sz val="12"/>
        <color theme="9" tint="-0.499984740745262"/>
        <rFont val="Calibri"/>
        <family val="2"/>
        <scheme val="minor"/>
      </rPr>
      <t xml:space="preserve"> del día de Lunes a Domingo)</t>
    </r>
    <r>
      <rPr>
        <sz val="12"/>
        <color theme="1"/>
        <rFont val="Calibri"/>
        <family val="2"/>
        <scheme val="minor"/>
      </rPr>
      <t xml:space="preserve"> - </t>
    </r>
    <r>
      <rPr>
        <b/>
        <sz val="12"/>
        <color rgb="FFFF0000"/>
        <rFont val="Calibri"/>
        <family val="2"/>
        <scheme val="minor"/>
      </rPr>
      <t>Mes de servicio</t>
    </r>
  </si>
  <si>
    <t>Talento Humano Seguridad 2</t>
  </si>
  <si>
    <r>
      <t xml:space="preserve">Servicio humano </t>
    </r>
    <r>
      <rPr>
        <b/>
        <sz val="12"/>
        <color theme="1"/>
        <rFont val="Calibri"/>
        <family val="2"/>
        <scheme val="minor"/>
      </rPr>
      <t>SIN ARMA</t>
    </r>
    <r>
      <rPr>
        <sz val="12"/>
        <color theme="1"/>
        <rFont val="Calibri"/>
        <family val="2"/>
        <scheme val="minor"/>
      </rPr>
      <t xml:space="preserve"> </t>
    </r>
    <r>
      <rPr>
        <sz val="12"/>
        <color theme="5" tint="-0.499984740745262"/>
        <rFont val="Calibri"/>
        <family val="2"/>
        <scheme val="minor"/>
      </rPr>
      <t>(</t>
    </r>
    <r>
      <rPr>
        <b/>
        <sz val="12"/>
        <color theme="5" tint="-0.499984740745262"/>
        <rFont val="Calibri"/>
        <family val="2"/>
        <scheme val="minor"/>
      </rPr>
      <t>8 horas</t>
    </r>
    <r>
      <rPr>
        <sz val="12"/>
        <color theme="5" tint="-0.499984740745262"/>
        <rFont val="Calibri"/>
        <family val="2"/>
        <scheme val="minor"/>
      </rPr>
      <t xml:space="preserve"> diarias de lunes a viernes sin festivos)</t>
    </r>
    <r>
      <rPr>
        <sz val="12"/>
        <color theme="1"/>
        <rFont val="Calibri"/>
        <family val="2"/>
        <scheme val="minor"/>
      </rPr>
      <t xml:space="preserve"> - </t>
    </r>
    <r>
      <rPr>
        <b/>
        <sz val="12"/>
        <color rgb="FFFF0000"/>
        <rFont val="Calibri"/>
        <family val="2"/>
        <scheme val="minor"/>
      </rPr>
      <t>Mes de servicio</t>
    </r>
  </si>
  <si>
    <t>Talento Humano Seguridad 3</t>
  </si>
  <si>
    <r>
      <t xml:space="preserve">Servicio humano </t>
    </r>
    <r>
      <rPr>
        <b/>
        <sz val="12"/>
        <color theme="1"/>
        <rFont val="Calibri"/>
        <family val="2"/>
        <scheme val="minor"/>
      </rPr>
      <t>SIN ARMA</t>
    </r>
    <r>
      <rPr>
        <sz val="12"/>
        <color theme="1"/>
        <rFont val="Calibri"/>
        <family val="2"/>
        <scheme val="minor"/>
      </rPr>
      <t xml:space="preserve"> </t>
    </r>
    <r>
      <rPr>
        <sz val="12"/>
        <color rgb="FF7030A0"/>
        <rFont val="Calibri"/>
        <family val="2"/>
        <scheme val="minor"/>
      </rPr>
      <t>(</t>
    </r>
    <r>
      <rPr>
        <b/>
        <sz val="12"/>
        <color rgb="FF7030A0"/>
        <rFont val="Calibri"/>
        <family val="2"/>
        <scheme val="minor"/>
      </rPr>
      <t>8 horas</t>
    </r>
    <r>
      <rPr>
        <sz val="12"/>
        <color rgb="FF7030A0"/>
        <rFont val="Calibri"/>
        <family val="2"/>
        <scheme val="minor"/>
      </rPr>
      <t xml:space="preserve"> diarias de lunes a sábado sin festivos)</t>
    </r>
    <r>
      <rPr>
        <sz val="12"/>
        <color theme="1"/>
        <rFont val="Calibri"/>
        <family val="2"/>
        <scheme val="minor"/>
      </rPr>
      <t xml:space="preserve"> -</t>
    </r>
    <r>
      <rPr>
        <b/>
        <sz val="12"/>
        <color rgb="FFFF0000"/>
        <rFont val="Calibri"/>
        <family val="2"/>
        <scheme val="minor"/>
      </rPr>
      <t xml:space="preserve"> Mes de servicio</t>
    </r>
  </si>
  <si>
    <t>PROYECCIÓN TARIFAS DEL 01/01/2025 AL 01/07/2025</t>
  </si>
  <si>
    <t>TARIFAS SERVICIOS DE VIGILANCIA DESDE 01/01/2025 A 14/07/2025 - TENER EN CUENTA NORMATIVIDAD Circular externa 20231300001105 tarifas mínimas servicios vigilancia y seguridad privada vigencia 2024 y posible incremento salarial</t>
  </si>
  <si>
    <t>Talento Humano Seguridad 7</t>
  </si>
  <si>
    <t>Talento Humano Seguridad 8</t>
  </si>
  <si>
    <t>Talento Humano Seguridad 9</t>
  </si>
  <si>
    <r>
      <rPr>
        <b/>
        <i/>
        <sz val="14"/>
        <color theme="1"/>
        <rFont val="Calibri"/>
        <family val="2"/>
        <scheme val="minor"/>
      </rPr>
      <t xml:space="preserve">Nota: </t>
    </r>
    <r>
      <rPr>
        <sz val="14"/>
        <color theme="1"/>
        <rFont val="Calibri"/>
        <family val="2"/>
        <scheme val="minor"/>
      </rPr>
      <t xml:space="preserve">Se requieren los valores de referencia por mes, para asi mismo proyectar las cantidades finales. </t>
    </r>
    <r>
      <rPr>
        <b/>
        <i/>
        <sz val="14"/>
        <color theme="1"/>
        <rFont val="Calibri"/>
        <family val="2"/>
        <scheme val="minor"/>
      </rPr>
      <t xml:space="preserve">
</t>
    </r>
    <r>
      <rPr>
        <i/>
        <sz val="14"/>
        <color theme="1"/>
        <rFont val="Calibri"/>
        <family val="2"/>
        <scheme val="minor"/>
      </rPr>
      <t xml:space="preserve">Agradecemos incluir en los valores los costos directos e indirectos (transporte, instalación, desinstalación e impouestos si aplica) que puedan incluir. </t>
    </r>
  </si>
  <si>
    <t>OBSERVACIONES PROVEEDOR</t>
  </si>
  <si>
    <t>Fuentes Consultadas:</t>
  </si>
  <si>
    <t>https://www.supervigilancia.gov.co/publicaciones/10474/circular-tarifas-minimas-para-contratacion-servicios-de-vigilancia-y-seguridad-privada-2024/</t>
  </si>
  <si>
    <t>https://estatuto.co/462-1</t>
  </si>
  <si>
    <t>https://www.gerencie.com/del-iva-en-los-servicios-integrales-de-aseo-y-cafeteria.html</t>
  </si>
  <si>
    <t>tarifas 2025</t>
  </si>
  <si>
    <t>tarifas 2026</t>
  </si>
  <si>
    <t>12 DIAS</t>
  </si>
  <si>
    <t>13 dias</t>
  </si>
  <si>
    <t>Servicio humano sin arma las 24 horas del día de Lunes a Domingo)</t>
  </si>
  <si>
    <t>Servicio humano sin arma (8 horas diarias de lunes a viernes sin festivos)</t>
  </si>
  <si>
    <t xml:space="preserve">9 MESES </t>
  </si>
  <si>
    <t>Servicio humano sin arma (8 horas diarias de lunes a sábado sin festivos)</t>
  </si>
  <si>
    <t>No PUESTOS</t>
  </si>
  <si>
    <t>MAYO 19 DIAS</t>
  </si>
  <si>
    <t>JUNIO</t>
  </si>
  <si>
    <t>JULIO 15 DIAS</t>
  </si>
  <si>
    <t>AGOSTO</t>
  </si>
  <si>
    <t>SEPTIEMBRE</t>
  </si>
  <si>
    <t>OCTUBRE</t>
  </si>
  <si>
    <t>NOVIEMBRE</t>
  </si>
  <si>
    <t>DICIEMBRE</t>
  </si>
  <si>
    <t>ENERO</t>
  </si>
  <si>
    <t>FEBRERO 11 DIAS</t>
  </si>
  <si>
    <t>sumatoria</t>
  </si>
  <si>
    <t>DETERMINAR</t>
  </si>
  <si>
    <t>ALCALDIA LOCAL DE BOSA</t>
  </si>
  <si>
    <t>ASOJUNTAS</t>
  </si>
  <si>
    <t>CASA DE PARTICIPACION DE BOSA</t>
  </si>
  <si>
    <t>BODEGA</t>
  </si>
  <si>
    <t>INSPECCIONES</t>
  </si>
  <si>
    <t>Circuito cerrado de television</t>
  </si>
  <si>
    <t>PROYECTO</t>
  </si>
  <si>
    <t>Desarrollo Institucional  2810</t>
  </si>
  <si>
    <t>O21202020080585250</t>
  </si>
  <si>
    <t>FUNCIO</t>
  </si>
  <si>
    <t xml:space="preserve"> Servicios de protección (guardas de seguridad)</t>
  </si>
  <si>
    <t>Llave 2023</t>
  </si>
  <si>
    <t>Elemento</t>
  </si>
  <si>
    <t>Desviación Estandar</t>
  </si>
  <si>
    <t>01 - Rondacol LTDA</t>
  </si>
  <si>
    <t>02 - EXPERTOS SEGURIDAD LTDA</t>
  </si>
  <si>
    <t>03 - VIGIAS</t>
  </si>
  <si>
    <t>04 - UT MONZON 2021</t>
  </si>
  <si>
    <t>05 - ADPORT LTDA</t>
  </si>
  <si>
    <t>06 - MONSERRATE</t>
  </si>
  <si>
    <t>07 - E-SECURITY LTDA</t>
  </si>
  <si>
    <t>08 - HELAM SEGURIDAD LTDA.</t>
  </si>
  <si>
    <t>09 - SEGURIDAD SCANNER LTDA</t>
  </si>
  <si>
    <t>10 - EMPRESA DE VIGILANCIA Y SEGURIDAD PRIVADA CARIMAR LTDA</t>
  </si>
  <si>
    <t>11 - VIGILANCIA SANTAFEREÑA Y CIA LTDA</t>
  </si>
  <si>
    <t>12 - UT LIRA &amp; SHALOM 21</t>
  </si>
  <si>
    <t>13 - AUTENTICA SEGURIDAD LTDA</t>
  </si>
  <si>
    <t>14 - CUIDAR LTDA</t>
  </si>
  <si>
    <t>15 - MAGAL VIGILANCIA Y SEGURIDAD PRIVADA LTDA</t>
  </si>
  <si>
    <t>16 - UNION TEMPORAL LATCOS 2021</t>
  </si>
  <si>
    <t>17 - TAC SEGURIDAD LTDA</t>
  </si>
  <si>
    <t>18 - AZC LTDA</t>
  </si>
  <si>
    <t>19 - COVISUR DE COLOMBIA</t>
  </si>
  <si>
    <t>20 - seguridad lagus ltda</t>
  </si>
  <si>
    <t>21 - SEGURIDAD LASER LTDA</t>
  </si>
  <si>
    <t>22 - Ut Zima - Securbel</t>
  </si>
  <si>
    <t>23 - Avizor Seguridad LTDA</t>
  </si>
  <si>
    <t>24 - Ut Seguridad Suramerica Mastin 2021</t>
  </si>
  <si>
    <t>25 - Gcsi Grupo Colombiano De Seguridad Integral LTDA</t>
  </si>
  <si>
    <t>26 - Compañia De Vigilancia PPH Limitada</t>
  </si>
  <si>
    <t>27 - Tecniseg De Colombia LTDA</t>
  </si>
  <si>
    <t>28 - Unión Temporal Mega Security</t>
  </si>
  <si>
    <t>29 - Sevin LTDA.</t>
  </si>
  <si>
    <t>30 - Protevis LTDA</t>
  </si>
  <si>
    <t>31 - Custodiar Limitada</t>
  </si>
  <si>
    <t>32 - Seguridad Bolivar LTDA</t>
  </si>
  <si>
    <t>33 - Seguridad Digital LTDA</t>
  </si>
  <si>
    <t>34 - Seguridad Nueva Era LTDA</t>
  </si>
  <si>
    <t>35 - Union Temporal Fdlb Cv 2021</t>
  </si>
  <si>
    <t>36 - Buho Seguridad LTDA.</t>
  </si>
  <si>
    <t>37 - Top Guard</t>
  </si>
  <si>
    <t>38 - Serviconfor LTDA</t>
  </si>
  <si>
    <t>39 - Union Temporal Seguridad Gr 2021</t>
  </si>
  <si>
    <t>40 - Compañia Andina De Seguridad Privada LTDA - Andiseg LTDA.</t>
  </si>
  <si>
    <t>41 - Seguridad Thor LTDA</t>
  </si>
  <si>
    <t>42 - Detección LTDA</t>
  </si>
  <si>
    <t>43 - Granadina De Vigilancia Limitada</t>
  </si>
  <si>
    <t>44 - Union Temporal Ac Bosa 2021</t>
  </si>
  <si>
    <t>45 - Servision De Colombia Y Cia LTDA</t>
  </si>
  <si>
    <t>46 - Olimpo Seguridad</t>
  </si>
  <si>
    <t>47 - Anse LTDA</t>
  </si>
  <si>
    <t>48 - Union Temporal Vigsel 2021</t>
  </si>
  <si>
    <t>49 - Lincon Seguridad LTDA</t>
  </si>
  <si>
    <t>50 - Union Temporal Bosa-Caxar-Acon-2021</t>
  </si>
  <si>
    <t>51 - Risk &amp; Solutions Group LTDA</t>
  </si>
  <si>
    <t>52 - Zehirut LTDA</t>
  </si>
  <si>
    <t>53 - Vipcol LTDA</t>
  </si>
  <si>
    <t>54 - Jmsa</t>
  </si>
  <si>
    <t>55 - Televigilancia LTDA.</t>
  </si>
  <si>
    <t>56 - Celar LTDA</t>
  </si>
  <si>
    <t>57 - Seguridad Fenix De Colombia LTDA</t>
  </si>
  <si>
    <t>58 - Seguridad Eliar LTDA</t>
  </si>
  <si>
    <t>59 - Unión Temporal Seguridad P&amp;B 2021</t>
  </si>
  <si>
    <t>60 - Seguridad San Carlos</t>
  </si>
  <si>
    <t>Elemento 2023</t>
  </si>
  <si>
    <t>Valor Unitario Mensual</t>
  </si>
  <si>
    <t>Monitor LCD</t>
  </si>
  <si>
    <t>Monitor LCD de mínimo 24"</t>
  </si>
  <si>
    <t>Computador</t>
  </si>
  <si>
    <t>Computador con monitor LCD</t>
  </si>
  <si>
    <t>Cámara 1</t>
  </si>
  <si>
    <t>Cámara infrarroja</t>
  </si>
  <si>
    <t>Cámara 2</t>
  </si>
  <si>
    <t>Cámara infrarroja de alta resolución para interior</t>
  </si>
  <si>
    <t>Videograbación 1</t>
  </si>
  <si>
    <t xml:space="preserve">Videograbado digital, grabación digital permanente backup mínimo de 30 días y recuperación de novedades en formato de fácil visualización. </t>
  </si>
  <si>
    <t>Software Visitas</t>
  </si>
  <si>
    <t>Software de control de visitantes con biométrico; el cual sea  compatible con Windows 7, vista, Xp y versiones posteriores y base de datos SQL.</t>
  </si>
  <si>
    <t>Lector Codigos</t>
  </si>
  <si>
    <t>Lector de código de las cedulas de ciudadanía.</t>
  </si>
  <si>
    <t>Cámara 3</t>
  </si>
  <si>
    <t>Cámara de alta resolución que permita tener el registro fotográfico de los visitantes</t>
  </si>
  <si>
    <t>Impresora Stickers</t>
  </si>
  <si>
    <t>Maquina impresora de stickers que permita identificar los visitantes que ingresan con datos mínimos</t>
  </si>
  <si>
    <t>Arco Ingreso</t>
  </si>
  <si>
    <t>Arco para el control de ingreso</t>
  </si>
  <si>
    <t>Sistema de Monitoreo</t>
  </si>
  <si>
    <t>Sistema de monitoreo con alarma las 24 horas del día, los 7 días de la semana.</t>
  </si>
  <si>
    <t>Radio de comunicación</t>
  </si>
  <si>
    <t>Radio que permita tener comunicación entre los puestos, la central y la supervisión del contrato (con batería y cargador)</t>
  </si>
  <si>
    <t>LLAVE 2023</t>
  </si>
  <si>
    <t>SEGURIDAD SCANNER LTDA</t>
  </si>
  <si>
    <t>COMPAÑIA DE VIGILANCIA PRIVADA SERSECOL LTDA</t>
  </si>
  <si>
    <t xml:space="preserve">	UT SEGURIDAD 2022</t>
  </si>
  <si>
    <t xml:space="preserve">	SEGURITEL LTDA</t>
  </si>
  <si>
    <t>COMPAÑÍA DE VIGILANCIA PRIVADA VIGILISTA LTDA.</t>
  </si>
  <si>
    <t>ZEHIRUT LTDA</t>
  </si>
  <si>
    <t>Monitor LCD | Monitor LCD O LED de mínimo 24" - Mes de servicio | LCD O LED de 24". Resolucion minima de 1920 * 1080</t>
  </si>
  <si>
    <t>MES</t>
  </si>
  <si>
    <t>Computador | Computador Escritorio con monitor LCD - Mes de servicio | Computador con monitor Lcd o Led con un Procesador Intel core I3 ó AMD R3. Disco duro de 500 GB. RAM de 4 GB. Sistemas operativo Windows 10 especificaciones "minimas"</t>
  </si>
  <si>
    <t>Cámara 1 | Cámara infrarroja de alta resolución para exteriores - Mes de servicio | De alta resolución (1.080 P) para exteriores. 1920×1080 Pixeles full HD, especificaciones "minimas"</t>
  </si>
  <si>
    <t>Cámara 2 | Cámara infrarroja de alta resolución para interior - Mes de servicio | De alta resolución (1.080 P) para interiores. 1920×1080 Pixeles full HD especificaciones "minimas"</t>
  </si>
  <si>
    <t>Cámara 3 | Cámara de alta resolución que permita tener el registro fotográfico de los visitantes; el cual debe ser compatible con el software de control de visitantes, con el fin de que quede en el registro. - Mes de servicio | Cámara de alta resolución que permita tener el registro fotográfico de los visitantes; el cual debe ser compatible con el software de control de visitantes, con el fin de que quede en el registro. - Mes de servicio</t>
  </si>
  <si>
    <t>Videograbación 1 | Videograbado digital, grabación digital permanente backup mínimo de 30 días y recuperación de novedades en formato de fácil visualización. - Mes de servicio | Disco Duro de minimo 4 TB ó 6 TB  (dependiendo la sede)con grabacion digital permanente minimo de 30 dias y recuperacion de novedades en formato de facil visualizacion. Búsqueda exacta (hora/fecha). Reproducir, pausa, detener, rebobinado, reproduccón rápida, reproducción lenta, siguiente archivo, archivo anterior, siguiente cámara, cámara anterior, pantalla completa, repetición, reproducción aleatoria, selecciónde copia de seguridad, zoom digital. Puertos USB, HDMI, Ethernet (RJ-45) y VGA</t>
  </si>
  <si>
    <t>Software Visitas | Software de control de visitantes con biométrico; el cual sea compatible con Windows 7, vista, XP y versiones posteriores y base de datos SQL. - Mes de servicio | Software de control visitantes con biometrico compatible con Windows 10, 8, 7, Vista, XP y base de datos SQL. El cual permita registrar en la base de datos el nombre, fecha y hora del visitante. Debe permitir realizar informes estadísticos de la cantidad de visitantes, hora ingreso-salida, y demás reportes</t>
  </si>
  <si>
    <t>Lector Codigos | Lector de código de las cedulas de ciudadanía, que permita registrar en la base de datos automáticamente los datos de los visitantes. - Mes de servicio | Lector codigo de barras de las cedulas de ciudadanía que permita registrar automaticamente en la base de datos la información de los visitantes. Conexión alambrica via USB. Códigos soportados: CPC Binary, Codabar, Code 11, Code 128, Code 128A, Code 128B, Code 128C, Code 25 (IR 2 of 5), Code 25 (non-IR 2 of 5), Code 32, Code 39, Code 93, DUN 14, EAN 2, EAN 5, EAN-13, EAN-8, Facing Identification Mark, GS1-128 (UCC/EAN-128), HIBC, ITF-14, Intelligent Mail, JAN, Latent image, MSI, PLANET, POSTNET, Pharmacode, Plessey, PostBar, RM4SCC / KIX, S-Code, Telepen, Trioptic, U.P.C.</t>
  </si>
  <si>
    <t>Impresora Stickers | Maquina impresora de stickers que permita identificar los visitantes que ingresan con datos mínimos como: nombre completo, tipo de documento, numero de documento, fotografía, hora de ingreso, oficina a la   cual   se   dirige    y    persona    que    autorizo    el    ingreso El proponente adjudicatario deberá garantizar los insumos necesarios para el adecuado funcionamiento (Stickers adhesivos, tinta y mantenimiento) durante toda la ejecución del contrato. - Mes de servicio | Debe permitir identificar a los visitantes datos como nombre completo, tipo de documento,número de documento, fotografía, hora de ingreso, oficina a la cual se dirige,y quien autoriza. El elemento debe tener tecnología térmica de impresión que debe soportar sistema operativo Windows 7, 8, 10 con conexion alámbrica tipo USB.El proponente adjudicatario deberá garantizar los insumos necesarios para el adecuado funcionamiento (Stickers adhesivos, tinta y mantenimiento) durante toda la ejecución del contrato.</t>
  </si>
  <si>
    <t>Arco Ingreso | Arco para el control de ingreso - Mes de servicio | Arco - de Paso que provee detección superior de objetivos con discriminación desasociada de artículos inofensivos como monedas, joyería, llaves, cajas de cigarros y tacones de zapatos. con detección puntual 33 zonas,  seguridad y confiabilidad con programas preestablecidos para cubrir la mas amplia gama de aplicaciones de seguridad,                                           mes de servicio</t>
  </si>
  <si>
    <t>Sistema de Monitoreo | Sistema de monitoreo con alarma las 24 horas del dia, los 7 dias de la semana. - Mes de servicio | Se requieren unicamente medios tecnológicos y monitoreo de alarma los 7 dias de la semana 24 horas, sin perjuicio de lo anterior, este inmueble puede ser modificado según los intereses de la Entidad</t>
  </si>
  <si>
    <t>Radio de comunicación | Radio que permita tener comunicación entre los puestos, la central y la supervision del contrato (con bateria y cargador) - Mes de servicio | Radioteléfono digital portátil con identificación única de 11 dígitos,  Con tecnología FHSS con 7 zonas de 50 frecuencias que no se repiten para un total de 350 frecuencias disponibles que mejore la seguridad y privacidad de las comunicaciones,                              (con bateria y cargador).                                                        Mes de servicio</t>
  </si>
  <si>
    <t>01 - CORINSA LTDA</t>
  </si>
  <si>
    <t>02 - INTERCONTINENTAL DE SEGURIDAD LIMITADA</t>
  </si>
  <si>
    <t>03 - RISK &amp; SOLUTIONS GROUP LTDA</t>
  </si>
  <si>
    <t>04 - PATROL SECURITY LTDA</t>
  </si>
  <si>
    <t>05 - Convivamos  Seguridad Privada Ltda</t>
  </si>
  <si>
    <t>CIRCULAR (INTERNA O EXTERNA)
Nº 20211300000225</t>
  </si>
  <si>
    <t>Estudio de M;ercado 2021</t>
  </si>
  <si>
    <t>Seguridad Scanner - Contrato 322-2021 CPS (59820)</t>
  </si>
  <si>
    <t>DESCRIPCION TECNICA</t>
  </si>
  <si>
    <t>Cotización 5
VALOR UNITARIO (INCLUIDO IVA SI APLICA)</t>
  </si>
  <si>
    <t>Cotización 6
VALOR UNITARIO (INCLUIDO IVA SI APLICA)</t>
  </si>
  <si>
    <t>Cotización 7
VALOR UNITARIO (INCLUIDO IVA SI APLICA)</t>
  </si>
  <si>
    <t>Cotización 8
VALOR UNITARIO (INCLUIDO IVA SI APLICA)</t>
  </si>
  <si>
    <t>Cotización 9
VALOR UNITARIO (INCLUIDO IVA SI APLICA)</t>
  </si>
  <si>
    <t>Cotización 10
VALOR UNITARIO (INCLUIDO IVA SI APLICA)</t>
  </si>
  <si>
    <t>Cotización11
VALOR UNITARIO (INCLUIDO IVA SI APLICA)</t>
  </si>
  <si>
    <t>Cotización 12
VALOR UNITARIO (INCLUIDO IVA SI APLICA)</t>
  </si>
  <si>
    <r>
      <t xml:space="preserve">Servicio humano sin arma las 24 horas del día de Lunes a Domingo) - </t>
    </r>
    <r>
      <rPr>
        <b/>
        <sz val="8"/>
        <color rgb="FFFF0000"/>
        <rFont val="Calibri"/>
        <family val="2"/>
        <scheme val="minor"/>
      </rPr>
      <t>Mes de servicio</t>
    </r>
  </si>
  <si>
    <t>Tener en cuenta tarifas reglamentadas en la Circular Nº 20211300000225</t>
  </si>
  <si>
    <t>9500000</t>
  </si>
  <si>
    <t>9504000</t>
  </si>
  <si>
    <t>9684576</t>
  </si>
  <si>
    <t>9648576</t>
  </si>
  <si>
    <t>9684563</t>
  </si>
  <si>
    <t>CIRCULAR (INTERNA O EXTERNA)
Nº 20211300000225 SuperVigilancia</t>
  </si>
  <si>
    <r>
      <t xml:space="preserve">Servicio humano sin arma (8 horas diarias de lunes a viernes sin festivos) - </t>
    </r>
    <r>
      <rPr>
        <b/>
        <sz val="8"/>
        <color rgb="FFFF0000"/>
        <rFont val="Calibri"/>
        <family val="2"/>
        <scheme val="minor"/>
      </rPr>
      <t>Mes de servicio</t>
    </r>
  </si>
  <si>
    <t>1890000</t>
  </si>
  <si>
    <t>1927274</t>
  </si>
  <si>
    <t>3613638</t>
  </si>
  <si>
    <t>2697720</t>
  </si>
  <si>
    <r>
      <t>Servicio humano sin arma (8 horas diarias de lunes a sábado sin festivos) -</t>
    </r>
    <r>
      <rPr>
        <b/>
        <sz val="8"/>
        <color rgb="FFFF0000"/>
        <rFont val="Calibri"/>
        <family val="2"/>
        <scheme val="minor"/>
      </rPr>
      <t xml:space="preserve"> Mes de servicio</t>
    </r>
  </si>
  <si>
    <t>2260000</t>
  </si>
  <si>
    <t>2312728</t>
  </si>
  <si>
    <t>4255511</t>
  </si>
  <si>
    <t>2903085</t>
  </si>
  <si>
    <r>
      <t xml:space="preserve">Monitor LCD O LED de mínimo 24" - </t>
    </r>
    <r>
      <rPr>
        <b/>
        <sz val="8"/>
        <color rgb="FFFF0000"/>
        <rFont val="Calibri"/>
        <family val="2"/>
        <scheme val="minor"/>
      </rPr>
      <t>Mes de servicio</t>
    </r>
  </si>
  <si>
    <t>LCD O LED de 24". Resolucion minima de 1920 * 1080</t>
  </si>
  <si>
    <t>FDLB-SIP-C-007-2022</t>
  </si>
  <si>
    <r>
      <t xml:space="preserve">Computador Escritorio con monitor LCD - </t>
    </r>
    <r>
      <rPr>
        <b/>
        <sz val="8"/>
        <color rgb="FFFF0000"/>
        <rFont val="Calibri"/>
        <family val="2"/>
        <scheme val="minor"/>
      </rPr>
      <t>Mes de servicio</t>
    </r>
  </si>
  <si>
    <t>Computador con monitor Lcd o Led con un Procesador Intel core I3 ó AMD R3. Disco duro de 500 GB. RAM de 4 GB. Sistemas operativo Windows 10 especificaciones "minimas"</t>
  </si>
  <si>
    <r>
      <t xml:space="preserve">Cámara infrarroja de alta resolución para exteriores - </t>
    </r>
    <r>
      <rPr>
        <b/>
        <sz val="8"/>
        <color rgb="FFFF0000"/>
        <rFont val="Calibri"/>
        <family val="2"/>
        <scheme val="minor"/>
      </rPr>
      <t>Mes de servicio</t>
    </r>
  </si>
  <si>
    <t>De alta resolución (1.080 P) para exteriores. 1920×1080 Pixeles full HD, especificaciones "minimas"</t>
  </si>
  <si>
    <r>
      <t xml:space="preserve">Cámara infrarroja de alta resolución para interior - </t>
    </r>
    <r>
      <rPr>
        <b/>
        <sz val="8"/>
        <color rgb="FFFF0000"/>
        <rFont val="Calibri"/>
        <family val="2"/>
        <scheme val="minor"/>
      </rPr>
      <t>Mes de servicio</t>
    </r>
  </si>
  <si>
    <t>De alta resolución (1.080 P) para interiores. 1920×1080 Pixeles full HD especificaciones "minimas"</t>
  </si>
  <si>
    <r>
      <t xml:space="preserve">Cámara de alta resolución que permita tener el registro fotográfico de los visitantes; el cual debe ser compatible con el software de control de visitantes, con el fin de que quede en el registro. - </t>
    </r>
    <r>
      <rPr>
        <b/>
        <sz val="8"/>
        <color rgb="FFFF0000"/>
        <rFont val="Calibri"/>
        <family val="2"/>
        <scheme val="minor"/>
      </rPr>
      <t>Mes de servicio</t>
    </r>
  </si>
  <si>
    <t>Cámara de alta resolución que permita tener el registro fotográfico de los visitantes; el cual debe ser compatible con el software de control de visitantes, con el fin de que quede en el registro. - Mes de servicio</t>
  </si>
  <si>
    <r>
      <t xml:space="preserve">Videograbado digital, grabación digital permanente backup mínimo de 30 días y recuperación de novedades en formato de fácil visualización. - </t>
    </r>
    <r>
      <rPr>
        <b/>
        <sz val="8"/>
        <color rgb="FFFF0000"/>
        <rFont val="Calibri"/>
        <family val="2"/>
        <scheme val="minor"/>
      </rPr>
      <t>Mes de servicio</t>
    </r>
  </si>
  <si>
    <t>Disco Duro de minimo 4 TB ó 6 TB  (dependiendo la sede)con grabacion digital permanente minimo de 30 dias y recuperacion de novedades en formato de facil visualizacion. Búsqueda exacta (hora/fecha). Reproducir, pausa, detener, rebobinado, reproduccón rápida, reproducción lenta, siguiente archivo, archivo anterior, siguiente cámara, cámara anterior, pantalla completa, repetición, reproducción aleatoria, selecciónde copia de seguridad, zoom digital. Puertos USB, HDMI, Ethernet (RJ-45) y VGA</t>
  </si>
  <si>
    <r>
      <t xml:space="preserve">Software de control de visitantes con biométrico; el cual sea compatible con Windows 7, vista, XP y versiones posteriores y base de datos SQL. - </t>
    </r>
    <r>
      <rPr>
        <b/>
        <sz val="8"/>
        <color rgb="FFFF0000"/>
        <rFont val="Calibri"/>
        <family val="2"/>
        <scheme val="minor"/>
      </rPr>
      <t>Mes de servicio</t>
    </r>
  </si>
  <si>
    <t>Software de control visitantes con biometrico compatible con Windows 10, 8, 7, Vista, XP y base de datos SQL. El cual permita registrar en la base de datos el nombre, fecha y hora del visitante. Debe permitir realizar informes estadísticos de la cantidad de visitantes, hora ingreso-salida, y demás reportes</t>
  </si>
  <si>
    <r>
      <t xml:space="preserve">Lector de código de las cedulas de ciudadanía, que permita registrar en la base de datos automáticamente los datos de los visitantes. - </t>
    </r>
    <r>
      <rPr>
        <b/>
        <sz val="8"/>
        <color rgb="FFFF0000"/>
        <rFont val="Calibri"/>
        <family val="2"/>
        <scheme val="minor"/>
      </rPr>
      <t>Mes de servicio</t>
    </r>
  </si>
  <si>
    <t>Lector codigo de barras de las cedulas de ciudadanía que permita registrar automaticamente en la base de datos la información de los visitantes. Conexión alambrica via USB. Códigos soportados: CPC Binary, Codabar, Code 11, Code 128, Code 128A, Code 128B, Code 128C, Code 25 (IR 2 of 5), Code 25 (non-IR 2 of 5), Code 32, Code 39, Code 93, DUN 14, EAN 2, EAN 5, EAN-13, EAN-8, Facing Identification Mark, GS1-128 (UCC/EAN-128), HIBC, ITF-14, Intelligent Mail, JAN, Latent image, MSI, PLANET, POSTNET, Pharmacode, Plessey, PostBar, RM4SCC / KIX, S-Code, Telepen, Trioptic, U.P.C.</t>
  </si>
  <si>
    <r>
      <t xml:space="preserve">Maquina impresora de stickers que permita identificar los visitantes que ingresan con datos mínimos como: nombre completo, tipo de documento, numero de documento, fotografía, hora de ingreso, oficina a la   cual   se   dirige    y    persona    que    autorizo    el    ingreso El proponente adjudicatario deberá garantizar los insumos necesarios para el adecuado funcionamiento (Stickers adhesivos, tinta y mantenimiento) durante toda la ejecución del contrato. - </t>
    </r>
    <r>
      <rPr>
        <b/>
        <sz val="8"/>
        <color rgb="FFFF0000"/>
        <rFont val="Calibri"/>
        <family val="2"/>
        <scheme val="minor"/>
      </rPr>
      <t>Mes de servicio</t>
    </r>
  </si>
  <si>
    <t>Debe permitir identificar a los visitantes datos como nombre completo, tipo de documento,número de documento, fotografía, hora de ingreso, oficina a la cual se dirige,y quien autoriza. El elemento debe tener tecnología térmica de impresión que debe soportar sistema operativo Windows 7, 8, 10 con conexion alámbrica tipo USB.El proponente adjudicatario deberá garantizar los insumos necesarios para el adecuado funcionamiento (Stickers adhesivos, tinta y mantenimiento) durante toda la ejecución del contrato.</t>
  </si>
  <si>
    <r>
      <t xml:space="preserve">Arco para el control de ingreso - </t>
    </r>
    <r>
      <rPr>
        <b/>
        <sz val="8"/>
        <color rgb="FFFF0000"/>
        <rFont val="Calibri"/>
        <family val="2"/>
        <scheme val="minor"/>
      </rPr>
      <t>Mes de servicio</t>
    </r>
  </si>
  <si>
    <t>Arco - de Paso que provee detección superior de objetivos con discriminación desasociada de artículos inofensivos como monedas, joyería, llaves, cajas de cigarros y tacones de zapatos. con detección puntual 33 zonas,  seguridad y confiabilidad con programas preestablecidos para cubrir la mas amplia gama de aplicaciones de seguridad,                                           mes de servicio</t>
  </si>
  <si>
    <t>FDLB-SIP-C-007-2023</t>
  </si>
  <si>
    <r>
      <t>Sistema de monitoreo con alarma las 24 horas del dia, los 7 dias de la semana.</t>
    </r>
    <r>
      <rPr>
        <b/>
        <sz val="8"/>
        <color rgb="FFFF0000"/>
        <rFont val="Calibri"/>
        <family val="2"/>
        <scheme val="minor"/>
      </rPr>
      <t xml:space="preserve"> - Mes de servicio</t>
    </r>
  </si>
  <si>
    <t>Se requieren unicamente medios tecnológicos y monitoreo de alarma los 7 dias de la semana 24 horas, sin perjuicio de lo anterior, este inmueble puede ser modificado según los intereses de la Entidad</t>
  </si>
  <si>
    <t>FDLB-SIP-C-007-2024</t>
  </si>
  <si>
    <r>
      <t>Radio que permita tener comunicación entre los puestos, la central y la supervision del contrato (con bateria y cargador)</t>
    </r>
    <r>
      <rPr>
        <b/>
        <sz val="8"/>
        <color rgb="FFFF0000"/>
        <rFont val="Calibri"/>
        <family val="2"/>
        <scheme val="minor"/>
      </rPr>
      <t xml:space="preserve"> - Mes de servicio</t>
    </r>
  </si>
  <si>
    <t>Radioteléfono digital portátil con identificación única de 11 dígitos,  Con tecnología FHSS con 7 zonas de 50 frecuencias que no se repiten para un total de 350 frecuencias disponibles que mejore la seguridad y privacidad de las comunicaciones,                              (con bateria y cargador).                                                        Mes de servicio</t>
  </si>
  <si>
    <t>FDLB-SIP-C-007-2025</t>
  </si>
  <si>
    <t>PASOS REALIZADOS PARA LA PROYECCIÓN DE TALENTO HUMANO</t>
  </si>
  <si>
    <r>
      <t xml:space="preserve">1. </t>
    </r>
    <r>
      <rPr>
        <sz val="11"/>
        <color theme="1"/>
        <rFont val="Calibri"/>
        <family val="2"/>
        <scheme val="minor"/>
      </rPr>
      <t>De acuerdo con la circular se determina el valor del mes de servicio de medio sin arma 30 días - 24 horas, de la siguiente forma:</t>
    </r>
  </si>
  <si>
    <t xml:space="preserve">Los valores proporcionados no incluyen IVA, por lo que se procede a la aplicación correspondiente del IVA al 10% del valor del servicio, de acuerdo a directriz de la supervigilancia. </t>
  </si>
  <si>
    <t>Servicio</t>
  </si>
  <si>
    <t>Valor antes de IVA</t>
  </si>
  <si>
    <t>Valor incluido IVA</t>
  </si>
  <si>
    <t>Servicio humano sin arma las 24 horas del día de Lunes a Domingo) - Mes de servicio</t>
  </si>
  <si>
    <t xml:space="preserve">No. </t>
  </si>
  <si>
    <t>Valor</t>
  </si>
  <si>
    <t>Total Sin IVA</t>
  </si>
  <si>
    <t>Total con IVA</t>
  </si>
  <si>
    <r>
      <rPr>
        <b/>
        <sz val="11"/>
        <color theme="1"/>
        <rFont val="Calibri"/>
        <family val="2"/>
        <scheme val="minor"/>
      </rPr>
      <t>Fuente:</t>
    </r>
    <r>
      <rPr>
        <sz val="11"/>
        <color theme="1"/>
        <rFont val="Calibri"/>
        <family val="2"/>
        <scheme val="minor"/>
      </rPr>
      <t xml:space="preserve"> CIRCULAR Nº 20211300000225, SuperVigilancia</t>
    </r>
  </si>
  <si>
    <t>RESUMEN COTIZACIONES DE PRECIOS - Matriz de Calculo - Proceso FDLB-SIP-033-2021</t>
  </si>
  <si>
    <t>Valor MES</t>
  </si>
  <si>
    <t>Proyección  Con IPC Enero 2022</t>
  </si>
  <si>
    <t>Tecnica Utilizada</t>
  </si>
  <si>
    <t>Tiempo 6 Meses</t>
  </si>
  <si>
    <t>Un</t>
  </si>
  <si>
    <t xml:space="preserve">Proceso FDLB-SIP-033-2021 - Estudio de Mercado 2020 FDLB (Proyección con IPC e incremento SMLV 2021) - Seguridad Trebol  (Proyección con IPC e incremento SMLV 2021) </t>
  </si>
  <si>
    <t>Mediana</t>
  </si>
  <si>
    <t>Cámara infrarroja de alta resolución para exteriores</t>
  </si>
  <si>
    <t>Software de control de visitantes con biométrico; el cual sea  compatible con Windows 7, vista, Xp y versiones posteriores y base de datos SQL. 
- Que permita registrar en la base de datos el nombre completo, fecha y hora del visitante (una vez se valide la huella digital)  
- Que permita realizar informes y reportes estadísticos de la cantidad de visitantes, hora de ingreso, hora de salida. Y demás informes y reportes que requiera el FDLB</t>
  </si>
  <si>
    <t>Lector de código de las cedulas de ciudadanía, que permita registrar en la base de datos automaticamente los datos de los visitantes.</t>
  </si>
  <si>
    <t>Camara de alta resolucion que permita tener el registro fotografico de los visitantes</t>
  </si>
  <si>
    <t xml:space="preserve">Camara de alta resolucion que permita tener el registro fotografico de los visitantes; el cual debe ser compatible con el software de control de visitantes, con el fin de que quede en el registro </t>
  </si>
  <si>
    <t>Maquina impresora de stickers que permita identificar los visitantes que ingresan con datos minimos</t>
  </si>
  <si>
    <t>Maquina impresora de stickers que permita identificar los visitantes que ingresan con datos minimos como: nombre completo, tipo de documento, numero de documento, fotografia, hora de ingreso, oficina a la cual se dirige y persona que autorizo el ingreso. El proponente adjudicatario debera garantizar los insumos necesarios para el adecuado funcionamiento (Stickers adesivos, tinta y mantenimiento) durante toda la ejecucion del contrato</t>
  </si>
  <si>
    <t>Tipo arco para el control de ingreso, de 1.30 metros de ancho X 2.20 metros de alto</t>
  </si>
  <si>
    <t>Sistema de monitoreo con alarma las 24 horas del dia, los 7 dias de la semana.</t>
  </si>
  <si>
    <t xml:space="preserve">Sistema de monitoreo con alarma las 24 horas del dia, los 7 dias de la semana. 
El proponente adjudicatario debera tener en cuenta todo lo necesario (Cableado, sensores, alarma, etc) para garantizar el sistema de monitoreo en la bodega arrendada por el FDLB durante el plazo del contrato. Asi mismo, debera contemplar todos los costos en los que deba incurrir por la reubicacion del sistema "si se llegase cambiar de bodega" </t>
  </si>
  <si>
    <t>Radio que permita tener comunicación entre los puestos, la central y la supervision del contrato (con bateria y cargador)</t>
  </si>
  <si>
    <t>Servicio humano sin arma las 24 horas del dia de Lunes a Domingo)</t>
  </si>
  <si>
    <t/>
  </si>
  <si>
    <t>Servicio humano sin arma (8 horas diarias de lunes a sabado sin festivos)</t>
  </si>
  <si>
    <t>Nelson Javier Arguellez Palacios</t>
  </si>
  <si>
    <t>Profesional Planeación</t>
  </si>
  <si>
    <t>Nelson.Arguellez@GobiernoBogota.Gov.Co</t>
  </si>
  <si>
    <t xml:space="preserve"> 	Soportes Estudio de Mercado -  https://bit.ly/3ey5pvX  </t>
  </si>
  <si>
    <t>Valor Unitario Mensual + IPC Enero 2021 (6,94)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</si>
</sst>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quot;$&quot;\ #,##0;\-&quot;$&quot;\ #,##0"/>
    <numFmt numFmtId="165" formatCode="&quot;$&quot;\ #,##0;[Red]\-&quot;$&quot;\ #,##0"/>
    <numFmt numFmtId="166" formatCode="_-&quot;$&quot;\ * #,##0_-;\-&quot;$&quot;\ * #,##0_-;_-&quot;$&quot;\ * &quot;-&quot;_-;_-@_-"/>
    <numFmt numFmtId="167" formatCode="_-&quot;$&quot;\ * #,##0.00_-;\-&quot;$&quot;\ * #,##0.00_-;_-&quot;$&quot;\ * &quot;-&quot;??_-;_-@_-"/>
    <numFmt numFmtId="168" formatCode="&quot;$&quot;#,##0.00_);[Red]\(&quot;$&quot;#,##0.00\)"/>
    <numFmt numFmtId="169" formatCode="&quot;$&quot;\ #,##0"/>
    <numFmt numFmtId="170" formatCode="_ * #,##0.00_ ;_ * \-#,##0.00_ ;_ * &quot;-&quot;??_ ;_ @_ "/>
    <numFmt numFmtId="171" formatCode="_-* #,##0\ _€_-;\-* #,##0\ _€_-;_-* &quot;-&quot;\ _€_-;_-@_-"/>
    <numFmt numFmtId="172" formatCode="_-* #,##0.00\ _€_-;\-* #,##0.00\ _€_-;_-* &quot;-&quot;??\ _€_-;_-@_-"/>
    <numFmt numFmtId="173" formatCode="#,##0.00\ \€"/>
    <numFmt numFmtId="174" formatCode="&quot;$&quot;\ #,##0.00"/>
    <numFmt numFmtId="175" formatCode="_-&quot;$&quot;\ * #,##0_-;\-&quot;$&quot;\ * #,##0_-;_-&quot;$&quot;\ * &quot;-&quot;??_-;_-@_-"/>
    <numFmt numFmtId="176" formatCode="&quot;$&quot;\ #,##0.0"/>
    <numFmt numFmtId="177" formatCode="&quot;A Y S&quot;\ 0.0%"/>
    <numFmt numFmtId="178" formatCode="0%&quot; Del Servicio&quot;"/>
    <numFmt numFmtId="179" formatCode="&quot;IVA&quot;\ 0%"/>
    <numFmt numFmtId="180" formatCode="0.00000%"/>
    <numFmt numFmtId="181" formatCode="&quot;$&quot;#,##0.0_);[Red]\(&quot;$&quot;#,##0.0\)"/>
    <numFmt numFmtId="182" formatCode="0.000%"/>
    <numFmt numFmtId="183" formatCode="0.0"/>
    <numFmt numFmtId="184" formatCode="&quot;$&quot;\ #,##0.00;[Red]&quot;$&quot;\ #,##0.00"/>
    <numFmt numFmtId="185" formatCode="&quot;$&quot;#,##0_);[Red]\(&quot;$&quot;#,##0\)"/>
    <numFmt numFmtId="186" formatCode="_-&quot;$ &quot;* #,##0_-;&quot;-$ &quot;* #,##0_-;_-&quot;$ &quot;* \-_-;_-@_-"/>
    <numFmt numFmtId="187" formatCode="_-&quot;$ &quot;* #,##0_-;&quot;-$ &quot;* #,##0_-;_-&quot;$ &quot;* \-??_-;_-@_-"/>
  </numFmts>
  <fonts count="107">
    <font>
      <sz val="11"/>
      <color theme="1"/>
      <name val="Calibri"/>
      <family val="2"/>
      <scheme val="minor"/>
    </font>
    <font>
      <sz val="11"/>
      <color theme="1"/>
      <name val="Arial Narrow"/>
      <family val="2"/>
    </font>
    <font>
      <sz val="11"/>
      <color theme="1"/>
      <name val="Calibri"/>
      <family val="2"/>
      <scheme val="minor"/>
    </font>
    <font>
      <b/>
      <sz val="8"/>
      <color rgb="FF000000"/>
      <name val="Arial"/>
      <family val="2"/>
    </font>
    <font>
      <b/>
      <sz val="6"/>
      <color rgb="FF000000"/>
      <name val="Arial"/>
      <family val="2"/>
    </font>
    <font>
      <b/>
      <sz val="5"/>
      <color rgb="FF000000"/>
      <name val="Arial"/>
      <family val="2"/>
    </font>
    <font>
      <b/>
      <sz val="5"/>
      <color theme="1"/>
      <name val="Arial"/>
      <family val="2"/>
    </font>
    <font>
      <b/>
      <sz val="14"/>
      <color theme="1"/>
      <name val="Calibri"/>
      <family val="2"/>
      <scheme val="minor"/>
    </font>
    <font>
      <b/>
      <sz val="8"/>
      <name val="Arial"/>
      <family val="2"/>
    </font>
    <font>
      <u/>
      <sz val="11"/>
      <color theme="10"/>
      <name val="Calibri"/>
      <family val="2"/>
      <scheme val="minor"/>
    </font>
    <font>
      <sz val="12"/>
      <color theme="1"/>
      <name val="Calibri"/>
      <family val="2"/>
      <scheme val="minor"/>
    </font>
    <font>
      <b/>
      <sz val="8"/>
      <color theme="1"/>
      <name val="Calibri"/>
      <family val="2"/>
      <scheme val="minor"/>
    </font>
    <font>
      <sz val="10"/>
      <name val="Arial"/>
      <family val="2"/>
    </font>
    <font>
      <u/>
      <sz val="10"/>
      <color indexed="12"/>
      <name val="Arial"/>
      <family val="2"/>
    </font>
    <font>
      <sz val="12"/>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b/>
      <sz val="5"/>
      <color theme="0"/>
      <name val="Arial"/>
      <family val="2"/>
    </font>
    <font>
      <b/>
      <sz val="11"/>
      <color theme="1"/>
      <name val="Calibri"/>
      <family val="2"/>
      <scheme val="minor"/>
    </font>
    <font>
      <sz val="8"/>
      <color theme="1"/>
      <name val="Calibri"/>
      <family val="2"/>
      <scheme val="minor"/>
    </font>
    <font>
      <b/>
      <sz val="8"/>
      <color rgb="FFFF0000"/>
      <name val="Calibri"/>
      <family val="2"/>
      <scheme val="minor"/>
    </font>
    <font>
      <sz val="11"/>
      <color theme="0"/>
      <name val="Calibri"/>
      <family val="2"/>
      <scheme val="minor"/>
    </font>
    <font>
      <b/>
      <sz val="11"/>
      <color rgb="FFFFFFFF"/>
      <name val="Garamond"/>
      <family val="1"/>
    </font>
    <font>
      <sz val="9"/>
      <color theme="0"/>
      <name val="Calibri"/>
      <family val="2"/>
      <scheme val="minor"/>
    </font>
    <font>
      <b/>
      <sz val="9"/>
      <color rgb="FFFFFFFF"/>
      <name val="Garamond"/>
      <family val="1"/>
    </font>
    <font>
      <b/>
      <sz val="16"/>
      <color theme="1"/>
      <name val="Calibri"/>
      <family val="2"/>
      <scheme val="minor"/>
    </font>
    <font>
      <sz val="8"/>
      <name val="Calibri"/>
      <family val="2"/>
      <scheme val="minor"/>
    </font>
    <font>
      <sz val="9"/>
      <color theme="1"/>
      <name val="Calibri"/>
      <family val="2"/>
      <scheme val="minor"/>
    </font>
    <font>
      <sz val="8"/>
      <color theme="0"/>
      <name val="Calibri"/>
      <family val="2"/>
      <scheme val="minor"/>
    </font>
    <font>
      <sz val="10"/>
      <color theme="1"/>
      <name val="Calibri"/>
      <family val="2"/>
      <scheme val="minor"/>
    </font>
    <font>
      <b/>
      <sz val="12"/>
      <color theme="1"/>
      <name val="Calibri"/>
      <family val="2"/>
      <scheme val="minor"/>
    </font>
    <font>
      <b/>
      <sz val="20"/>
      <color theme="1"/>
      <name val="Calibri"/>
      <family val="2"/>
      <scheme val="minor"/>
    </font>
    <font>
      <sz val="14"/>
      <color theme="1"/>
      <name val="Calibri"/>
      <family val="2"/>
      <scheme val="minor"/>
    </font>
    <font>
      <b/>
      <sz val="8"/>
      <color theme="0"/>
      <name val="Arial"/>
      <family val="2"/>
    </font>
    <font>
      <b/>
      <sz val="12"/>
      <color theme="0"/>
      <name val="Arial"/>
      <family val="2"/>
    </font>
    <font>
      <b/>
      <sz val="12"/>
      <color theme="9" tint="-0.499984740745262"/>
      <name val="Calibri"/>
      <family val="2"/>
      <scheme val="minor"/>
    </font>
    <font>
      <sz val="12"/>
      <color theme="9" tint="-0.499984740745262"/>
      <name val="Calibri"/>
      <family val="2"/>
      <scheme val="minor"/>
    </font>
    <font>
      <b/>
      <sz val="12"/>
      <color rgb="FFFF0000"/>
      <name val="Calibri"/>
      <family val="2"/>
      <scheme val="minor"/>
    </font>
    <font>
      <sz val="12"/>
      <color theme="0"/>
      <name val="Calibri"/>
      <family val="2"/>
      <scheme val="minor"/>
    </font>
    <font>
      <sz val="12"/>
      <color theme="5" tint="-0.499984740745262"/>
      <name val="Calibri"/>
      <family val="2"/>
      <scheme val="minor"/>
    </font>
    <font>
      <b/>
      <sz val="12"/>
      <color theme="5" tint="-0.499984740745262"/>
      <name val="Calibri"/>
      <family val="2"/>
      <scheme val="minor"/>
    </font>
    <font>
      <sz val="12"/>
      <color rgb="FF7030A0"/>
      <name val="Calibri"/>
      <family val="2"/>
      <scheme val="minor"/>
    </font>
    <font>
      <b/>
      <sz val="12"/>
      <color rgb="FF7030A0"/>
      <name val="Calibri"/>
      <family val="2"/>
      <scheme val="minor"/>
    </font>
    <font>
      <sz val="12"/>
      <color rgb="FF000000"/>
      <name val="Calibri"/>
      <family val="2"/>
      <scheme val="minor"/>
    </font>
    <font>
      <i/>
      <sz val="14"/>
      <color theme="1"/>
      <name val="Calibri"/>
      <family val="2"/>
      <scheme val="minor"/>
    </font>
    <font>
      <b/>
      <i/>
      <sz val="14"/>
      <color theme="1"/>
      <name val="Calibri"/>
      <family val="2"/>
      <scheme val="minor"/>
    </font>
    <font>
      <b/>
      <sz val="9"/>
      <color indexed="81"/>
      <name val="Tahoma"/>
      <family val="2"/>
    </font>
    <font>
      <sz val="9"/>
      <color indexed="81"/>
      <name val="Tahoma"/>
      <family val="2"/>
    </font>
    <font>
      <b/>
      <sz val="8"/>
      <color theme="0"/>
      <name val="Calibri"/>
      <family val="2"/>
      <scheme val="minor"/>
    </font>
    <font>
      <b/>
      <sz val="11"/>
      <name val="Garamond"/>
      <family val="1"/>
    </font>
    <font>
      <sz val="11"/>
      <name val="Garamond"/>
      <family val="1"/>
    </font>
    <font>
      <b/>
      <sz val="14"/>
      <name val="Calibri"/>
      <family val="2"/>
      <scheme val="minor"/>
    </font>
    <font>
      <b/>
      <sz val="12"/>
      <name val="Garamond"/>
      <family val="1"/>
    </font>
    <font>
      <sz val="11"/>
      <color theme="1"/>
      <name val="Garamond"/>
      <family val="1"/>
    </font>
    <font>
      <sz val="11"/>
      <color theme="1"/>
      <name val="Calibri"/>
      <family val="2"/>
      <charset val="1"/>
    </font>
    <font>
      <b/>
      <sz val="11"/>
      <color theme="0"/>
      <name val="Arial Narrow"/>
      <family val="2"/>
    </font>
    <font>
      <sz val="11"/>
      <color rgb="FFFF0000"/>
      <name val="Arial Narrow"/>
      <family val="2"/>
    </font>
    <font>
      <b/>
      <sz val="11"/>
      <color theme="1"/>
      <name val="Arial Narrow"/>
      <family val="2"/>
    </font>
    <font>
      <sz val="11"/>
      <color theme="0"/>
      <name val="Arial Narrow"/>
      <family val="2"/>
    </font>
    <font>
      <b/>
      <sz val="11"/>
      <name val="Arial Narrow"/>
      <family val="2"/>
    </font>
    <font>
      <sz val="11"/>
      <name val="Arial Narrow"/>
      <family val="2"/>
    </font>
    <font>
      <sz val="10"/>
      <name val="Arial Narrow"/>
      <family val="2"/>
    </font>
    <font>
      <sz val="10"/>
      <color theme="1"/>
      <name val="Arial Narrow"/>
      <family val="2"/>
    </font>
    <font>
      <b/>
      <sz val="14"/>
      <color theme="1"/>
      <name val="Arial Narrow"/>
      <family val="2"/>
    </font>
    <font>
      <sz val="11"/>
      <color rgb="FF242424"/>
      <name val="Arial Narrow"/>
      <family val="2"/>
    </font>
    <font>
      <sz val="11"/>
      <color rgb="FFFFFFFF"/>
      <name val="Arial Narrow"/>
      <family val="2"/>
    </font>
    <font>
      <sz val="11"/>
      <color rgb="FF333333"/>
      <name val="Arial Narrow"/>
      <family val="2"/>
    </font>
    <font>
      <b/>
      <sz val="10"/>
      <name val="Arial Narrow"/>
      <family val="2"/>
    </font>
    <font>
      <b/>
      <sz val="10"/>
      <color theme="1"/>
      <name val="Arial Narrow"/>
      <family val="2"/>
    </font>
    <font>
      <b/>
      <sz val="10"/>
      <color rgb="FF000000"/>
      <name val="Arial Narrow"/>
      <family val="2"/>
    </font>
    <font>
      <sz val="10"/>
      <color rgb="FF000000"/>
      <name val="Arial Narrow"/>
      <family val="2"/>
    </font>
    <font>
      <sz val="11"/>
      <color rgb="FF9C0006"/>
      <name val="Calibri"/>
      <family val="2"/>
      <scheme val="minor"/>
    </font>
    <font>
      <b/>
      <sz val="11"/>
      <color theme="1"/>
      <name val="Garamond"/>
      <family val="1"/>
    </font>
    <font>
      <b/>
      <sz val="12"/>
      <color theme="1"/>
      <name val="Garamond"/>
      <family val="1"/>
    </font>
    <font>
      <b/>
      <sz val="12"/>
      <color rgb="FF000000"/>
      <name val="Garamond"/>
      <family val="1"/>
    </font>
    <font>
      <sz val="12"/>
      <name val="Garamond"/>
      <family val="1"/>
    </font>
    <font>
      <sz val="12"/>
      <color theme="1"/>
      <name val="Garamond"/>
      <family val="1"/>
    </font>
    <font>
      <b/>
      <sz val="15"/>
      <color theme="1"/>
      <name val="Garamond"/>
      <family val="1"/>
    </font>
    <font>
      <b/>
      <sz val="20"/>
      <color theme="1"/>
      <name val="Garamond"/>
      <family val="1"/>
    </font>
    <font>
      <b/>
      <sz val="22"/>
      <color theme="1"/>
      <name val="Garamond"/>
      <family val="1"/>
    </font>
    <font>
      <b/>
      <sz val="10"/>
      <name val="Arial"/>
      <family val="2"/>
    </font>
    <font>
      <sz val="12"/>
      <name val="Arial"/>
      <family val="2"/>
    </font>
    <font>
      <sz val="12"/>
      <color rgb="FF000000"/>
      <name val="Garamond"/>
      <family val="1"/>
    </font>
    <font>
      <b/>
      <sz val="12"/>
      <name val="Garamond"/>
      <family val="1"/>
      <charset val="1"/>
    </font>
    <font>
      <sz val="11"/>
      <color theme="1"/>
      <name val="Garamond"/>
      <family val="1"/>
      <charset val="1"/>
    </font>
    <font>
      <b/>
      <sz val="11"/>
      <color theme="1"/>
      <name val="Garamond"/>
      <family val="1"/>
      <charset val="1"/>
    </font>
    <font>
      <b/>
      <sz val="12"/>
      <color theme="1"/>
      <name val="Garamond"/>
      <family val="1"/>
      <charset val="1"/>
    </font>
    <font>
      <b/>
      <sz val="12"/>
      <color rgb="FF000000"/>
      <name val="Garamond"/>
      <family val="1"/>
      <charset val="1"/>
    </font>
    <font>
      <sz val="11"/>
      <name val="Garamond"/>
      <family val="1"/>
      <charset val="1"/>
    </font>
    <font>
      <sz val="12"/>
      <name val="Garamond"/>
      <family val="1"/>
      <charset val="1"/>
    </font>
    <font>
      <sz val="12"/>
      <color theme="1"/>
      <name val="Garamond"/>
      <family val="1"/>
      <charset val="1"/>
    </font>
    <font>
      <sz val="11"/>
      <color rgb="FF9C0006"/>
      <name val="Calibri"/>
      <family val="2"/>
      <charset val="1"/>
    </font>
    <font>
      <b/>
      <sz val="15"/>
      <color theme="1"/>
      <name val="Garamond"/>
      <family val="1"/>
      <charset val="1"/>
    </font>
    <font>
      <b/>
      <sz val="20"/>
      <color theme="1"/>
      <name val="Garamond"/>
      <family val="1"/>
      <charset val="1"/>
    </font>
    <font>
      <b/>
      <sz val="22"/>
      <color theme="1"/>
      <name val="Garamond"/>
      <family val="1"/>
      <charset val="1"/>
    </font>
    <font>
      <b/>
      <sz val="10"/>
      <name val="Arial"/>
      <family val="2"/>
      <charset val="1"/>
    </font>
    <font>
      <sz val="12"/>
      <name val="Arial"/>
      <family val="2"/>
      <charset val="1"/>
    </font>
    <font>
      <b/>
      <sz val="14"/>
      <color rgb="FF000000"/>
      <name val="Arial"/>
      <family val="2"/>
    </font>
    <font>
      <b/>
      <sz val="11"/>
      <color rgb="FF000000"/>
      <name val="Arial"/>
      <family val="2"/>
    </font>
    <font>
      <b/>
      <sz val="16"/>
      <color rgb="FF000000"/>
      <name val="Arial"/>
      <family val="2"/>
    </font>
    <font>
      <b/>
      <sz val="16"/>
      <color rgb="FFFFFFFF"/>
      <name val="Arial"/>
      <family val="2"/>
    </font>
    <font>
      <b/>
      <sz val="12"/>
      <color theme="1"/>
      <name val="Arial Narrow"/>
      <family val="2"/>
    </font>
    <font>
      <sz val="12"/>
      <color theme="1"/>
      <name val="Arial Narrow"/>
      <family val="2"/>
    </font>
    <font>
      <b/>
      <sz val="12"/>
      <color rgb="FF000000"/>
      <name val="Arial Narrow"/>
    </font>
    <font>
      <sz val="12"/>
      <color rgb="FF000000"/>
      <name val="Arial Narrow"/>
    </font>
  </fonts>
  <fills count="60">
    <fill>
      <patternFill patternType="none"/>
    </fill>
    <fill>
      <patternFill patternType="gray125"/>
    </fill>
    <fill>
      <patternFill patternType="solid">
        <fgColor theme="0" tint="-4.9989318521683403E-2"/>
        <bgColor rgb="FFFF99CC"/>
      </patternFill>
    </fill>
    <fill>
      <patternFill patternType="solid">
        <fgColor theme="4" tint="0.59999389629810485"/>
        <bgColor indexed="64"/>
      </patternFill>
    </fill>
    <fill>
      <patternFill patternType="solid">
        <fgColor rgb="FFFFC000"/>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bgColor rgb="FFFF99CC"/>
      </patternFill>
    </fill>
    <fill>
      <patternFill patternType="solid">
        <fgColor theme="2"/>
        <bgColor indexed="64"/>
      </patternFill>
    </fill>
    <fill>
      <patternFill patternType="solid">
        <fgColor theme="3"/>
        <bgColor indexed="64"/>
      </patternFill>
    </fill>
    <fill>
      <patternFill patternType="solid">
        <fgColor rgb="FF222B35"/>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rgb="FF92D050"/>
        <bgColor indexed="64"/>
      </patternFill>
    </fill>
    <fill>
      <patternFill patternType="solid">
        <fgColor theme="4" tint="-0.249977111117893"/>
        <bgColor indexed="64"/>
      </patternFill>
    </fill>
    <fill>
      <patternFill patternType="solid">
        <fgColor rgb="FF7030A0"/>
        <bgColor indexed="64"/>
      </patternFill>
    </fill>
    <fill>
      <patternFill patternType="solid">
        <fgColor theme="2" tint="-0.499984740745262"/>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4" tint="-0.499984740745262"/>
        <bgColor rgb="FFFF99CC"/>
      </patternFill>
    </fill>
    <fill>
      <patternFill patternType="solid">
        <fgColor theme="3"/>
        <bgColor rgb="FFFF99CC"/>
      </patternFill>
    </fill>
    <fill>
      <patternFill patternType="solid">
        <fgColor theme="3" tint="0.79998168889431442"/>
        <bgColor indexed="64"/>
      </patternFill>
    </fill>
    <fill>
      <patternFill patternType="solid">
        <fgColor theme="4"/>
        <bgColor indexed="64"/>
      </patternFill>
    </fill>
    <fill>
      <patternFill patternType="solid">
        <fgColor rgb="FF7030A0"/>
        <bgColor rgb="FFFF99CC"/>
      </patternFill>
    </fill>
    <fill>
      <patternFill patternType="solid">
        <fgColor rgb="FFD5BCE2"/>
        <bgColor indexed="64"/>
      </patternFill>
    </fill>
    <fill>
      <patternFill patternType="solid">
        <fgColor theme="0"/>
        <bgColor indexed="64"/>
      </patternFill>
    </fill>
    <fill>
      <patternFill patternType="solid">
        <fgColor theme="4" tint="0.39997558519241921"/>
        <bgColor indexed="64"/>
      </patternFill>
    </fill>
    <fill>
      <patternFill patternType="solid">
        <fgColor rgb="FFFF0000"/>
        <bgColor indexed="64"/>
      </patternFill>
    </fill>
    <fill>
      <patternFill patternType="solid">
        <fgColor theme="0"/>
        <bgColor rgb="FFFF99CC"/>
      </patternFill>
    </fill>
    <fill>
      <patternFill patternType="solid">
        <fgColor theme="0" tint="-0.14999847407452621"/>
        <bgColor indexed="64"/>
      </patternFill>
    </fill>
    <fill>
      <patternFill patternType="solid">
        <fgColor theme="7" tint="0.59999389629810485"/>
        <bgColor indexed="64"/>
      </patternFill>
    </fill>
    <fill>
      <patternFill patternType="solid">
        <fgColor theme="0"/>
        <bgColor rgb="FFFFFF00"/>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59987182226020086"/>
        <bgColor rgb="FFD9D9D9"/>
      </patternFill>
    </fill>
    <fill>
      <patternFill patternType="solid">
        <fgColor theme="6" tint="0.59987182226020086"/>
        <bgColor rgb="FFD9D9D9"/>
      </patternFill>
    </fill>
    <fill>
      <patternFill patternType="solid">
        <fgColor rgb="FFFFC7CE"/>
      </patternFill>
    </fill>
    <fill>
      <patternFill patternType="solid">
        <fgColor theme="8" tint="0.59999389629810485"/>
        <bgColor indexed="65"/>
      </patternFill>
    </fill>
    <fill>
      <patternFill patternType="solid">
        <fgColor rgb="FF8EA9DB"/>
        <bgColor rgb="FF000000"/>
      </patternFill>
    </fill>
    <fill>
      <patternFill patternType="solid">
        <fgColor theme="6" tint="0.59999389629810485"/>
        <bgColor indexed="64"/>
      </patternFill>
    </fill>
    <fill>
      <patternFill patternType="solid">
        <fgColor theme="2" tint="-0.249977111117893"/>
        <bgColor indexed="64"/>
      </patternFill>
    </fill>
    <fill>
      <patternFill patternType="solid">
        <fgColor rgb="FFDDEBF7"/>
        <bgColor rgb="FF000000"/>
      </patternFill>
    </fill>
    <fill>
      <patternFill patternType="solid">
        <fgColor theme="0" tint="-0.14999847407452621"/>
        <bgColor rgb="FFDBDBDB"/>
      </patternFill>
    </fill>
    <fill>
      <patternFill patternType="solid">
        <fgColor theme="7" tint="0.59987182226020086"/>
        <bgColor rgb="FFE2F0D9"/>
      </patternFill>
    </fill>
    <fill>
      <patternFill patternType="solid">
        <fgColor theme="4" tint="0.39988402966399123"/>
        <bgColor rgb="FF8EA9DB"/>
      </patternFill>
    </fill>
    <fill>
      <patternFill patternType="solid">
        <fgColor rgb="FF8EA9DB"/>
        <bgColor rgb="FF8FAADC"/>
      </patternFill>
    </fill>
    <fill>
      <patternFill patternType="solid">
        <fgColor rgb="FFFF0000"/>
        <bgColor rgb="FF9C0006"/>
      </patternFill>
    </fill>
    <fill>
      <patternFill patternType="solid">
        <fgColor theme="9" tint="0.59987182226020086"/>
        <bgColor rgb="FFD9D9D9"/>
      </patternFill>
    </fill>
    <fill>
      <patternFill patternType="solid">
        <fgColor theme="0"/>
        <bgColor rgb="FFE2F0D9"/>
      </patternFill>
    </fill>
    <fill>
      <patternFill patternType="solid">
        <fgColor rgb="FFFFC7CE"/>
        <bgColor rgb="FFD9D9D9"/>
      </patternFill>
    </fill>
    <fill>
      <patternFill patternType="solid">
        <fgColor theme="2" tint="-0.249977111117893"/>
        <bgColor rgb="FF8FAADC"/>
      </patternFill>
    </fill>
    <fill>
      <patternFill patternType="solid">
        <fgColor theme="9" tint="0.79989013336588644"/>
        <bgColor rgb="FFDDEBF7"/>
      </patternFill>
    </fill>
    <fill>
      <patternFill patternType="solid">
        <fgColor rgb="FFDDEBF7"/>
        <bgColor rgb="FFE2F0D9"/>
      </patternFill>
    </fill>
    <fill>
      <patternFill patternType="solid">
        <fgColor rgb="FFFFFFFF"/>
        <bgColor rgb="FF000000"/>
      </patternFill>
    </fill>
    <fill>
      <patternFill patternType="solid">
        <fgColor rgb="FF1F4E5F"/>
        <bgColor rgb="FF404040"/>
      </patternFill>
    </fill>
    <fill>
      <patternFill patternType="solid">
        <fgColor theme="4" tint="0.59999389629810485"/>
        <bgColor rgb="FF000000"/>
      </patternFill>
    </fill>
    <fill>
      <patternFill patternType="solid">
        <fgColor theme="6" tint="0.79998168889431442"/>
        <bgColor indexed="64"/>
      </patternFill>
    </fill>
  </fills>
  <borders count="113">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indexed="64"/>
      </left>
      <right/>
      <top style="thin">
        <color indexed="64"/>
      </top>
      <bottom style="thin">
        <color indexed="64"/>
      </bottom>
      <diagonal/>
    </border>
    <border>
      <left style="thin">
        <color auto="1"/>
      </left>
      <right/>
      <top/>
      <bottom/>
      <diagonal/>
    </border>
    <border>
      <left style="thin">
        <color auto="1"/>
      </left>
      <right/>
      <top/>
      <bottom style="thin">
        <color auto="1"/>
      </bottom>
      <diagonal/>
    </border>
    <border>
      <left/>
      <right/>
      <top style="thin">
        <color auto="1"/>
      </top>
      <bottom/>
      <diagonal/>
    </border>
    <border>
      <left/>
      <right style="medium">
        <color indexed="64"/>
      </right>
      <top style="thin">
        <color auto="1"/>
      </top>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thin">
        <color indexed="64"/>
      </left>
      <right/>
      <top style="thin">
        <color auto="1"/>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auto="1"/>
      </left>
      <right/>
      <top style="thin">
        <color auto="1"/>
      </top>
      <bottom style="medium">
        <color auto="1"/>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right/>
      <top style="thin">
        <color auto="1"/>
      </top>
      <bottom style="thin">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style="thin">
        <color rgb="FF000000"/>
      </left>
      <right/>
      <top style="medium">
        <color indexed="64"/>
      </top>
      <bottom style="thin">
        <color rgb="FF000000"/>
      </bottom>
      <diagonal/>
    </border>
    <border>
      <left style="thin">
        <color rgb="FF000000"/>
      </left>
      <right/>
      <top style="thin">
        <color rgb="FF000000"/>
      </top>
      <bottom style="medium">
        <color indexed="64"/>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indexed="64"/>
      </left>
      <right/>
      <top style="medium">
        <color indexed="64"/>
      </top>
      <bottom/>
      <diagonal/>
    </border>
    <border>
      <left style="thin">
        <color rgb="FF000000"/>
      </left>
      <right style="thin">
        <color rgb="FF000000"/>
      </right>
      <top style="medium">
        <color rgb="FF000000"/>
      </top>
      <bottom style="medium">
        <color rgb="FF000000"/>
      </bottom>
      <diagonal/>
    </border>
    <border>
      <left/>
      <right/>
      <top/>
      <bottom style="thin">
        <color auto="1"/>
      </bottom>
      <diagonal/>
    </border>
    <border>
      <left style="thin">
        <color indexed="64"/>
      </left>
      <right style="thin">
        <color indexed="64"/>
      </right>
      <top/>
      <bottom/>
      <diagonal/>
    </border>
    <border>
      <left style="thin">
        <color indexed="64"/>
      </left>
      <right/>
      <top/>
      <bottom style="medium">
        <color indexed="64"/>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indexed="64"/>
      </top>
      <bottom style="thin">
        <color indexed="64"/>
      </bottom>
      <diagonal/>
    </border>
    <border>
      <left style="medium">
        <color auto="1"/>
      </left>
      <right style="thin">
        <color auto="1"/>
      </right>
      <top/>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style="thin">
        <color rgb="FF808080"/>
      </right>
      <top style="thin">
        <color rgb="FF808080"/>
      </top>
      <bottom style="thin">
        <color rgb="FF80808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auto="1"/>
      </right>
      <top style="thin">
        <color theme="0" tint="-0.499984740745262"/>
      </top>
      <bottom style="thin">
        <color theme="0" tint="-0.499984740745262"/>
      </bottom>
      <diagonal/>
    </border>
    <border>
      <left/>
      <right style="medium">
        <color theme="0" tint="-0.499984740745262"/>
      </right>
      <top/>
      <bottom style="thin">
        <color theme="0" tint="-0.499984740745262"/>
      </bottom>
      <diagonal/>
    </border>
    <border>
      <left/>
      <right/>
      <top/>
      <bottom style="thin">
        <color theme="0" tint="-0.499984740745262"/>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right style="thin">
        <color theme="0" tint="-0.499984740745262"/>
      </right>
      <top style="thin">
        <color theme="0" tint="-0.499984740745262"/>
      </top>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style="medium">
        <color theme="0" tint="-0.499984740745262"/>
      </top>
      <bottom style="medium">
        <color theme="0" tint="-0.499984740745262"/>
      </bottom>
      <diagonal/>
    </border>
    <border>
      <left style="thin">
        <color rgb="FF808080"/>
      </left>
      <right/>
      <top style="thin">
        <color rgb="FF808080"/>
      </top>
      <bottom style="thin">
        <color auto="1"/>
      </bottom>
      <diagonal/>
    </border>
    <border>
      <left/>
      <right/>
      <top style="thin">
        <color rgb="FF808080"/>
      </top>
      <bottom style="thin">
        <color auto="1"/>
      </bottom>
      <diagonal/>
    </border>
    <border>
      <left/>
      <right style="thin">
        <color indexed="64"/>
      </right>
      <top style="thin">
        <color rgb="FF808080"/>
      </top>
      <bottom style="thin">
        <color auto="1"/>
      </bottom>
      <diagonal/>
    </border>
  </borders>
  <cellStyleXfs count="62">
    <xf numFmtId="0" fontId="0" fillId="0" borderId="0"/>
    <xf numFmtId="166"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2" fillId="0" borderId="0"/>
    <xf numFmtId="166" fontId="12" fillId="0" borderId="0" applyFont="0" applyFill="0" applyBorder="0" applyAlignment="0" applyProtection="0"/>
    <xf numFmtId="0" fontId="13" fillId="0" borderId="0" applyNumberFormat="0" applyFill="0" applyBorder="0" applyAlignment="0" applyProtection="0">
      <alignment vertical="top"/>
      <protection locked="0"/>
    </xf>
    <xf numFmtId="170" fontId="12" fillId="0" borderId="0" applyFont="0" applyFill="0" applyBorder="0" applyAlignment="0" applyProtection="0"/>
    <xf numFmtId="9" fontId="12" fillId="0" borderId="0" applyFont="0" applyFill="0" applyBorder="0" applyAlignment="0" applyProtection="0"/>
    <xf numFmtId="0" fontId="10" fillId="0" borderId="0"/>
    <xf numFmtId="9" fontId="10" fillId="0" borderId="0" applyFont="0" applyFill="0" applyBorder="0" applyAlignment="0" applyProtection="0"/>
    <xf numFmtId="0" fontId="14" fillId="0" borderId="0"/>
    <xf numFmtId="166" fontId="2"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172" fontId="15" fillId="0" borderId="0" applyFont="0" applyFill="0" applyBorder="0" applyAlignment="0" applyProtection="0"/>
    <xf numFmtId="171" fontId="15" fillId="0" borderId="0" applyFont="0" applyFill="0" applyBorder="0" applyAlignment="0" applyProtection="0"/>
    <xf numFmtId="0" fontId="18" fillId="5" borderId="1" applyNumberFormat="0" applyProtection="0">
      <alignment horizontal="left" vertical="center"/>
    </xf>
    <xf numFmtId="0" fontId="17" fillId="6" borderId="0" applyNumberFormat="0" applyBorder="0" applyProtection="0">
      <alignment horizontal="center" vertical="center"/>
    </xf>
    <xf numFmtId="0" fontId="17" fillId="7" borderId="0" applyNumberFormat="0" applyBorder="0" applyProtection="0">
      <alignment horizontal="center" vertical="center"/>
    </xf>
    <xf numFmtId="0" fontId="17" fillId="5" borderId="0" applyNumberFormat="0" applyBorder="0" applyProtection="0">
      <alignment horizontal="center" vertical="center" wrapText="1"/>
    </xf>
    <xf numFmtId="0" fontId="17" fillId="5" borderId="0" applyNumberFormat="0" applyBorder="0" applyProtection="0">
      <alignment horizontal="right" vertical="center" wrapText="1"/>
    </xf>
    <xf numFmtId="0" fontId="17" fillId="8" borderId="0" applyNumberFormat="0" applyBorder="0" applyProtection="0">
      <alignment horizontal="center" vertical="center" wrapText="1"/>
    </xf>
    <xf numFmtId="0" fontId="16" fillId="8" borderId="0" applyNumberFormat="0" applyBorder="0" applyProtection="0">
      <alignment horizontal="right" vertical="center" wrapText="1"/>
    </xf>
    <xf numFmtId="49" fontId="16" fillId="0" borderId="0" applyFill="0" applyBorder="0" applyProtection="0">
      <alignment horizontal="left" vertical="center"/>
    </xf>
    <xf numFmtId="0" fontId="17" fillId="0" borderId="0" applyNumberFormat="0" applyFill="0" applyBorder="0" applyProtection="0">
      <alignment horizontal="left" vertical="center"/>
    </xf>
    <xf numFmtId="0" fontId="17" fillId="0" borderId="0" applyNumberFormat="0" applyFill="0" applyBorder="0" applyProtection="0">
      <alignment horizontal="right" vertical="center"/>
    </xf>
    <xf numFmtId="173" fontId="16" fillId="0" borderId="0" applyFill="0" applyBorder="0" applyProtection="0">
      <alignment horizontal="right" vertical="center"/>
    </xf>
    <xf numFmtId="14" fontId="16" fillId="0" borderId="0" applyFill="0" applyBorder="0" applyProtection="0">
      <alignment horizontal="right" vertical="center"/>
    </xf>
    <xf numFmtId="22" fontId="16" fillId="0" borderId="0" applyFill="0" applyBorder="0" applyProtection="0">
      <alignment horizontal="right" vertical="center"/>
    </xf>
    <xf numFmtId="3" fontId="16" fillId="0" borderId="0" applyFill="0" applyBorder="0" applyProtection="0">
      <alignment horizontal="right" vertical="center"/>
    </xf>
    <xf numFmtId="4" fontId="16" fillId="0" borderId="0" applyFill="0" applyBorder="0" applyProtection="0">
      <alignment horizontal="right" vertical="center"/>
    </xf>
    <xf numFmtId="0" fontId="16" fillId="0" borderId="1" applyNumberFormat="0" applyFill="0" applyProtection="0">
      <alignment horizontal="left" vertical="center"/>
    </xf>
    <xf numFmtId="173" fontId="16" fillId="0" borderId="1" applyFill="0" applyProtection="0">
      <alignment horizontal="right" vertical="center"/>
    </xf>
    <xf numFmtId="3" fontId="16" fillId="0" borderId="1" applyFill="0" applyProtection="0">
      <alignment horizontal="right" vertical="center"/>
    </xf>
    <xf numFmtId="4" fontId="16" fillId="0" borderId="1" applyFill="0" applyProtection="0">
      <alignment horizontal="right" vertical="center"/>
    </xf>
    <xf numFmtId="0" fontId="15" fillId="0" borderId="1" applyNumberFormat="0" applyFont="0" applyFill="0" applyAlignment="0" applyProtection="0"/>
    <xf numFmtId="167" fontId="15" fillId="0" borderId="0" applyFont="0" applyFill="0" applyBorder="0" applyAlignment="0" applyProtection="0"/>
    <xf numFmtId="166" fontId="15" fillId="0" borderId="0" applyFont="0" applyFill="0" applyBorder="0" applyAlignment="0" applyProtection="0"/>
    <xf numFmtId="43" fontId="15" fillId="0" borderId="0" applyFont="0" applyFill="0" applyBorder="0" applyAlignment="0" applyProtection="0"/>
    <xf numFmtId="41" fontId="15" fillId="0" borderId="0" applyFont="0" applyFill="0" applyBorder="0" applyAlignment="0" applyProtection="0"/>
    <xf numFmtId="43" fontId="15" fillId="0" borderId="0" applyFont="0" applyFill="0" applyBorder="0" applyAlignment="0" applyProtection="0"/>
    <xf numFmtId="0" fontId="17" fillId="6" borderId="0" applyNumberFormat="0" applyBorder="0" applyProtection="0">
      <alignment horizontal="center" vertical="center"/>
    </xf>
    <xf numFmtId="43" fontId="15" fillId="0" borderId="0" applyFont="0" applyFill="0" applyBorder="0" applyAlignment="0" applyProtection="0"/>
    <xf numFmtId="43"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0" fontId="2" fillId="0" borderId="0">
      <alignment vertical="center"/>
    </xf>
    <xf numFmtId="166" fontId="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0" fontId="56" fillId="37" borderId="0"/>
    <xf numFmtId="0" fontId="73" fillId="39" borderId="0" applyNumberFormat="0" applyBorder="0" applyAlignment="0" applyProtection="0"/>
    <xf numFmtId="0" fontId="2" fillId="40" borderId="0" applyNumberFormat="0" applyBorder="0" applyAlignment="0" applyProtection="0"/>
    <xf numFmtId="0" fontId="93" fillId="52" borderId="0"/>
  </cellStyleXfs>
  <cellXfs count="726">
    <xf numFmtId="0" fontId="0" fillId="0" borderId="0" xfId="0"/>
    <xf numFmtId="0" fontId="0" fillId="0" borderId="1" xfId="0" applyBorder="1"/>
    <xf numFmtId="10" fontId="0" fillId="0" borderId="1" xfId="2" applyNumberFormat="1" applyFont="1" applyBorder="1"/>
    <xf numFmtId="166" fontId="0" fillId="0" borderId="1" xfId="1" applyFont="1" applyBorder="1"/>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169" fontId="3" fillId="2"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0" fillId="0" borderId="0" xfId="0" applyAlignment="1">
      <alignment horizontal="left"/>
    </xf>
    <xf numFmtId="166" fontId="0" fillId="0" borderId="0" xfId="0" applyNumberFormat="1"/>
    <xf numFmtId="0" fontId="15" fillId="0" borderId="0" xfId="14" applyProtection="1">
      <protection locked="0"/>
    </xf>
    <xf numFmtId="0" fontId="12" fillId="0" borderId="0" xfId="14" applyFont="1" applyAlignment="1">
      <alignment horizontal="left" vertical="center"/>
    </xf>
    <xf numFmtId="2" fontId="0" fillId="0" borderId="0" xfId="0" applyNumberFormat="1"/>
    <xf numFmtId="0" fontId="11" fillId="0" borderId="0" xfId="0" applyFont="1" applyAlignment="1">
      <alignment horizontal="center" wrapText="1"/>
    </xf>
    <xf numFmtId="166" fontId="0" fillId="0" borderId="0" xfId="1" applyFont="1" applyBorder="1"/>
    <xf numFmtId="10" fontId="0" fillId="0" borderId="0" xfId="2" applyNumberFormat="1" applyFont="1" applyBorder="1"/>
    <xf numFmtId="0" fontId="7" fillId="0" borderId="0" xfId="0" applyFont="1" applyAlignment="1">
      <alignment horizontal="center"/>
    </xf>
    <xf numFmtId="169" fontId="0" fillId="0" borderId="1" xfId="1" applyNumberFormat="1" applyFont="1" applyBorder="1" applyAlignment="1">
      <alignment vertical="center"/>
    </xf>
    <xf numFmtId="169" fontId="0" fillId="0" borderId="1" xfId="0" applyNumberFormat="1" applyBorder="1" applyAlignment="1">
      <alignment vertical="center"/>
    </xf>
    <xf numFmtId="169" fontId="0" fillId="0" borderId="0" xfId="0" applyNumberFormat="1"/>
    <xf numFmtId="0" fontId="21" fillId="0" borderId="13" xfId="0" applyFont="1" applyBorder="1" applyAlignment="1">
      <alignment vertical="center" wrapText="1"/>
    </xf>
    <xf numFmtId="0" fontId="21" fillId="0" borderId="13" xfId="0" applyFont="1" applyBorder="1" applyAlignment="1">
      <alignment horizontal="center" vertical="center"/>
    </xf>
    <xf numFmtId="0" fontId="20" fillId="10" borderId="14" xfId="0" applyFont="1" applyFill="1" applyBorder="1"/>
    <xf numFmtId="169" fontId="20" fillId="10" borderId="15" xfId="0" applyNumberFormat="1" applyFont="1" applyFill="1" applyBorder="1"/>
    <xf numFmtId="169" fontId="20" fillId="10" borderId="16" xfId="0" applyNumberFormat="1" applyFont="1" applyFill="1" applyBorder="1"/>
    <xf numFmtId="0" fontId="4" fillId="2" borderId="17" xfId="0" applyFont="1" applyFill="1" applyBorder="1" applyAlignment="1">
      <alignment horizontal="center" vertical="center" textRotation="90" wrapText="1"/>
    </xf>
    <xf numFmtId="0" fontId="5" fillId="2" borderId="18" xfId="0" applyFont="1" applyFill="1" applyBorder="1" applyAlignment="1">
      <alignment horizontal="center" vertical="center" wrapText="1"/>
    </xf>
    <xf numFmtId="169" fontId="5" fillId="2" borderId="18" xfId="0" applyNumberFormat="1" applyFont="1" applyFill="1" applyBorder="1" applyAlignment="1">
      <alignment horizontal="center" vertical="center" wrapText="1"/>
    </xf>
    <xf numFmtId="169" fontId="19" fillId="9" borderId="18" xfId="0" applyNumberFormat="1"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0" fillId="0" borderId="20" xfId="0" applyBorder="1" applyAlignment="1">
      <alignment vertical="center"/>
    </xf>
    <xf numFmtId="10" fontId="0" fillId="0" borderId="21" xfId="2" applyNumberFormat="1" applyFont="1" applyBorder="1" applyAlignment="1">
      <alignment vertical="center"/>
    </xf>
    <xf numFmtId="169" fontId="0" fillId="0" borderId="1" xfId="1" quotePrefix="1" applyNumberFormat="1" applyFont="1" applyBorder="1" applyAlignment="1">
      <alignment horizontal="right" vertical="center"/>
    </xf>
    <xf numFmtId="0" fontId="0" fillId="0" borderId="0" xfId="0" applyAlignment="1">
      <alignment horizontal="left" vertical="center" wrapText="1"/>
    </xf>
    <xf numFmtId="174" fontId="0" fillId="0" borderId="1" xfId="0" applyNumberFormat="1" applyBorder="1" applyAlignment="1">
      <alignment horizontal="right" vertical="center" wrapText="1"/>
    </xf>
    <xf numFmtId="0" fontId="0" fillId="10" borderId="1" xfId="0" applyFill="1" applyBorder="1" applyAlignment="1">
      <alignment horizontal="left" vertical="center" wrapText="1"/>
    </xf>
    <xf numFmtId="174" fontId="0" fillId="0" borderId="0" xfId="0" applyNumberFormat="1" applyAlignment="1">
      <alignment horizontal="right" vertical="center" wrapText="1"/>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6" fillId="13" borderId="1" xfId="0" applyFont="1" applyFill="1" applyBorder="1" applyAlignment="1">
      <alignment horizontal="center" vertical="center" wrapText="1"/>
    </xf>
    <xf numFmtId="175" fontId="0" fillId="0" borderId="1" xfId="55" applyNumberFormat="1" applyFont="1" applyBorder="1" applyAlignment="1"/>
    <xf numFmtId="175" fontId="0" fillId="0" borderId="1" xfId="0" applyNumberFormat="1" applyBorder="1"/>
    <xf numFmtId="0" fontId="0" fillId="14" borderId="1" xfId="0" applyFill="1" applyBorder="1"/>
    <xf numFmtId="169" fontId="0" fillId="15" borderId="1" xfId="1" quotePrefix="1" applyNumberFormat="1" applyFont="1" applyFill="1" applyBorder="1" applyAlignment="1">
      <alignment horizontal="right" vertical="center"/>
    </xf>
    <xf numFmtId="169" fontId="0" fillId="0" borderId="1" xfId="0" applyNumberFormat="1" applyBorder="1"/>
    <xf numFmtId="176" fontId="0" fillId="0" borderId="1" xfId="0" applyNumberFormat="1" applyBorder="1"/>
    <xf numFmtId="0" fontId="23" fillId="11" borderId="1" xfId="0" applyFont="1" applyFill="1" applyBorder="1" applyAlignment="1">
      <alignment horizontal="center" vertical="center" wrapText="1"/>
    </xf>
    <xf numFmtId="177" fontId="23" fillId="11" borderId="1" xfId="0" applyNumberFormat="1" applyFont="1" applyFill="1" applyBorder="1" applyAlignment="1">
      <alignment horizontal="center" vertical="center" wrapText="1"/>
    </xf>
    <xf numFmtId="178" fontId="23" fillId="11" borderId="1" xfId="0" applyNumberFormat="1" applyFont="1" applyFill="1" applyBorder="1" applyAlignment="1">
      <alignment horizontal="center" vertical="center" wrapText="1"/>
    </xf>
    <xf numFmtId="179" fontId="23" fillId="11" borderId="1" xfId="0" applyNumberFormat="1" applyFont="1" applyFill="1" applyBorder="1" applyAlignment="1">
      <alignment horizontal="center" vertical="center" wrapText="1"/>
    </xf>
    <xf numFmtId="0" fontId="0" fillId="0" borderId="1" xfId="0" applyBorder="1" applyAlignment="1">
      <alignment horizontal="center"/>
    </xf>
    <xf numFmtId="0" fontId="23" fillId="15" borderId="1" xfId="0" applyFont="1" applyFill="1" applyBorder="1" applyAlignment="1">
      <alignment horizontal="center" vertical="center" wrapText="1"/>
    </xf>
    <xf numFmtId="174" fontId="0" fillId="0" borderId="1" xfId="0" applyNumberFormat="1" applyBorder="1" applyAlignment="1">
      <alignment horizontal="center" vertical="center" wrapText="1"/>
    </xf>
    <xf numFmtId="0" fontId="0" fillId="0" borderId="1" xfId="0" applyBorder="1" applyAlignment="1">
      <alignment wrapText="1"/>
    </xf>
    <xf numFmtId="180" fontId="0" fillId="0" borderId="0" xfId="2" applyNumberFormat="1" applyFont="1"/>
    <xf numFmtId="0" fontId="6" fillId="3" borderId="1" xfId="0" applyFont="1" applyFill="1" applyBorder="1" applyAlignment="1">
      <alignment horizontal="center" vertical="center" wrapText="1"/>
    </xf>
    <xf numFmtId="1" fontId="0" fillId="0" borderId="1" xfId="0" applyNumberFormat="1" applyBorder="1"/>
    <xf numFmtId="9" fontId="0" fillId="0" borderId="1" xfId="2" applyFont="1" applyBorder="1" applyAlignment="1"/>
    <xf numFmtId="0" fontId="25" fillId="13" borderId="1" xfId="0" applyFont="1" applyFill="1" applyBorder="1" applyAlignment="1">
      <alignment horizontal="center" vertical="center" wrapText="1"/>
    </xf>
    <xf numFmtId="169" fontId="0" fillId="0" borderId="1" xfId="1" quotePrefix="1" applyNumberFormat="1" applyFont="1" applyFill="1" applyBorder="1" applyAlignment="1">
      <alignment horizontal="right" vertical="center"/>
    </xf>
    <xf numFmtId="0" fontId="0" fillId="10" borderId="1" xfId="0" applyFill="1" applyBorder="1"/>
    <xf numFmtId="0" fontId="26" fillId="16" borderId="1" xfId="0" applyFont="1" applyFill="1" applyBorder="1" applyAlignment="1">
      <alignment horizontal="center" vertical="center" wrapText="1"/>
    </xf>
    <xf numFmtId="0" fontId="29" fillId="0" borderId="0" xfId="0" applyFont="1" applyAlignment="1">
      <alignment wrapText="1"/>
    </xf>
    <xf numFmtId="175" fontId="0" fillId="0" borderId="1" xfId="55" applyNumberFormat="1" applyFont="1" applyFill="1" applyBorder="1" applyAlignment="1"/>
    <xf numFmtId="175" fontId="0" fillId="0" borderId="0" xfId="0" applyNumberFormat="1"/>
    <xf numFmtId="0" fontId="25" fillId="16" borderId="1" xfId="0" applyFont="1" applyFill="1" applyBorder="1" applyAlignment="1">
      <alignment horizontal="center" vertical="center" wrapText="1"/>
    </xf>
    <xf numFmtId="0" fontId="25" fillId="17" borderId="23" xfId="0" applyFont="1" applyFill="1" applyBorder="1" applyAlignment="1">
      <alignment horizontal="center" vertical="center" wrapText="1"/>
    </xf>
    <xf numFmtId="0" fontId="30" fillId="17" borderId="23" xfId="0" applyFont="1" applyFill="1" applyBorder="1" applyAlignment="1">
      <alignment horizontal="center" vertical="center" wrapText="1"/>
    </xf>
    <xf numFmtId="10" fontId="0" fillId="0" borderId="22" xfId="2" applyNumberFormat="1" applyFont="1" applyBorder="1" applyAlignment="1">
      <alignment vertical="center"/>
    </xf>
    <xf numFmtId="175" fontId="0" fillId="0" borderId="1" xfId="55" applyNumberFormat="1" applyFont="1" applyBorder="1"/>
    <xf numFmtId="175" fontId="31" fillId="0" borderId="0" xfId="55" applyNumberFormat="1" applyFont="1"/>
    <xf numFmtId="0" fontId="25" fillId="11" borderId="1" xfId="0" applyFont="1" applyFill="1" applyBorder="1" applyAlignment="1">
      <alignment horizontal="center" vertical="center" wrapText="1"/>
    </xf>
    <xf numFmtId="165" fontId="0" fillId="0" borderId="1" xfId="0" quotePrefix="1" applyNumberFormat="1" applyBorder="1" applyAlignment="1">
      <alignment horizontal="right"/>
    </xf>
    <xf numFmtId="165" fontId="0" fillId="20" borderId="1" xfId="0" applyNumberFormat="1" applyFill="1" applyBorder="1"/>
    <xf numFmtId="165" fontId="0" fillId="0" borderId="1" xfId="0" applyNumberFormat="1" applyBorder="1"/>
    <xf numFmtId="0" fontId="25" fillId="19" borderId="22" xfId="0" applyFont="1" applyFill="1" applyBorder="1" applyAlignment="1">
      <alignment horizontal="center" vertical="center" wrapText="1"/>
    </xf>
    <xf numFmtId="0" fontId="25" fillId="18" borderId="22" xfId="0" applyFont="1" applyFill="1" applyBorder="1" applyAlignment="1">
      <alignment horizontal="center" vertical="center" wrapText="1"/>
    </xf>
    <xf numFmtId="0" fontId="0" fillId="0" borderId="25" xfId="0" applyBorder="1"/>
    <xf numFmtId="0" fontId="0" fillId="0" borderId="26" xfId="0" applyBorder="1"/>
    <xf numFmtId="169" fontId="29" fillId="0" borderId="1" xfId="0" applyNumberFormat="1" applyFont="1" applyBorder="1" applyAlignment="1">
      <alignment vertical="center" wrapText="1"/>
    </xf>
    <xf numFmtId="0" fontId="27" fillId="0" borderId="0" xfId="0" applyFont="1" applyAlignment="1">
      <alignment horizontal="center" vertical="center"/>
    </xf>
    <xf numFmtId="0" fontId="0" fillId="0" borderId="0" xfId="0" applyAlignment="1">
      <alignment horizontal="center"/>
    </xf>
    <xf numFmtId="0" fontId="0" fillId="13" borderId="1" xfId="0" applyFill="1" applyBorder="1"/>
    <xf numFmtId="0" fontId="35" fillId="22" borderId="1" xfId="0" applyFont="1" applyFill="1" applyBorder="1" applyAlignment="1">
      <alignment horizontal="center" vertical="center" textRotation="90" wrapText="1"/>
    </xf>
    <xf numFmtId="0" fontId="35" fillId="22" borderId="1" xfId="0" applyFont="1" applyFill="1" applyBorder="1" applyAlignment="1">
      <alignment horizontal="center" vertical="center" wrapText="1"/>
    </xf>
    <xf numFmtId="169" fontId="35" fillId="22" borderId="1" xfId="0" applyNumberFormat="1" applyFont="1" applyFill="1" applyBorder="1" applyAlignment="1">
      <alignment horizontal="center" vertical="center" wrapText="1"/>
    </xf>
    <xf numFmtId="0" fontId="10" fillId="0" borderId="0" xfId="0" applyFont="1"/>
    <xf numFmtId="0" fontId="0" fillId="24" borderId="1" xfId="0" applyFill="1" applyBorder="1" applyAlignment="1">
      <alignment horizontal="center" vertical="center"/>
    </xf>
    <xf numFmtId="0" fontId="10" fillId="24" borderId="1" xfId="0" applyFont="1" applyFill="1" applyBorder="1" applyAlignment="1">
      <alignment vertical="center" wrapText="1"/>
    </xf>
    <xf numFmtId="0" fontId="9" fillId="24" borderId="1" xfId="3" applyFill="1" applyBorder="1" applyAlignment="1">
      <alignment vertical="center" wrapText="1"/>
    </xf>
    <xf numFmtId="0" fontId="10" fillId="24" borderId="1" xfId="0" applyFont="1" applyFill="1" applyBorder="1" applyAlignment="1">
      <alignment horizontal="center" vertical="center"/>
    </xf>
    <xf numFmtId="169" fontId="10" fillId="24" borderId="1" xfId="1" applyNumberFormat="1" applyFont="1" applyFill="1" applyBorder="1" applyAlignment="1">
      <alignment horizontal="right" vertical="center"/>
    </xf>
    <xf numFmtId="169" fontId="10" fillId="21" borderId="1" xfId="1" applyNumberFormat="1" applyFont="1" applyFill="1" applyBorder="1" applyAlignment="1">
      <alignment horizontal="right" vertical="center"/>
    </xf>
    <xf numFmtId="9" fontId="10" fillId="24" borderId="1" xfId="2" applyFont="1" applyFill="1" applyBorder="1" applyAlignment="1">
      <alignment horizontal="right" vertical="center"/>
    </xf>
    <xf numFmtId="169" fontId="40" fillId="25" borderId="1" xfId="1" applyNumberFormat="1" applyFont="1" applyFill="1" applyBorder="1" applyAlignment="1">
      <alignment horizontal="right" vertical="center"/>
    </xf>
    <xf numFmtId="169" fontId="34" fillId="24" borderId="1" xfId="1" applyNumberFormat="1" applyFont="1" applyFill="1" applyBorder="1" applyAlignment="1">
      <alignment horizontal="right" vertical="center"/>
    </xf>
    <xf numFmtId="0" fontId="10" fillId="24" borderId="1" xfId="0" applyFont="1" applyFill="1" applyBorder="1" applyAlignment="1">
      <alignment horizontal="center" vertical="center" wrapText="1"/>
    </xf>
    <xf numFmtId="0" fontId="0" fillId="27" borderId="1" xfId="0" applyFill="1" applyBorder="1" applyAlignment="1">
      <alignment horizontal="center" vertical="center"/>
    </xf>
    <xf numFmtId="0" fontId="10" fillId="27" borderId="1" xfId="0" applyFont="1" applyFill="1" applyBorder="1" applyAlignment="1">
      <alignment vertical="center" wrapText="1"/>
    </xf>
    <xf numFmtId="0" fontId="9" fillId="27" borderId="1" xfId="3" applyFill="1" applyBorder="1" applyAlignment="1">
      <alignment vertical="center" wrapText="1"/>
    </xf>
    <xf numFmtId="0" fontId="10" fillId="27" borderId="1" xfId="0" applyFont="1" applyFill="1" applyBorder="1" applyAlignment="1">
      <alignment horizontal="center" vertical="center"/>
    </xf>
    <xf numFmtId="9" fontId="10" fillId="27" borderId="1" xfId="2" applyFont="1" applyFill="1" applyBorder="1" applyAlignment="1">
      <alignment horizontal="right" vertical="center"/>
    </xf>
    <xf numFmtId="169" fontId="10" fillId="27" borderId="1" xfId="1" applyNumberFormat="1" applyFont="1" applyFill="1" applyBorder="1" applyAlignment="1">
      <alignment horizontal="right" vertical="center"/>
    </xf>
    <xf numFmtId="169" fontId="34" fillId="27" borderId="1" xfId="1" applyNumberFormat="1" applyFont="1" applyFill="1" applyBorder="1" applyAlignment="1">
      <alignment horizontal="right" vertical="center"/>
    </xf>
    <xf numFmtId="0" fontId="10" fillId="27" borderId="1" xfId="0" applyFont="1" applyFill="1" applyBorder="1" applyAlignment="1">
      <alignment horizontal="center" vertical="center" wrapText="1"/>
    </xf>
    <xf numFmtId="0" fontId="45" fillId="0" borderId="0" xfId="0" applyFont="1" applyAlignment="1">
      <alignment horizontal="left" vertical="center" indent="1"/>
    </xf>
    <xf numFmtId="0" fontId="46" fillId="0" borderId="0" xfId="0" applyFont="1" applyAlignment="1">
      <alignment horizontal="left" vertical="top" wrapText="1"/>
    </xf>
    <xf numFmtId="0" fontId="9" fillId="0" borderId="0" xfId="3"/>
    <xf numFmtId="175" fontId="0" fillId="0" borderId="0" xfId="55" applyNumberFormat="1" applyFont="1"/>
    <xf numFmtId="169" fontId="5" fillId="2" borderId="13" xfId="0" applyNumberFormat="1" applyFont="1" applyFill="1" applyBorder="1" applyAlignment="1">
      <alignment horizontal="center" vertical="center" wrapText="1"/>
    </xf>
    <xf numFmtId="9" fontId="0" fillId="0" borderId="1" xfId="2" applyFont="1" applyBorder="1" applyAlignment="1">
      <alignment horizontal="center"/>
    </xf>
    <xf numFmtId="17" fontId="0" fillId="0" borderId="0" xfId="0" quotePrefix="1" applyNumberFormat="1"/>
    <xf numFmtId="0" fontId="20" fillId="0" borderId="0" xfId="0" applyFont="1"/>
    <xf numFmtId="0" fontId="20" fillId="0" borderId="0" xfId="0" applyFont="1" applyAlignment="1">
      <alignment horizontal="center"/>
    </xf>
    <xf numFmtId="0" fontId="7" fillId="0" borderId="0" xfId="0" applyFont="1" applyAlignment="1">
      <alignment horizontal="center" vertical="center" wrapText="1"/>
    </xf>
    <xf numFmtId="0" fontId="50" fillId="11" borderId="1" xfId="0" applyFont="1" applyFill="1" applyBorder="1" applyAlignment="1">
      <alignment horizontal="center" vertical="center" wrapText="1"/>
    </xf>
    <xf numFmtId="0" fontId="51" fillId="15" borderId="33" xfId="0" applyFont="1" applyFill="1" applyBorder="1" applyAlignment="1">
      <alignment horizontal="center" vertical="center" wrapText="1"/>
    </xf>
    <xf numFmtId="0" fontId="51" fillId="0" borderId="38" xfId="0" applyFont="1" applyBorder="1" applyAlignment="1">
      <alignment horizontal="center" vertical="center" wrapText="1"/>
    </xf>
    <xf numFmtId="0" fontId="51" fillId="4" borderId="33" xfId="0" applyFont="1" applyFill="1" applyBorder="1" applyAlignment="1">
      <alignment horizontal="center" vertical="center" wrapText="1"/>
    </xf>
    <xf numFmtId="0" fontId="51" fillId="21" borderId="33" xfId="0" applyFont="1" applyFill="1" applyBorder="1" applyAlignment="1">
      <alignment horizontal="center" vertical="center" wrapText="1"/>
    </xf>
    <xf numFmtId="0" fontId="51" fillId="29" borderId="39" xfId="0" applyFont="1" applyFill="1" applyBorder="1" applyAlignment="1">
      <alignment horizontal="center" vertical="center" wrapText="1"/>
    </xf>
    <xf numFmtId="9" fontId="0" fillId="0" borderId="0" xfId="0" applyNumberFormat="1" applyAlignment="1">
      <alignment horizontal="left"/>
    </xf>
    <xf numFmtId="15" fontId="0" fillId="0" borderId="0" xfId="0" applyNumberFormat="1"/>
    <xf numFmtId="0" fontId="51" fillId="0" borderId="0" xfId="0" applyFont="1" applyAlignment="1">
      <alignment horizontal="center" vertical="center" wrapText="1"/>
    </xf>
    <xf numFmtId="175" fontId="52" fillId="0" borderId="19" xfId="55" applyNumberFormat="1" applyFont="1" applyBorder="1" applyAlignment="1">
      <alignment vertical="center"/>
    </xf>
    <xf numFmtId="0" fontId="52" fillId="0" borderId="40" xfId="0" applyFont="1" applyBorder="1" applyAlignment="1">
      <alignment vertical="center"/>
    </xf>
    <xf numFmtId="175" fontId="52" fillId="0" borderId="41" xfId="55" applyNumberFormat="1" applyFont="1" applyBorder="1" applyAlignment="1">
      <alignment vertical="center"/>
    </xf>
    <xf numFmtId="175" fontId="52" fillId="0" borderId="40" xfId="55" applyNumberFormat="1" applyFont="1" applyBorder="1" applyAlignment="1">
      <alignment vertical="center"/>
    </xf>
    <xf numFmtId="175" fontId="52" fillId="0" borderId="21" xfId="55" applyNumberFormat="1" applyFont="1" applyBorder="1" applyAlignment="1">
      <alignment vertical="center"/>
    </xf>
    <xf numFmtId="0" fontId="52" fillId="0" borderId="42" xfId="0" applyFont="1" applyBorder="1" applyAlignment="1">
      <alignment vertical="center"/>
    </xf>
    <xf numFmtId="175" fontId="52" fillId="0" borderId="22" xfId="55" applyNumberFormat="1" applyFont="1" applyBorder="1" applyAlignment="1">
      <alignment vertical="center"/>
    </xf>
    <xf numFmtId="175" fontId="52" fillId="0" borderId="42" xfId="55" applyNumberFormat="1" applyFont="1" applyBorder="1" applyAlignment="1">
      <alignment vertical="center"/>
    </xf>
    <xf numFmtId="0" fontId="23" fillId="30" borderId="0" xfId="0" applyFont="1" applyFill="1" applyAlignment="1">
      <alignment horizontal="center"/>
    </xf>
    <xf numFmtId="175" fontId="52" fillId="0" borderId="34" xfId="55" applyNumberFormat="1" applyFont="1" applyBorder="1" applyAlignment="1">
      <alignment vertical="center"/>
    </xf>
    <xf numFmtId="0" fontId="52" fillId="0" borderId="43" xfId="0" applyFont="1" applyBorder="1" applyAlignment="1">
      <alignment vertical="center"/>
    </xf>
    <xf numFmtId="175" fontId="52" fillId="0" borderId="44" xfId="55" applyNumberFormat="1" applyFont="1" applyBorder="1" applyAlignment="1">
      <alignment vertical="center"/>
    </xf>
    <xf numFmtId="175" fontId="52" fillId="0" borderId="43" xfId="55" applyNumberFormat="1" applyFont="1" applyBorder="1" applyAlignment="1">
      <alignment vertical="center"/>
    </xf>
    <xf numFmtId="0" fontId="51" fillId="28" borderId="2" xfId="0" applyFont="1" applyFill="1" applyBorder="1" applyAlignment="1">
      <alignment horizontal="center" vertical="center" wrapText="1"/>
    </xf>
    <xf numFmtId="0" fontId="51" fillId="28" borderId="10" xfId="0" applyFont="1" applyFill="1" applyBorder="1" applyAlignment="1">
      <alignment horizontal="center" vertical="center" wrapText="1"/>
    </xf>
    <xf numFmtId="0" fontId="51" fillId="28" borderId="4" xfId="0" applyFont="1" applyFill="1" applyBorder="1" applyAlignment="1">
      <alignment horizontal="center" vertical="center" wrapText="1"/>
    </xf>
    <xf numFmtId="0" fontId="51" fillId="4" borderId="39" xfId="0" applyFont="1" applyFill="1" applyBorder="1" applyAlignment="1">
      <alignment horizontal="center" vertical="center" wrapText="1"/>
    </xf>
    <xf numFmtId="17" fontId="51" fillId="4" borderId="39" xfId="0" applyNumberFormat="1" applyFont="1" applyFill="1" applyBorder="1" applyAlignment="1">
      <alignment horizontal="center" vertical="center" wrapText="1"/>
    </xf>
    <xf numFmtId="0" fontId="51" fillId="21" borderId="39" xfId="0" applyFont="1" applyFill="1" applyBorder="1" applyAlignment="1">
      <alignment horizontal="center" vertical="center" wrapText="1"/>
    </xf>
    <xf numFmtId="0" fontId="51" fillId="28" borderId="39" xfId="0" applyFont="1" applyFill="1" applyBorder="1" applyAlignment="1">
      <alignment horizontal="center" vertical="center" wrapText="1"/>
    </xf>
    <xf numFmtId="0" fontId="52" fillId="28" borderId="41" xfId="0" applyFont="1" applyFill="1" applyBorder="1" applyAlignment="1">
      <alignment horizontal="center" vertical="center"/>
    </xf>
    <xf numFmtId="0" fontId="52" fillId="28" borderId="45" xfId="0" applyFont="1" applyFill="1" applyBorder="1" applyAlignment="1">
      <alignment vertical="center" wrapText="1"/>
    </xf>
    <xf numFmtId="175" fontId="52" fillId="28" borderId="17" xfId="55" applyNumberFormat="1" applyFont="1" applyFill="1" applyBorder="1" applyAlignment="1">
      <alignment vertical="center"/>
    </xf>
    <xf numFmtId="164" fontId="52" fillId="28" borderId="18" xfId="55" applyNumberFormat="1" applyFont="1" applyFill="1" applyBorder="1" applyAlignment="1">
      <alignment vertical="center"/>
    </xf>
    <xf numFmtId="175" fontId="52" fillId="28" borderId="18" xfId="55" applyNumberFormat="1" applyFont="1" applyFill="1" applyBorder="1" applyAlignment="1">
      <alignment vertical="center"/>
    </xf>
    <xf numFmtId="175" fontId="52" fillId="28" borderId="19" xfId="55" applyNumberFormat="1" applyFont="1" applyFill="1" applyBorder="1" applyAlignment="1">
      <alignment vertical="center"/>
    </xf>
    <xf numFmtId="164" fontId="52" fillId="28" borderId="46" xfId="55" applyNumberFormat="1" applyFont="1" applyFill="1" applyBorder="1" applyAlignment="1">
      <alignment vertical="center"/>
    </xf>
    <xf numFmtId="0" fontId="52" fillId="28" borderId="22" xfId="0" applyFont="1" applyFill="1" applyBorder="1" applyAlignment="1">
      <alignment horizontal="center" vertical="center"/>
    </xf>
    <xf numFmtId="0" fontId="52" fillId="28" borderId="47" xfId="0" applyFont="1" applyFill="1" applyBorder="1" applyAlignment="1">
      <alignment vertical="center" wrapText="1"/>
    </xf>
    <xf numFmtId="175" fontId="52" fillId="28" borderId="20" xfId="55" applyNumberFormat="1" applyFont="1" applyFill="1" applyBorder="1" applyAlignment="1">
      <alignment vertical="center"/>
    </xf>
    <xf numFmtId="164" fontId="52" fillId="28" borderId="1" xfId="55" applyNumberFormat="1" applyFont="1" applyFill="1" applyBorder="1" applyAlignment="1">
      <alignment vertical="center"/>
    </xf>
    <xf numFmtId="175" fontId="52" fillId="28" borderId="1" xfId="55" applyNumberFormat="1" applyFont="1" applyFill="1" applyBorder="1" applyAlignment="1">
      <alignment vertical="center"/>
    </xf>
    <xf numFmtId="175" fontId="52" fillId="28" borderId="21" xfId="55" applyNumberFormat="1" applyFont="1" applyFill="1" applyBorder="1" applyAlignment="1">
      <alignment vertical="center"/>
    </xf>
    <xf numFmtId="164" fontId="52" fillId="28" borderId="48" xfId="55" applyNumberFormat="1" applyFont="1" applyFill="1" applyBorder="1" applyAlignment="1">
      <alignment vertical="center"/>
    </xf>
    <xf numFmtId="0" fontId="52" fillId="28" borderId="44" xfId="0" applyFont="1" applyFill="1" applyBorder="1" applyAlignment="1">
      <alignment horizontal="center" vertical="center"/>
    </xf>
    <xf numFmtId="0" fontId="52" fillId="28" borderId="49" xfId="0" applyFont="1" applyFill="1" applyBorder="1" applyAlignment="1">
      <alignment vertical="center" wrapText="1"/>
    </xf>
    <xf numFmtId="175" fontId="52" fillId="28" borderId="36" xfId="55" applyNumberFormat="1" applyFont="1" applyFill="1" applyBorder="1" applyAlignment="1">
      <alignment vertical="center"/>
    </xf>
    <xf numFmtId="164" fontId="52" fillId="28" borderId="35" xfId="55" applyNumberFormat="1" applyFont="1" applyFill="1" applyBorder="1" applyAlignment="1">
      <alignment vertical="center"/>
    </xf>
    <xf numFmtId="175" fontId="52" fillId="28" borderId="35" xfId="55" applyNumberFormat="1" applyFont="1" applyFill="1" applyBorder="1" applyAlignment="1">
      <alignment vertical="center"/>
    </xf>
    <xf numFmtId="175" fontId="52" fillId="28" borderId="34" xfId="55" applyNumberFormat="1" applyFont="1" applyFill="1" applyBorder="1" applyAlignment="1">
      <alignment vertical="center"/>
    </xf>
    <xf numFmtId="164" fontId="52" fillId="28" borderId="50" xfId="55" applyNumberFormat="1" applyFont="1" applyFill="1" applyBorder="1" applyAlignment="1">
      <alignment vertical="center"/>
    </xf>
    <xf numFmtId="0" fontId="0" fillId="28" borderId="0" xfId="0" applyFill="1"/>
    <xf numFmtId="0" fontId="0" fillId="28" borderId="12" xfId="0" applyFill="1" applyBorder="1" applyAlignment="1">
      <alignment horizontal="center"/>
    </xf>
    <xf numFmtId="164" fontId="0" fillId="28" borderId="7" xfId="0" applyNumberFormat="1" applyFill="1" applyBorder="1"/>
    <xf numFmtId="164" fontId="0" fillId="28" borderId="8" xfId="0" applyNumberFormat="1" applyFill="1" applyBorder="1"/>
    <xf numFmtId="164" fontId="53" fillId="28" borderId="9" xfId="0" applyNumberFormat="1" applyFont="1" applyFill="1" applyBorder="1"/>
    <xf numFmtId="0" fontId="51" fillId="0" borderId="2" xfId="0" applyFont="1" applyBorder="1" applyAlignment="1">
      <alignment horizontal="center" vertical="center" wrapText="1"/>
    </xf>
    <xf numFmtId="0" fontId="51" fillId="0" borderId="10" xfId="0" applyFont="1" applyBorder="1" applyAlignment="1">
      <alignment horizontal="center" vertical="center" wrapText="1"/>
    </xf>
    <xf numFmtId="0" fontId="51" fillId="0" borderId="4" xfId="0" applyFont="1" applyBorder="1" applyAlignment="1">
      <alignment horizontal="center" vertical="center" wrapText="1"/>
    </xf>
    <xf numFmtId="0" fontId="54" fillId="28" borderId="39" xfId="0" applyFont="1" applyFill="1" applyBorder="1" applyAlignment="1">
      <alignment horizontal="center" vertical="center" wrapText="1"/>
    </xf>
    <xf numFmtId="0" fontId="52" fillId="0" borderId="18" xfId="0" applyFont="1" applyBorder="1" applyAlignment="1">
      <alignment horizontal="center" vertical="center"/>
    </xf>
    <xf numFmtId="0" fontId="52" fillId="0" borderId="19" xfId="0" applyFont="1" applyBorder="1" applyAlignment="1">
      <alignment vertical="center"/>
    </xf>
    <xf numFmtId="164" fontId="52" fillId="0" borderId="51" xfId="55" applyNumberFormat="1" applyFont="1" applyBorder="1" applyAlignment="1">
      <alignment vertical="center"/>
    </xf>
    <xf numFmtId="164" fontId="52" fillId="0" borderId="18" xfId="55" applyNumberFormat="1" applyFont="1" applyBorder="1" applyAlignment="1">
      <alignment vertical="center"/>
    </xf>
    <xf numFmtId="164" fontId="52" fillId="0" borderId="19" xfId="55" applyNumberFormat="1" applyFont="1" applyBorder="1" applyAlignment="1">
      <alignment vertical="center"/>
    </xf>
    <xf numFmtId="164" fontId="54" fillId="30" borderId="46" xfId="55" applyNumberFormat="1" applyFont="1" applyFill="1" applyBorder="1" applyAlignment="1">
      <alignment vertical="center"/>
    </xf>
    <xf numFmtId="0" fontId="55" fillId="28" borderId="1" xfId="0" applyFont="1" applyFill="1" applyBorder="1" applyAlignment="1">
      <alignment horizontal="center" vertical="center"/>
    </xf>
    <xf numFmtId="0" fontId="52" fillId="0" borderId="21" xfId="0" applyFont="1" applyBorder="1" applyAlignment="1">
      <alignment vertical="center"/>
    </xf>
    <xf numFmtId="164" fontId="52" fillId="0" borderId="27" xfId="55" applyNumberFormat="1" applyFont="1" applyBorder="1" applyAlignment="1">
      <alignment vertical="center"/>
    </xf>
    <xf numFmtId="164" fontId="52" fillId="0" borderId="1" xfId="55" applyNumberFormat="1" applyFont="1" applyBorder="1" applyAlignment="1">
      <alignment vertical="center"/>
    </xf>
    <xf numFmtId="164" fontId="52" fillId="0" borderId="21" xfId="55" applyNumberFormat="1" applyFont="1" applyBorder="1" applyAlignment="1">
      <alignment vertical="center"/>
    </xf>
    <xf numFmtId="164" fontId="54" fillId="28" borderId="48" xfId="55" applyNumberFormat="1" applyFont="1" applyFill="1" applyBorder="1" applyAlignment="1">
      <alignment vertical="center"/>
    </xf>
    <xf numFmtId="0" fontId="55" fillId="28" borderId="35" xfId="0" applyFont="1" applyFill="1" applyBorder="1" applyAlignment="1">
      <alignment horizontal="center" vertical="center"/>
    </xf>
    <xf numFmtId="0" fontId="52" fillId="0" borderId="34" xfId="0" applyFont="1" applyBorder="1" applyAlignment="1">
      <alignment vertical="center"/>
    </xf>
    <xf numFmtId="164" fontId="52" fillId="0" borderId="52" xfId="55" applyNumberFormat="1" applyFont="1" applyBorder="1" applyAlignment="1">
      <alignment vertical="center"/>
    </xf>
    <xf numFmtId="164" fontId="52" fillId="0" borderId="35" xfId="55" applyNumberFormat="1" applyFont="1" applyBorder="1" applyAlignment="1">
      <alignment vertical="center"/>
    </xf>
    <xf numFmtId="164" fontId="52" fillId="0" borderId="34" xfId="55" applyNumberFormat="1" applyFont="1" applyBorder="1" applyAlignment="1">
      <alignment vertical="center"/>
    </xf>
    <xf numFmtId="164" fontId="54" fillId="28" borderId="50" xfId="55" applyNumberFormat="1" applyFont="1" applyFill="1" applyBorder="1" applyAlignment="1">
      <alignment vertical="center"/>
    </xf>
    <xf numFmtId="0" fontId="51" fillId="0" borderId="31" xfId="0" applyFont="1" applyBorder="1" applyAlignment="1">
      <alignment horizontal="center" vertical="center" wrapText="1"/>
    </xf>
    <xf numFmtId="0" fontId="52" fillId="0" borderId="32" xfId="0" applyFont="1" applyBorder="1" applyAlignment="1">
      <alignment horizontal="center"/>
    </xf>
    <xf numFmtId="164" fontId="54" fillId="30" borderId="53" xfId="55" applyNumberFormat="1" applyFont="1" applyFill="1" applyBorder="1" applyAlignment="1">
      <alignment vertical="center"/>
    </xf>
    <xf numFmtId="0" fontId="52" fillId="0" borderId="18" xfId="0" applyFont="1" applyBorder="1" applyAlignment="1">
      <alignment horizontal="center"/>
    </xf>
    <xf numFmtId="0" fontId="52" fillId="0" borderId="35" xfId="0" applyFont="1" applyBorder="1" applyAlignment="1">
      <alignment horizontal="center"/>
    </xf>
    <xf numFmtId="164" fontId="54" fillId="30" borderId="50" xfId="55" applyNumberFormat="1" applyFont="1" applyFill="1" applyBorder="1" applyAlignment="1">
      <alignment vertical="center"/>
    </xf>
    <xf numFmtId="164" fontId="52" fillId="0" borderId="33" xfId="55" applyNumberFormat="1" applyFont="1" applyBorder="1" applyAlignment="1">
      <alignment vertical="center"/>
    </xf>
    <xf numFmtId="164" fontId="52" fillId="0" borderId="54" xfId="55" applyNumberFormat="1" applyFont="1" applyBorder="1" applyAlignment="1">
      <alignment vertical="center"/>
    </xf>
    <xf numFmtId="164" fontId="52" fillId="0" borderId="32" xfId="55" applyNumberFormat="1" applyFont="1" applyBorder="1" applyAlignment="1">
      <alignment vertical="center"/>
    </xf>
    <xf numFmtId="0" fontId="52" fillId="0" borderId="33" xfId="0" applyFont="1" applyBorder="1" applyAlignment="1">
      <alignment vertical="center"/>
    </xf>
    <xf numFmtId="0" fontId="51" fillId="0" borderId="14" xfId="0" applyFont="1" applyBorder="1" applyAlignment="1">
      <alignment horizontal="center" vertical="center" wrapText="1"/>
    </xf>
    <xf numFmtId="0" fontId="52" fillId="0" borderId="15" xfId="0" applyFont="1" applyBorder="1" applyAlignment="1">
      <alignment horizontal="center"/>
    </xf>
    <xf numFmtId="0" fontId="52" fillId="0" borderId="15" xfId="0" applyFont="1" applyBorder="1" applyAlignment="1">
      <alignment vertical="center"/>
    </xf>
    <xf numFmtId="164" fontId="52" fillId="0" borderId="15" xfId="55" applyNumberFormat="1" applyFont="1" applyBorder="1" applyAlignment="1">
      <alignment vertical="center"/>
    </xf>
    <xf numFmtId="164" fontId="54" fillId="30" borderId="16" xfId="55" applyNumberFormat="1" applyFont="1" applyFill="1" applyBorder="1" applyAlignment="1">
      <alignment vertical="center"/>
    </xf>
    <xf numFmtId="0" fontId="0" fillId="28" borderId="0" xfId="0" applyFill="1" applyAlignment="1">
      <alignment horizontal="center"/>
    </xf>
    <xf numFmtId="164" fontId="0" fillId="28" borderId="0" xfId="0" applyNumberFormat="1" applyFill="1"/>
    <xf numFmtId="164" fontId="54" fillId="28" borderId="0" xfId="55" applyNumberFormat="1" applyFont="1" applyFill="1" applyBorder="1" applyAlignment="1">
      <alignment vertical="center"/>
    </xf>
    <xf numFmtId="164" fontId="0" fillId="30" borderId="0" xfId="0" applyNumberFormat="1" applyFill="1"/>
    <xf numFmtId="0" fontId="0" fillId="0" borderId="0" xfId="0" applyAlignment="1">
      <alignment horizontal="right"/>
    </xf>
    <xf numFmtId="164" fontId="0" fillId="0" borderId="0" xfId="0" applyNumberFormat="1"/>
    <xf numFmtId="3" fontId="12" fillId="28" borderId="0" xfId="1" applyNumberFormat="1" applyFont="1" applyFill="1" applyBorder="1" applyAlignment="1">
      <alignment horizontal="center" vertical="center" wrapText="1"/>
    </xf>
    <xf numFmtId="164" fontId="0" fillId="3" borderId="0" xfId="0" applyNumberFormat="1" applyFill="1"/>
    <xf numFmtId="0" fontId="0" fillId="0" borderId="0" xfId="0" applyAlignment="1">
      <alignment horizontal="center" vertical="center" wrapText="1"/>
    </xf>
    <xf numFmtId="0" fontId="20" fillId="0" borderId="0" xfId="0" applyFont="1" applyAlignment="1">
      <alignment horizontal="center" vertical="center" wrapText="1"/>
    </xf>
    <xf numFmtId="0" fontId="3" fillId="2" borderId="32" xfId="0" applyFont="1" applyFill="1" applyBorder="1" applyAlignment="1">
      <alignment horizontal="center" vertical="center" wrapText="1"/>
    </xf>
    <xf numFmtId="0" fontId="3" fillId="2" borderId="55" xfId="0" applyFont="1" applyFill="1" applyBorder="1" applyAlignment="1">
      <alignment horizontal="center" vertical="center" wrapText="1"/>
    </xf>
    <xf numFmtId="169" fontId="3" fillId="2" borderId="38" xfId="0" applyNumberFormat="1" applyFont="1" applyFill="1" applyBorder="1" applyAlignment="1">
      <alignment horizontal="center" vertical="center" wrapText="1"/>
    </xf>
    <xf numFmtId="169" fontId="3" fillId="31" borderId="0" xfId="0" applyNumberFormat="1" applyFont="1" applyFill="1" applyAlignment="1">
      <alignment horizontal="center" vertical="center" wrapText="1"/>
    </xf>
    <xf numFmtId="0" fontId="8" fillId="28" borderId="0" xfId="0" applyFont="1" applyFill="1" applyAlignment="1">
      <alignment horizontal="center" vertical="center" wrapText="1"/>
    </xf>
    <xf numFmtId="169" fontId="0" fillId="28" borderId="0" xfId="1" applyNumberFormat="1" applyFont="1" applyFill="1" applyBorder="1" applyAlignment="1">
      <alignment horizontal="center" vertical="center" wrapText="1"/>
    </xf>
    <xf numFmtId="10" fontId="0" fillId="28" borderId="0" xfId="2" applyNumberFormat="1" applyFont="1" applyFill="1"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169" fontId="0" fillId="0" borderId="12" xfId="1" applyNumberFormat="1" applyFont="1" applyBorder="1" applyAlignment="1">
      <alignment horizontal="center" vertical="center" wrapText="1"/>
    </xf>
    <xf numFmtId="0" fontId="0" fillId="28" borderId="0" xfId="0" applyFill="1" applyAlignment="1">
      <alignment horizontal="center" vertical="center" wrapText="1"/>
    </xf>
    <xf numFmtId="166" fontId="0" fillId="28" borderId="0" xfId="1" applyFont="1" applyFill="1" applyBorder="1" applyAlignment="1">
      <alignment horizontal="center" vertical="center" wrapText="1"/>
    </xf>
    <xf numFmtId="166" fontId="0" fillId="0" borderId="0" xfId="1" applyFont="1" applyBorder="1" applyAlignment="1">
      <alignment horizontal="center" vertical="center" wrapText="1"/>
    </xf>
    <xf numFmtId="169" fontId="0" fillId="0" borderId="0" xfId="0" applyNumberFormat="1" applyAlignment="1">
      <alignment horizontal="center" vertical="center" wrapText="1"/>
    </xf>
    <xf numFmtId="0" fontId="0" fillId="0" borderId="56" xfId="0" applyBorder="1" applyAlignment="1">
      <alignment horizontal="center" vertical="center" wrapText="1"/>
    </xf>
    <xf numFmtId="0" fontId="0" fillId="0" borderId="13" xfId="0" applyBorder="1" applyAlignment="1">
      <alignment horizontal="center" vertical="center" wrapText="1"/>
    </xf>
    <xf numFmtId="0" fontId="0" fillId="0" borderId="36" xfId="0" applyBorder="1" applyAlignment="1">
      <alignment horizontal="center" vertical="center" wrapText="1"/>
    </xf>
    <xf numFmtId="169" fontId="0" fillId="0" borderId="1" xfId="1" applyNumberFormat="1" applyFont="1" applyBorder="1" applyAlignment="1">
      <alignment horizontal="center" vertical="center" wrapText="1"/>
    </xf>
    <xf numFmtId="169" fontId="0" fillId="0" borderId="21" xfId="1" applyNumberFormat="1" applyFont="1" applyBorder="1" applyAlignment="1">
      <alignment horizontal="center" vertical="center" wrapText="1"/>
    </xf>
    <xf numFmtId="169" fontId="0" fillId="0" borderId="35" xfId="1" applyNumberFormat="1" applyFont="1" applyBorder="1" applyAlignment="1">
      <alignment horizontal="center" vertical="center" wrapText="1"/>
    </xf>
    <xf numFmtId="169" fontId="0" fillId="0" borderId="34" xfId="1" applyNumberFormat="1" applyFont="1" applyBorder="1" applyAlignment="1">
      <alignment horizontal="center" vertical="center" wrapText="1"/>
    </xf>
    <xf numFmtId="0" fontId="3" fillId="2" borderId="57" xfId="0" applyFont="1" applyFill="1" applyBorder="1" applyAlignment="1">
      <alignment horizontal="center" vertical="center" textRotation="90" wrapText="1"/>
    </xf>
    <xf numFmtId="169" fontId="0" fillId="0" borderId="13" xfId="1" applyNumberFormat="1" applyFont="1" applyBorder="1" applyAlignment="1">
      <alignment horizontal="center" vertical="center" wrapText="1"/>
    </xf>
    <xf numFmtId="169" fontId="0" fillId="0" borderId="37" xfId="1" applyNumberFormat="1" applyFont="1" applyBorder="1" applyAlignment="1">
      <alignment horizontal="center" vertical="center" wrapText="1"/>
    </xf>
    <xf numFmtId="0" fontId="3" fillId="2" borderId="31" xfId="0" applyFont="1" applyFill="1" applyBorder="1" applyAlignment="1">
      <alignment horizontal="center" vertical="center" wrapText="1"/>
    </xf>
    <xf numFmtId="0" fontId="1" fillId="0" borderId="0" xfId="0" applyFont="1"/>
    <xf numFmtId="0" fontId="1" fillId="0" borderId="0" xfId="0" applyFont="1" applyAlignment="1">
      <alignment horizontal="center" vertical="center"/>
    </xf>
    <xf numFmtId="10" fontId="1" fillId="0" borderId="0" xfId="2" applyNumberFormat="1" applyFont="1" applyBorder="1"/>
    <xf numFmtId="164" fontId="1" fillId="0" borderId="0" xfId="2" applyNumberFormat="1" applyFont="1" applyBorder="1"/>
    <xf numFmtId="0" fontId="1" fillId="0" borderId="0" xfId="0" applyFont="1" applyAlignment="1">
      <alignment vertical="center"/>
    </xf>
    <xf numFmtId="164" fontId="1" fillId="0" borderId="0" xfId="0" applyNumberFormat="1" applyFont="1" applyAlignment="1">
      <alignment horizontal="center" vertical="center"/>
    </xf>
    <xf numFmtId="14" fontId="1" fillId="21" borderId="0" xfId="0" applyNumberFormat="1" applyFont="1" applyFill="1" applyAlignment="1">
      <alignment horizontal="center" vertical="center"/>
    </xf>
    <xf numFmtId="0" fontId="1" fillId="0" borderId="0" xfId="0" applyFont="1" applyAlignment="1">
      <alignment horizontal="left"/>
    </xf>
    <xf numFmtId="0" fontId="65" fillId="0" borderId="0" xfId="0" applyFont="1" applyAlignment="1">
      <alignment horizontal="center"/>
    </xf>
    <xf numFmtId="0" fontId="60" fillId="16" borderId="1" xfId="0" applyFont="1" applyFill="1" applyBorder="1"/>
    <xf numFmtId="169" fontId="1" fillId="0" borderId="1" xfId="0" applyNumberFormat="1" applyFont="1" applyBorder="1" applyAlignment="1">
      <alignment vertical="center"/>
    </xf>
    <xf numFmtId="0" fontId="1" fillId="0" borderId="1" xfId="0" applyFont="1" applyBorder="1"/>
    <xf numFmtId="174" fontId="1" fillId="0" borderId="1" xfId="0" applyNumberFormat="1" applyFont="1" applyBorder="1"/>
    <xf numFmtId="43" fontId="1" fillId="0" borderId="0" xfId="56" applyFont="1"/>
    <xf numFmtId="0" fontId="60" fillId="16" borderId="1" xfId="0" applyFont="1" applyFill="1" applyBorder="1" applyAlignment="1">
      <alignment horizontal="center" vertical="center" wrapText="1"/>
    </xf>
    <xf numFmtId="0" fontId="1" fillId="28" borderId="1" xfId="0" applyFont="1" applyFill="1" applyBorder="1" applyAlignment="1">
      <alignment vertical="center" wrapText="1"/>
    </xf>
    <xf numFmtId="169" fontId="1" fillId="28" borderId="1" xfId="0" applyNumberFormat="1" applyFont="1" applyFill="1" applyBorder="1" applyAlignment="1">
      <alignment vertical="center"/>
    </xf>
    <xf numFmtId="10" fontId="1" fillId="28" borderId="1" xfId="2" applyNumberFormat="1" applyFont="1" applyFill="1" applyBorder="1" applyAlignment="1">
      <alignment vertical="center"/>
    </xf>
    <xf numFmtId="10" fontId="1" fillId="0" borderId="0" xfId="2" applyNumberFormat="1" applyFont="1"/>
    <xf numFmtId="169" fontId="1" fillId="0" borderId="0" xfId="0" applyNumberFormat="1" applyFont="1"/>
    <xf numFmtId="0" fontId="1" fillId="28" borderId="0" xfId="0" applyFont="1" applyFill="1" applyAlignment="1">
      <alignment vertical="center" wrapText="1"/>
    </xf>
    <xf numFmtId="169" fontId="1" fillId="28" borderId="0" xfId="0" applyNumberFormat="1" applyFont="1" applyFill="1" applyAlignment="1">
      <alignment vertical="center"/>
    </xf>
    <xf numFmtId="0" fontId="66" fillId="0" borderId="0" xfId="0" applyFont="1"/>
    <xf numFmtId="10" fontId="1" fillId="28" borderId="0" xfId="0" applyNumberFormat="1" applyFont="1" applyFill="1" applyAlignment="1">
      <alignment vertical="center"/>
    </xf>
    <xf numFmtId="0" fontId="58" fillId="30" borderId="0" xfId="0" applyFont="1" applyFill="1"/>
    <xf numFmtId="0" fontId="60" fillId="30" borderId="1" xfId="0" applyFont="1" applyFill="1" applyBorder="1"/>
    <xf numFmtId="0" fontId="60" fillId="30" borderId="1" xfId="0" applyFont="1" applyFill="1" applyBorder="1" applyAlignment="1">
      <alignment horizontal="center" vertical="center" wrapText="1"/>
    </xf>
    <xf numFmtId="0" fontId="67" fillId="30" borderId="10" xfId="0" applyFont="1" applyFill="1" applyBorder="1" applyAlignment="1">
      <alignment horizontal="center" vertical="center" wrapText="1"/>
    </xf>
    <xf numFmtId="0" fontId="67" fillId="30" borderId="4" xfId="0" applyFont="1" applyFill="1" applyBorder="1" applyAlignment="1">
      <alignment horizontal="center" vertical="center" wrapText="1"/>
    </xf>
    <xf numFmtId="0" fontId="67" fillId="28" borderId="0" xfId="0" applyFont="1" applyFill="1" applyAlignment="1">
      <alignment horizontal="center" vertical="center" wrapText="1"/>
    </xf>
    <xf numFmtId="0" fontId="68" fillId="0" borderId="17" xfId="0" applyFont="1" applyBorder="1" applyAlignment="1">
      <alignment horizontal="center" vertical="center" wrapText="1"/>
    </xf>
    <xf numFmtId="10" fontId="68" fillId="0" borderId="18" xfId="0" applyNumberFormat="1" applyFont="1" applyBorder="1" applyAlignment="1">
      <alignment horizontal="center" vertical="center" wrapText="1"/>
    </xf>
    <xf numFmtId="165" fontId="68" fillId="0" borderId="19" xfId="0" applyNumberFormat="1" applyFont="1" applyBorder="1" applyAlignment="1">
      <alignment horizontal="right" vertical="center" wrapText="1"/>
    </xf>
    <xf numFmtId="0" fontId="68" fillId="0" borderId="20" xfId="0" applyFont="1" applyBorder="1" applyAlignment="1">
      <alignment horizontal="center" vertical="center" wrapText="1"/>
    </xf>
    <xf numFmtId="10" fontId="68" fillId="0" borderId="1" xfId="0" applyNumberFormat="1" applyFont="1" applyBorder="1" applyAlignment="1">
      <alignment horizontal="center" vertical="center" wrapText="1"/>
    </xf>
    <xf numFmtId="165" fontId="68" fillId="0" borderId="21" xfId="0" applyNumberFormat="1" applyFont="1" applyBorder="1" applyAlignment="1">
      <alignment horizontal="right" vertical="center" wrapText="1"/>
    </xf>
    <xf numFmtId="165" fontId="1" fillId="0" borderId="0" xfId="0" applyNumberFormat="1" applyFont="1"/>
    <xf numFmtId="9" fontId="1" fillId="0" borderId="0" xfId="2" applyFont="1"/>
    <xf numFmtId="165" fontId="68" fillId="0" borderId="0" xfId="0" applyNumberFormat="1" applyFont="1" applyAlignment="1">
      <alignment horizontal="right" vertical="center" wrapText="1"/>
    </xf>
    <xf numFmtId="0" fontId="68" fillId="0" borderId="58" xfId="0" applyFont="1" applyBorder="1" applyAlignment="1">
      <alignment horizontal="center" vertical="center" wrapText="1"/>
    </xf>
    <xf numFmtId="10" fontId="68" fillId="0" borderId="29" xfId="0" applyNumberFormat="1" applyFont="1" applyBorder="1" applyAlignment="1">
      <alignment horizontal="center" vertical="center" wrapText="1"/>
    </xf>
    <xf numFmtId="165" fontId="68" fillId="0" borderId="30" xfId="0" applyNumberFormat="1" applyFont="1" applyBorder="1" applyAlignment="1">
      <alignment horizontal="right" vertical="center" wrapText="1"/>
    </xf>
    <xf numFmtId="0" fontId="59" fillId="0" borderId="31" xfId="0" applyFont="1" applyBorder="1" applyAlignment="1">
      <alignment horizontal="center"/>
    </xf>
    <xf numFmtId="0" fontId="59" fillId="0" borderId="33" xfId="0" applyFont="1" applyBorder="1"/>
    <xf numFmtId="181" fontId="1" fillId="28" borderId="1" xfId="0" applyNumberFormat="1" applyFont="1" applyFill="1" applyBorder="1" applyAlignment="1">
      <alignment vertical="center"/>
    </xf>
    <xf numFmtId="181" fontId="1" fillId="21" borderId="1" xfId="0" applyNumberFormat="1" applyFont="1" applyFill="1" applyBorder="1" applyAlignment="1">
      <alignment vertical="center"/>
    </xf>
    <xf numFmtId="181" fontId="1" fillId="28" borderId="0" xfId="0" applyNumberFormat="1" applyFont="1" applyFill="1" applyAlignment="1">
      <alignment vertical="center"/>
    </xf>
    <xf numFmtId="181" fontId="66" fillId="0" borderId="0" xfId="0" applyNumberFormat="1" applyFont="1"/>
    <xf numFmtId="9" fontId="1" fillId="0" borderId="0" xfId="0" applyNumberFormat="1" applyFont="1" applyAlignment="1">
      <alignment vertical="center"/>
    </xf>
    <xf numFmtId="2" fontId="1" fillId="21" borderId="1" xfId="0" applyNumberFormat="1" applyFont="1" applyFill="1" applyBorder="1"/>
    <xf numFmtId="10" fontId="1" fillId="0" borderId="0" xfId="0" applyNumberFormat="1" applyFont="1"/>
    <xf numFmtId="182" fontId="59" fillId="0" borderId="32" xfId="0" applyNumberFormat="1" applyFont="1" applyBorder="1" applyAlignment="1">
      <alignment horizontal="center"/>
    </xf>
    <xf numFmtId="0" fontId="64" fillId="0" borderId="0" xfId="0" applyFont="1" applyAlignment="1">
      <alignment vertical="center"/>
    </xf>
    <xf numFmtId="0" fontId="64" fillId="0" borderId="0" xfId="0" applyFont="1" applyAlignment="1">
      <alignment horizontal="center" vertical="center"/>
    </xf>
    <xf numFmtId="0" fontId="70" fillId="0" borderId="0" xfId="0" applyFont="1" applyAlignment="1">
      <alignment horizontal="center" vertical="center"/>
    </xf>
    <xf numFmtId="0" fontId="64" fillId="0" borderId="0" xfId="0" applyFont="1" applyAlignment="1">
      <alignment horizontal="center" vertical="center" wrapText="1"/>
    </xf>
    <xf numFmtId="184" fontId="1" fillId="0" borderId="0" xfId="0" applyNumberFormat="1" applyFont="1"/>
    <xf numFmtId="185" fontId="1" fillId="28" borderId="1" xfId="0" applyNumberFormat="1" applyFont="1" applyFill="1" applyBorder="1" applyAlignment="1">
      <alignment vertical="center"/>
    </xf>
    <xf numFmtId="167" fontId="1" fillId="0" borderId="0" xfId="55" applyFont="1"/>
    <xf numFmtId="0" fontId="67" fillId="30" borderId="0" xfId="0" applyFont="1" applyFill="1" applyAlignment="1">
      <alignment horizontal="center" vertical="center" wrapText="1"/>
    </xf>
    <xf numFmtId="0" fontId="59" fillId="0" borderId="0" xfId="0" applyFont="1"/>
    <xf numFmtId="0" fontId="55" fillId="0" borderId="0" xfId="0" applyFont="1"/>
    <xf numFmtId="0" fontId="75" fillId="29" borderId="11" xfId="0" applyFont="1" applyFill="1" applyBorder="1" applyAlignment="1">
      <alignment horizontal="center" vertical="center" wrapText="1"/>
    </xf>
    <xf numFmtId="0" fontId="75" fillId="29" borderId="0" xfId="0" applyFont="1" applyFill="1" applyAlignment="1">
      <alignment horizontal="center" vertical="center" wrapText="1"/>
    </xf>
    <xf numFmtId="0" fontId="76" fillId="41" borderId="11" xfId="0" applyFont="1" applyFill="1" applyBorder="1" applyAlignment="1">
      <alignment horizontal="center" vertical="center" wrapText="1"/>
    </xf>
    <xf numFmtId="0" fontId="76" fillId="41" borderId="6" xfId="0" applyFont="1" applyFill="1" applyBorder="1" applyAlignment="1">
      <alignment horizontal="center" vertical="center" wrapText="1"/>
    </xf>
    <xf numFmtId="167" fontId="75" fillId="29" borderId="11" xfId="55" applyFont="1" applyFill="1" applyBorder="1" applyAlignment="1">
      <alignment horizontal="center" vertical="center" wrapText="1"/>
    </xf>
    <xf numFmtId="167" fontId="75" fillId="29" borderId="5" xfId="55" applyFont="1" applyFill="1" applyBorder="1" applyAlignment="1">
      <alignment horizontal="center" vertical="center" wrapText="1"/>
    </xf>
    <xf numFmtId="167" fontId="75" fillId="29" borderId="73" xfId="55" applyFont="1" applyFill="1" applyBorder="1" applyAlignment="1">
      <alignment horizontal="center" vertical="center" wrapText="1"/>
    </xf>
    <xf numFmtId="167" fontId="54" fillId="30" borderId="73" xfId="55" applyFont="1" applyFill="1" applyBorder="1" applyAlignment="1">
      <alignment horizontal="center" vertical="center" wrapText="1"/>
    </xf>
    <xf numFmtId="0" fontId="74" fillId="0" borderId="0" xfId="0" applyFont="1" applyAlignment="1">
      <alignment horizontal="center" vertical="center" wrapText="1"/>
    </xf>
    <xf numFmtId="0" fontId="75" fillId="0" borderId="17" xfId="0" applyFont="1" applyBorder="1" applyAlignment="1">
      <alignment horizontal="center" vertical="center" wrapText="1"/>
    </xf>
    <xf numFmtId="0" fontId="54" fillId="34" borderId="18" xfId="0" applyFont="1" applyFill="1" applyBorder="1" applyAlignment="1">
      <alignment horizontal="justify" vertical="center" wrapText="1"/>
    </xf>
    <xf numFmtId="0" fontId="52" fillId="34" borderId="18" xfId="0" applyFont="1" applyFill="1" applyBorder="1" applyAlignment="1">
      <alignment horizontal="justify" vertical="center" wrapText="1"/>
    </xf>
    <xf numFmtId="0" fontId="77" fillId="28" borderId="18" xfId="0" applyFont="1" applyFill="1" applyBorder="1" applyAlignment="1">
      <alignment horizontal="center" vertical="center"/>
    </xf>
    <xf numFmtId="0" fontId="78" fillId="0" borderId="18" xfId="0" applyFont="1" applyBorder="1" applyAlignment="1">
      <alignment horizontal="center" vertical="center" wrapText="1"/>
    </xf>
    <xf numFmtId="166" fontId="77" fillId="0" borderId="18" xfId="59" applyNumberFormat="1" applyFont="1" applyFill="1" applyBorder="1" applyAlignment="1" applyProtection="1">
      <alignment horizontal="center" vertical="center"/>
    </xf>
    <xf numFmtId="166" fontId="75" fillId="42" borderId="18" xfId="60" applyNumberFormat="1" applyFont="1" applyFill="1" applyBorder="1" applyAlignment="1" applyProtection="1">
      <alignment horizontal="center" vertical="center"/>
    </xf>
    <xf numFmtId="166" fontId="75" fillId="42" borderId="19" xfId="60" applyNumberFormat="1" applyFont="1" applyFill="1" applyBorder="1" applyAlignment="1" applyProtection="1">
      <alignment horizontal="center" vertical="center"/>
    </xf>
    <xf numFmtId="0" fontId="75" fillId="0" borderId="20" xfId="0" applyFont="1" applyBorder="1" applyAlignment="1">
      <alignment horizontal="center" vertical="center" wrapText="1"/>
    </xf>
    <xf numFmtId="0" fontId="54" fillId="34" borderId="1" xfId="0" applyFont="1" applyFill="1" applyBorder="1" applyAlignment="1">
      <alignment horizontal="justify" vertical="center" wrapText="1"/>
    </xf>
    <xf numFmtId="0" fontId="77" fillId="34" borderId="1" xfId="0" applyFont="1" applyFill="1" applyBorder="1" applyAlignment="1">
      <alignment horizontal="justify" vertical="center" wrapText="1"/>
    </xf>
    <xf numFmtId="0" fontId="77" fillId="28" borderId="1" xfId="0" applyFont="1" applyFill="1" applyBorder="1" applyAlignment="1">
      <alignment horizontal="center" vertical="center"/>
    </xf>
    <xf numFmtId="0" fontId="78" fillId="0" borderId="1" xfId="0" applyFont="1" applyBorder="1" applyAlignment="1">
      <alignment horizontal="center" vertical="center" wrapText="1"/>
    </xf>
    <xf numFmtId="166" fontId="77" fillId="0" borderId="1" xfId="59" applyNumberFormat="1" applyFont="1" applyFill="1" applyBorder="1" applyAlignment="1" applyProtection="1">
      <alignment horizontal="center" vertical="center"/>
    </xf>
    <xf numFmtId="166" fontId="75" fillId="42" borderId="1" xfId="60" applyNumberFormat="1" applyFont="1" applyFill="1" applyBorder="1" applyAlignment="1" applyProtection="1">
      <alignment horizontal="center" vertical="center"/>
    </xf>
    <xf numFmtId="166" fontId="75" fillId="42" borderId="21" xfId="60" applyNumberFormat="1" applyFont="1" applyFill="1" applyBorder="1" applyAlignment="1" applyProtection="1">
      <alignment horizontal="center" vertical="center"/>
    </xf>
    <xf numFmtId="0" fontId="54" fillId="34" borderId="1" xfId="0" applyFont="1" applyFill="1" applyBorder="1" applyAlignment="1">
      <alignment horizontal="center" vertical="center" wrapText="1"/>
    </xf>
    <xf numFmtId="0" fontId="77" fillId="34" borderId="1" xfId="0" applyFont="1" applyFill="1" applyBorder="1" applyAlignment="1">
      <alignment horizontal="left" vertical="center" wrapText="1"/>
    </xf>
    <xf numFmtId="0" fontId="75" fillId="0" borderId="36" xfId="0" applyFont="1" applyBorder="1" applyAlignment="1">
      <alignment horizontal="center" vertical="center" wrapText="1"/>
    </xf>
    <xf numFmtId="0" fontId="54" fillId="34" borderId="35" xfId="0" applyFont="1" applyFill="1" applyBorder="1" applyAlignment="1">
      <alignment horizontal="justify" vertical="center" wrapText="1"/>
    </xf>
    <xf numFmtId="0" fontId="77" fillId="34" borderId="35" xfId="0" applyFont="1" applyFill="1" applyBorder="1" applyAlignment="1">
      <alignment horizontal="justify" vertical="center" wrapText="1"/>
    </xf>
    <xf numFmtId="0" fontId="77" fillId="28" borderId="35" xfId="0" applyFont="1" applyFill="1" applyBorder="1" applyAlignment="1">
      <alignment horizontal="center" vertical="center"/>
    </xf>
    <xf numFmtId="0" fontId="78" fillId="0" borderId="35" xfId="0" applyFont="1" applyBorder="1" applyAlignment="1">
      <alignment horizontal="center" vertical="center" wrapText="1"/>
    </xf>
    <xf numFmtId="166" fontId="77" fillId="0" borderId="35" xfId="59" applyNumberFormat="1" applyFont="1" applyFill="1" applyBorder="1" applyAlignment="1" applyProtection="1">
      <alignment horizontal="center" vertical="center"/>
    </xf>
    <xf numFmtId="166" fontId="75" fillId="42" borderId="35" xfId="60" applyNumberFormat="1" applyFont="1" applyFill="1" applyBorder="1" applyAlignment="1" applyProtection="1">
      <alignment horizontal="center" vertical="center"/>
    </xf>
    <xf numFmtId="166" fontId="75" fillId="42" borderId="34" xfId="60" applyNumberFormat="1" applyFont="1" applyFill="1" applyBorder="1" applyAlignment="1" applyProtection="1">
      <alignment horizontal="center" vertical="center"/>
    </xf>
    <xf numFmtId="166" fontId="75" fillId="33" borderId="15" xfId="60" applyNumberFormat="1" applyFont="1" applyFill="1" applyBorder="1" applyAlignment="1" applyProtection="1">
      <alignment horizontal="center" vertical="center"/>
    </xf>
    <xf numFmtId="166" fontId="75" fillId="33" borderId="74" xfId="60" applyNumberFormat="1" applyFont="1" applyFill="1" applyBorder="1" applyAlignment="1" applyProtection="1">
      <alignment horizontal="center" vertical="center"/>
    </xf>
    <xf numFmtId="166" fontId="75" fillId="33" borderId="16" xfId="60" applyNumberFormat="1" applyFont="1" applyFill="1" applyBorder="1" applyAlignment="1" applyProtection="1">
      <alignment horizontal="center" vertical="center"/>
    </xf>
    <xf numFmtId="0" fontId="54" fillId="0" borderId="18" xfId="0" applyFont="1" applyBorder="1" applyAlignment="1">
      <alignment horizontal="justify" vertical="center" wrapText="1"/>
    </xf>
    <xf numFmtId="0" fontId="77" fillId="0" borderId="18" xfId="0" applyFont="1" applyBorder="1" applyAlignment="1">
      <alignment horizontal="justify" vertical="center" wrapText="1"/>
    </xf>
    <xf numFmtId="0" fontId="77" fillId="0" borderId="18" xfId="0" applyFont="1" applyBorder="1" applyAlignment="1">
      <alignment horizontal="center" vertical="center"/>
    </xf>
    <xf numFmtId="0" fontId="54" fillId="0" borderId="35" xfId="0" applyFont="1" applyBorder="1" applyAlignment="1">
      <alignment horizontal="justify" vertical="center" wrapText="1"/>
    </xf>
    <xf numFmtId="0" fontId="52" fillId="0" borderId="35" xfId="0" applyFont="1" applyBorder="1" applyAlignment="1">
      <alignment horizontal="left" vertical="center" wrapText="1"/>
    </xf>
    <xf numFmtId="0" fontId="77" fillId="0" borderId="35" xfId="0" applyFont="1" applyBorder="1" applyAlignment="1">
      <alignment horizontal="center" vertical="center"/>
    </xf>
    <xf numFmtId="0" fontId="77" fillId="34" borderId="18" xfId="0" applyFont="1" applyFill="1" applyBorder="1" applyAlignment="1">
      <alignment horizontal="justify" vertical="center" wrapText="1"/>
    </xf>
    <xf numFmtId="0" fontId="75" fillId="0" borderId="31" xfId="0" applyFont="1" applyBorder="1" applyAlignment="1">
      <alignment horizontal="center" vertical="center" wrapText="1"/>
    </xf>
    <xf numFmtId="0" fontId="54" fillId="34" borderId="32" xfId="0" applyFont="1" applyFill="1" applyBorder="1" applyAlignment="1">
      <alignment horizontal="justify" vertical="center" wrapText="1"/>
    </xf>
    <xf numFmtId="0" fontId="77" fillId="34" borderId="32" xfId="0" applyFont="1" applyFill="1" applyBorder="1" applyAlignment="1">
      <alignment horizontal="justify" vertical="center" wrapText="1"/>
    </xf>
    <xf numFmtId="0" fontId="77" fillId="28" borderId="32" xfId="0" applyFont="1" applyFill="1" applyBorder="1" applyAlignment="1">
      <alignment horizontal="center" vertical="center"/>
    </xf>
    <xf numFmtId="0" fontId="78" fillId="0" borderId="32" xfId="0" applyFont="1" applyBorder="1" applyAlignment="1">
      <alignment horizontal="center" vertical="center" wrapText="1"/>
    </xf>
    <xf numFmtId="166" fontId="77" fillId="0" borderId="32" xfId="59" applyNumberFormat="1" applyFont="1" applyFill="1" applyBorder="1" applyAlignment="1" applyProtection="1">
      <alignment horizontal="center" vertical="center"/>
    </xf>
    <xf numFmtId="166" fontId="75" fillId="42" borderId="32" xfId="60" applyNumberFormat="1" applyFont="1" applyFill="1" applyBorder="1" applyAlignment="1" applyProtection="1">
      <alignment horizontal="center" vertical="center"/>
    </xf>
    <xf numFmtId="166" fontId="75" fillId="42" borderId="33" xfId="60" applyNumberFormat="1" applyFont="1" applyFill="1" applyBorder="1" applyAlignment="1" applyProtection="1">
      <alignment horizontal="center" vertical="center"/>
    </xf>
    <xf numFmtId="166" fontId="81" fillId="36" borderId="15" xfId="0" applyNumberFormat="1" applyFont="1" applyFill="1" applyBorder="1" applyAlignment="1">
      <alignment vertical="center"/>
    </xf>
    <xf numFmtId="166" fontId="75" fillId="36" borderId="16" xfId="60" applyNumberFormat="1" applyFont="1" applyFill="1" applyBorder="1" applyAlignment="1" applyProtection="1">
      <alignment horizontal="center" vertical="center"/>
    </xf>
    <xf numFmtId="0" fontId="75" fillId="0" borderId="0" xfId="0" applyFont="1" applyAlignment="1">
      <alignment horizontal="left" vertical="center"/>
    </xf>
    <xf numFmtId="0" fontId="55" fillId="0" borderId="0" xfId="0" applyFont="1" applyAlignment="1">
      <alignment vertical="center"/>
    </xf>
    <xf numFmtId="0" fontId="74" fillId="0" borderId="0" xfId="0" applyFont="1" applyAlignment="1">
      <alignment horizontal="center" vertical="center"/>
    </xf>
    <xf numFmtId="0" fontId="55" fillId="0" borderId="0" xfId="0" applyFont="1" applyAlignment="1">
      <alignment horizontal="center" vertical="center"/>
    </xf>
    <xf numFmtId="0" fontId="55" fillId="0" borderId="0" xfId="0" applyFont="1" applyAlignment="1">
      <alignment horizontal="center" vertical="center" wrapText="1"/>
    </xf>
    <xf numFmtId="175" fontId="55" fillId="0" borderId="0" xfId="55" applyNumberFormat="1" applyFont="1" applyAlignment="1">
      <alignment vertical="center"/>
    </xf>
    <xf numFmtId="175" fontId="55" fillId="0" borderId="0" xfId="0" applyNumberFormat="1" applyFont="1" applyAlignment="1">
      <alignment vertical="center"/>
    </xf>
    <xf numFmtId="166" fontId="75" fillId="0" borderId="0" xfId="0" applyNumberFormat="1" applyFont="1" applyAlignment="1">
      <alignment horizontal="left" vertical="center"/>
    </xf>
    <xf numFmtId="0" fontId="75" fillId="0" borderId="68" xfId="0" applyFont="1" applyBorder="1" applyAlignment="1">
      <alignment horizontal="center" vertical="center" wrapText="1"/>
    </xf>
    <xf numFmtId="0" fontId="54" fillId="34" borderId="75" xfId="0" applyFont="1" applyFill="1" applyBorder="1" applyAlignment="1">
      <alignment horizontal="justify" vertical="center" wrapText="1"/>
    </xf>
    <xf numFmtId="0" fontId="52" fillId="34" borderId="75" xfId="0" applyFont="1" applyFill="1" applyBorder="1" applyAlignment="1">
      <alignment horizontal="justify" vertical="center" wrapText="1"/>
    </xf>
    <xf numFmtId="0" fontId="77" fillId="28" borderId="75" xfId="0" applyFont="1" applyFill="1" applyBorder="1" applyAlignment="1">
      <alignment horizontal="center" vertical="center"/>
    </xf>
    <xf numFmtId="0" fontId="84" fillId="0" borderId="63" xfId="0" applyFont="1" applyBorder="1" applyAlignment="1">
      <alignment horizontal="center" vertical="center" wrapText="1"/>
    </xf>
    <xf numFmtId="166" fontId="77" fillId="0" borderId="75" xfId="59" applyNumberFormat="1" applyFont="1" applyFill="1" applyBorder="1" applyAlignment="1" applyProtection="1">
      <alignment horizontal="center" vertical="center"/>
    </xf>
    <xf numFmtId="166" fontId="75" fillId="42" borderId="75" xfId="60" applyNumberFormat="1" applyFont="1" applyFill="1" applyBorder="1" applyAlignment="1" applyProtection="1">
      <alignment horizontal="center" vertical="center"/>
    </xf>
    <xf numFmtId="166" fontId="75" fillId="42" borderId="76" xfId="60" applyNumberFormat="1" applyFont="1" applyFill="1" applyBorder="1" applyAlignment="1" applyProtection="1">
      <alignment horizontal="center" vertical="center"/>
    </xf>
    <xf numFmtId="0" fontId="75" fillId="0" borderId="69" xfId="0" applyFont="1" applyBorder="1" applyAlignment="1">
      <alignment horizontal="center" vertical="center" wrapText="1"/>
    </xf>
    <xf numFmtId="0" fontId="54" fillId="34" borderId="61" xfId="0" applyFont="1" applyFill="1" applyBorder="1" applyAlignment="1">
      <alignment horizontal="justify" vertical="center" wrapText="1"/>
    </xf>
    <xf numFmtId="0" fontId="77" fillId="34" borderId="61" xfId="0" applyFont="1" applyFill="1" applyBorder="1" applyAlignment="1">
      <alignment horizontal="justify" vertical="center" wrapText="1"/>
    </xf>
    <xf numFmtId="0" fontId="77" fillId="28" borderId="61" xfId="0" applyFont="1" applyFill="1" applyBorder="1" applyAlignment="1">
      <alignment horizontal="center" vertical="center"/>
    </xf>
    <xf numFmtId="0" fontId="84" fillId="0" borderId="64" xfId="0" applyFont="1" applyBorder="1" applyAlignment="1">
      <alignment horizontal="center" vertical="center" wrapText="1"/>
    </xf>
    <xf numFmtId="166" fontId="77" fillId="0" borderId="61" xfId="59" applyNumberFormat="1" applyFont="1" applyFill="1" applyBorder="1" applyAlignment="1" applyProtection="1">
      <alignment horizontal="center" vertical="center"/>
    </xf>
    <xf numFmtId="166" fontId="75" fillId="42" borderId="61" xfId="60" applyNumberFormat="1" applyFont="1" applyFill="1" applyBorder="1" applyAlignment="1" applyProtection="1">
      <alignment horizontal="center" vertical="center"/>
    </xf>
    <xf numFmtId="166" fontId="75" fillId="42" borderId="77" xfId="60" applyNumberFormat="1" applyFont="1" applyFill="1" applyBorder="1" applyAlignment="1" applyProtection="1">
      <alignment horizontal="center" vertical="center"/>
    </xf>
    <xf numFmtId="0" fontId="54" fillId="34" borderId="61" xfId="0" applyFont="1" applyFill="1" applyBorder="1" applyAlignment="1">
      <alignment horizontal="center" vertical="center" wrapText="1"/>
    </xf>
    <xf numFmtId="0" fontId="77" fillId="34" borderId="61" xfId="0" applyFont="1" applyFill="1" applyBorder="1" applyAlignment="1">
      <alignment horizontal="left" vertical="center" wrapText="1"/>
    </xf>
    <xf numFmtId="0" fontId="75" fillId="0" borderId="78" xfId="0" applyFont="1" applyBorder="1" applyAlignment="1">
      <alignment horizontal="center" vertical="center" wrapText="1"/>
    </xf>
    <xf numFmtId="0" fontId="54" fillId="34" borderId="79" xfId="0" applyFont="1" applyFill="1" applyBorder="1" applyAlignment="1">
      <alignment horizontal="justify" vertical="center" wrapText="1"/>
    </xf>
    <xf numFmtId="0" fontId="77" fillId="34" borderId="79" xfId="0" applyFont="1" applyFill="1" applyBorder="1" applyAlignment="1">
      <alignment horizontal="justify" vertical="center" wrapText="1"/>
    </xf>
    <xf numFmtId="0" fontId="77" fillId="28" borderId="79" xfId="0" applyFont="1" applyFill="1" applyBorder="1" applyAlignment="1">
      <alignment horizontal="center" vertical="center"/>
    </xf>
    <xf numFmtId="0" fontId="84" fillId="0" borderId="65" xfId="0" applyFont="1" applyBorder="1" applyAlignment="1">
      <alignment horizontal="center" vertical="center" wrapText="1"/>
    </xf>
    <xf numFmtId="166" fontId="77" fillId="0" borderId="79" xfId="59" applyNumberFormat="1" applyFont="1" applyFill="1" applyBorder="1" applyAlignment="1" applyProtection="1">
      <alignment horizontal="center" vertical="center"/>
    </xf>
    <xf numFmtId="166" fontId="75" fillId="42" borderId="79" xfId="60" applyNumberFormat="1" applyFont="1" applyFill="1" applyBorder="1" applyAlignment="1" applyProtection="1">
      <alignment horizontal="center" vertical="center"/>
    </xf>
    <xf numFmtId="166" fontId="75" fillId="42" borderId="80" xfId="60" applyNumberFormat="1" applyFont="1" applyFill="1" applyBorder="1" applyAlignment="1" applyProtection="1">
      <alignment horizontal="center" vertical="center"/>
    </xf>
    <xf numFmtId="0" fontId="54" fillId="0" borderId="75" xfId="0" applyFont="1" applyBorder="1" applyAlignment="1">
      <alignment horizontal="justify" vertical="center" wrapText="1"/>
    </xf>
    <xf numFmtId="0" fontId="77" fillId="0" borderId="75" xfId="0" applyFont="1" applyBorder="1" applyAlignment="1">
      <alignment horizontal="justify" vertical="center" wrapText="1"/>
    </xf>
    <xf numFmtId="0" fontId="77" fillId="0" borderId="75" xfId="0" applyFont="1" applyBorder="1" applyAlignment="1">
      <alignment horizontal="center" vertical="center"/>
    </xf>
    <xf numFmtId="0" fontId="78" fillId="0" borderId="75" xfId="0" applyFont="1" applyBorder="1" applyAlignment="1">
      <alignment horizontal="center" vertical="center" wrapText="1"/>
    </xf>
    <xf numFmtId="0" fontId="54" fillId="0" borderId="79" xfId="0" applyFont="1" applyBorder="1" applyAlignment="1">
      <alignment horizontal="justify" vertical="center" wrapText="1"/>
    </xf>
    <xf numFmtId="0" fontId="52" fillId="0" borderId="79" xfId="0" applyFont="1" applyBorder="1" applyAlignment="1">
      <alignment horizontal="left" vertical="center" wrapText="1"/>
    </xf>
    <xf numFmtId="0" fontId="77" fillId="0" borderId="79" xfId="0" applyFont="1" applyBorder="1" applyAlignment="1">
      <alignment horizontal="center" vertical="center"/>
    </xf>
    <xf numFmtId="0" fontId="78" fillId="0" borderId="79" xfId="0" applyFont="1" applyBorder="1" applyAlignment="1">
      <alignment horizontal="center" vertical="center" wrapText="1"/>
    </xf>
    <xf numFmtId="0" fontId="77" fillId="34" borderId="75" xfId="0" applyFont="1" applyFill="1" applyBorder="1" applyAlignment="1">
      <alignment horizontal="justify" vertical="center" wrapText="1"/>
    </xf>
    <xf numFmtId="0" fontId="84" fillId="0" borderId="66" xfId="0" applyFont="1" applyBorder="1" applyAlignment="1">
      <alignment horizontal="center" vertical="center" wrapText="1"/>
    </xf>
    <xf numFmtId="0" fontId="84" fillId="0" borderId="62" xfId="0" applyFont="1" applyBorder="1" applyAlignment="1">
      <alignment horizontal="center" vertical="center" wrapText="1"/>
    </xf>
    <xf numFmtId="0" fontId="84" fillId="0" borderId="67" xfId="0" applyFont="1" applyBorder="1" applyAlignment="1">
      <alignment horizontal="center" vertical="center" wrapText="1"/>
    </xf>
    <xf numFmtId="0" fontId="75" fillId="0" borderId="81" xfId="0" applyFont="1" applyBorder="1" applyAlignment="1">
      <alignment horizontal="center" vertical="center" wrapText="1"/>
    </xf>
    <xf numFmtId="0" fontId="54" fillId="34" borderId="71" xfId="0" applyFont="1" applyFill="1" applyBorder="1" applyAlignment="1">
      <alignment horizontal="justify" vertical="center" wrapText="1"/>
    </xf>
    <xf numFmtId="0" fontId="77" fillId="34" borderId="71" xfId="0" applyFont="1" applyFill="1" applyBorder="1" applyAlignment="1">
      <alignment horizontal="justify" vertical="center" wrapText="1"/>
    </xf>
    <xf numFmtId="0" fontId="77" fillId="28" borderId="71" xfId="0" applyFont="1" applyFill="1" applyBorder="1" applyAlignment="1">
      <alignment horizontal="center" vertical="center"/>
    </xf>
    <xf numFmtId="0" fontId="78" fillId="0" borderId="71" xfId="0" applyFont="1" applyBorder="1" applyAlignment="1">
      <alignment horizontal="center" vertical="center" wrapText="1"/>
    </xf>
    <xf numFmtId="166" fontId="77" fillId="0" borderId="71" xfId="59" applyNumberFormat="1" applyFont="1" applyFill="1" applyBorder="1" applyAlignment="1" applyProtection="1">
      <alignment horizontal="center" vertical="center"/>
    </xf>
    <xf numFmtId="166" fontId="75" fillId="42" borderId="71" xfId="60" applyNumberFormat="1" applyFont="1" applyFill="1" applyBorder="1" applyAlignment="1" applyProtection="1">
      <alignment horizontal="center" vertical="center"/>
    </xf>
    <xf numFmtId="166" fontId="75" fillId="42" borderId="82" xfId="60" applyNumberFormat="1" applyFont="1" applyFill="1" applyBorder="1" applyAlignment="1" applyProtection="1">
      <alignment horizontal="center" vertical="center"/>
    </xf>
    <xf numFmtId="166" fontId="81" fillId="36" borderId="13" xfId="0" applyNumberFormat="1" applyFont="1" applyFill="1" applyBorder="1" applyAlignment="1">
      <alignment vertical="center"/>
    </xf>
    <xf numFmtId="166" fontId="75" fillId="36" borderId="13" xfId="60" applyNumberFormat="1" applyFont="1" applyFill="1" applyBorder="1" applyAlignment="1" applyProtection="1">
      <alignment horizontal="center" vertical="center"/>
    </xf>
    <xf numFmtId="166" fontId="77" fillId="0" borderId="74" xfId="59" applyNumberFormat="1" applyFont="1" applyFill="1" applyBorder="1" applyAlignment="1" applyProtection="1">
      <alignment horizontal="center" vertical="center"/>
    </xf>
    <xf numFmtId="0" fontId="78" fillId="0" borderId="61" xfId="0" applyFont="1" applyBorder="1" applyAlignment="1">
      <alignment horizontal="center" vertical="center" wrapText="1"/>
    </xf>
    <xf numFmtId="166" fontId="77" fillId="0" borderId="55" xfId="59" applyNumberFormat="1" applyFont="1" applyFill="1" applyBorder="1" applyAlignment="1" applyProtection="1">
      <alignment horizontal="center" vertical="center"/>
    </xf>
    <xf numFmtId="166" fontId="77" fillId="0" borderId="70" xfId="59" applyNumberFormat="1" applyFont="1" applyFill="1" applyBorder="1" applyAlignment="1" applyProtection="1">
      <alignment horizontal="center" vertical="center"/>
    </xf>
    <xf numFmtId="166" fontId="75" fillId="0" borderId="79" xfId="60" applyNumberFormat="1" applyFont="1" applyFill="1" applyBorder="1" applyAlignment="1" applyProtection="1">
      <alignment horizontal="center" vertical="center"/>
    </xf>
    <xf numFmtId="166" fontId="75" fillId="0" borderId="80" xfId="60" applyNumberFormat="1" applyFont="1" applyFill="1" applyBorder="1" applyAlignment="1" applyProtection="1">
      <alignment horizontal="center" vertical="center"/>
    </xf>
    <xf numFmtId="166" fontId="55" fillId="0" borderId="0" xfId="0" applyNumberFormat="1" applyFont="1" applyAlignment="1">
      <alignment vertical="center"/>
    </xf>
    <xf numFmtId="0" fontId="78" fillId="0" borderId="83" xfId="0" applyFont="1" applyBorder="1" applyAlignment="1">
      <alignment horizontal="center" vertical="center" wrapText="1"/>
    </xf>
    <xf numFmtId="166" fontId="77" fillId="0" borderId="84" xfId="59" applyNumberFormat="1" applyFont="1" applyFill="1" applyBorder="1" applyAlignment="1" applyProtection="1">
      <alignment horizontal="center" vertical="center"/>
    </xf>
    <xf numFmtId="166" fontId="77" fillId="0" borderId="85" xfId="59" applyNumberFormat="1" applyFont="1" applyFill="1" applyBorder="1" applyAlignment="1" applyProtection="1">
      <alignment horizontal="center" vertical="center"/>
    </xf>
    <xf numFmtId="0" fontId="75" fillId="28" borderId="78" xfId="0" applyFont="1" applyFill="1" applyBorder="1" applyAlignment="1">
      <alignment horizontal="center" vertical="center" wrapText="1"/>
    </xf>
    <xf numFmtId="0" fontId="54" fillId="28" borderId="79" xfId="0" applyFont="1" applyFill="1" applyBorder="1" applyAlignment="1">
      <alignment horizontal="justify" vertical="center" wrapText="1"/>
    </xf>
    <xf numFmtId="0" fontId="52" fillId="28" borderId="79" xfId="0" applyFont="1" applyFill="1" applyBorder="1" applyAlignment="1">
      <alignment horizontal="left" vertical="center" wrapText="1"/>
    </xf>
    <xf numFmtId="0" fontId="78" fillId="28" borderId="79" xfId="0" applyFont="1" applyFill="1" applyBorder="1" applyAlignment="1">
      <alignment horizontal="center" vertical="center" wrapText="1"/>
    </xf>
    <xf numFmtId="166" fontId="77" fillId="28" borderId="79" xfId="59" applyNumberFormat="1" applyFont="1" applyFill="1" applyBorder="1" applyAlignment="1" applyProtection="1">
      <alignment horizontal="center" vertical="center"/>
    </xf>
    <xf numFmtId="0" fontId="74" fillId="28" borderId="0" xfId="0" applyFont="1" applyFill="1" applyAlignment="1">
      <alignment horizontal="center" vertical="center" wrapText="1"/>
    </xf>
    <xf numFmtId="3" fontId="75" fillId="0" borderId="0" xfId="0" applyNumberFormat="1" applyFont="1" applyAlignment="1">
      <alignment horizontal="left" vertical="center"/>
    </xf>
    <xf numFmtId="0" fontId="86" fillId="0" borderId="0" xfId="0" applyFont="1"/>
    <xf numFmtId="0" fontId="88" fillId="47" borderId="11" xfId="0" applyFont="1" applyFill="1" applyBorder="1" applyAlignment="1">
      <alignment horizontal="center" vertical="center" wrapText="1"/>
    </xf>
    <xf numFmtId="0" fontId="88" fillId="47" borderId="0" xfId="0" applyFont="1" applyFill="1" applyAlignment="1">
      <alignment horizontal="center" vertical="center" wrapText="1"/>
    </xf>
    <xf numFmtId="0" fontId="89" fillId="48" borderId="11" xfId="0" applyFont="1" applyFill="1" applyBorder="1" applyAlignment="1">
      <alignment horizontal="center" vertical="center" wrapText="1"/>
    </xf>
    <xf numFmtId="0" fontId="89" fillId="48" borderId="6" xfId="0" applyFont="1" applyFill="1" applyBorder="1" applyAlignment="1">
      <alignment horizontal="center" vertical="center" wrapText="1"/>
    </xf>
    <xf numFmtId="167" fontId="88" fillId="47" borderId="11" xfId="55" applyFont="1" applyFill="1" applyBorder="1" applyAlignment="1">
      <alignment horizontal="center" vertical="center" wrapText="1"/>
    </xf>
    <xf numFmtId="167" fontId="88" fillId="47" borderId="5" xfId="55" applyFont="1" applyFill="1" applyBorder="1" applyAlignment="1">
      <alignment horizontal="center" vertical="center" wrapText="1"/>
    </xf>
    <xf numFmtId="167" fontId="88" fillId="47" borderId="73" xfId="55" applyFont="1" applyFill="1" applyBorder="1" applyAlignment="1">
      <alignment horizontal="center" vertical="center" wrapText="1"/>
    </xf>
    <xf numFmtId="167" fontId="85" fillId="49" borderId="73" xfId="55" applyFont="1" applyFill="1" applyBorder="1" applyAlignment="1">
      <alignment horizontal="center" vertical="center" wrapText="1"/>
    </xf>
    <xf numFmtId="0" fontId="87" fillId="0" borderId="0" xfId="0" applyFont="1" applyAlignment="1">
      <alignment horizontal="center" vertical="center" wrapText="1"/>
    </xf>
    <xf numFmtId="0" fontId="88" fillId="0" borderId="17" xfId="0" applyFont="1" applyBorder="1" applyAlignment="1">
      <alignment horizontal="center" vertical="center" wrapText="1"/>
    </xf>
    <xf numFmtId="0" fontId="85" fillId="51" borderId="18" xfId="0" applyFont="1" applyFill="1" applyBorder="1" applyAlignment="1">
      <alignment horizontal="justify" vertical="center" wrapText="1"/>
    </xf>
    <xf numFmtId="0" fontId="90" fillId="51" borderId="18" xfId="0" applyFont="1" applyFill="1" applyBorder="1" applyAlignment="1">
      <alignment horizontal="justify" vertical="center" wrapText="1"/>
    </xf>
    <xf numFmtId="0" fontId="91" fillId="51" borderId="18" xfId="0" applyFont="1" applyFill="1" applyBorder="1" applyAlignment="1">
      <alignment horizontal="center" vertical="center"/>
    </xf>
    <xf numFmtId="0" fontId="92" fillId="0" borderId="18" xfId="0" applyFont="1" applyBorder="1" applyAlignment="1">
      <alignment horizontal="center" vertical="center" wrapText="1"/>
    </xf>
    <xf numFmtId="186" fontId="91" fillId="0" borderId="18" xfId="61" applyNumberFormat="1" applyFont="1" applyFill="1" applyBorder="1" applyAlignment="1">
      <alignment horizontal="center" vertical="center"/>
    </xf>
    <xf numFmtId="186" fontId="88" fillId="38" borderId="18" xfId="58" applyNumberFormat="1" applyFont="1" applyFill="1" applyBorder="1" applyAlignment="1">
      <alignment horizontal="center" vertical="center"/>
    </xf>
    <xf numFmtId="186" fontId="88" fillId="38" borderId="19" xfId="58" applyNumberFormat="1" applyFont="1" applyFill="1" applyBorder="1" applyAlignment="1">
      <alignment horizontal="center" vertical="center"/>
    </xf>
    <xf numFmtId="0" fontId="88" fillId="0" borderId="20" xfId="0" applyFont="1" applyBorder="1" applyAlignment="1">
      <alignment horizontal="center" vertical="center" wrapText="1"/>
    </xf>
    <xf numFmtId="0" fontId="85" fillId="51" borderId="1" xfId="0" applyFont="1" applyFill="1" applyBorder="1" applyAlignment="1">
      <alignment horizontal="justify" vertical="center" wrapText="1"/>
    </xf>
    <xf numFmtId="0" fontId="91" fillId="51" borderId="1" xfId="0" applyFont="1" applyFill="1" applyBorder="1" applyAlignment="1">
      <alignment horizontal="justify" vertical="center" wrapText="1"/>
    </xf>
    <xf numFmtId="0" fontId="91" fillId="51" borderId="1" xfId="0" applyFont="1" applyFill="1" applyBorder="1" applyAlignment="1">
      <alignment horizontal="center" vertical="center"/>
    </xf>
    <xf numFmtId="0" fontId="92" fillId="0" borderId="1" xfId="0" applyFont="1" applyBorder="1" applyAlignment="1">
      <alignment horizontal="center" vertical="center" wrapText="1"/>
    </xf>
    <xf numFmtId="186" fontId="91" fillId="0" borderId="1" xfId="61" applyNumberFormat="1" applyFont="1" applyFill="1" applyBorder="1" applyAlignment="1">
      <alignment horizontal="center" vertical="center"/>
    </xf>
    <xf numFmtId="186" fontId="88" fillId="38" borderId="1" xfId="58" applyNumberFormat="1" applyFont="1" applyFill="1" applyBorder="1" applyAlignment="1">
      <alignment horizontal="center" vertical="center"/>
    </xf>
    <xf numFmtId="186" fontId="88" fillId="38" borderId="21" xfId="58" applyNumberFormat="1" applyFont="1" applyFill="1" applyBorder="1" applyAlignment="1">
      <alignment horizontal="center" vertical="center"/>
    </xf>
    <xf numFmtId="0" fontId="85" fillId="51" borderId="1" xfId="0" applyFont="1" applyFill="1" applyBorder="1" applyAlignment="1">
      <alignment horizontal="center" vertical="center" wrapText="1"/>
    </xf>
    <xf numFmtId="0" fontId="91" fillId="51" borderId="1" xfId="0" applyFont="1" applyFill="1" applyBorder="1" applyAlignment="1">
      <alignment horizontal="left" vertical="center" wrapText="1"/>
    </xf>
    <xf numFmtId="0" fontId="88" fillId="0" borderId="36" xfId="0" applyFont="1" applyBorder="1" applyAlignment="1">
      <alignment horizontal="center" vertical="center" wrapText="1"/>
    </xf>
    <xf numFmtId="0" fontId="85" fillId="51" borderId="35" xfId="0" applyFont="1" applyFill="1" applyBorder="1" applyAlignment="1">
      <alignment horizontal="justify" vertical="center" wrapText="1"/>
    </xf>
    <xf numFmtId="0" fontId="91" fillId="51" borderId="35" xfId="0" applyFont="1" applyFill="1" applyBorder="1" applyAlignment="1">
      <alignment horizontal="justify" vertical="center" wrapText="1"/>
    </xf>
    <xf numFmtId="0" fontId="91" fillId="51" borderId="35" xfId="0" applyFont="1" applyFill="1" applyBorder="1" applyAlignment="1">
      <alignment horizontal="center" vertical="center"/>
    </xf>
    <xf numFmtId="0" fontId="92" fillId="0" borderId="35" xfId="0" applyFont="1" applyBorder="1" applyAlignment="1">
      <alignment horizontal="center" vertical="center" wrapText="1"/>
    </xf>
    <xf numFmtId="186" fontId="91" fillId="0" borderId="35" xfId="61" applyNumberFormat="1" applyFont="1" applyFill="1" applyBorder="1" applyAlignment="1">
      <alignment horizontal="center" vertical="center"/>
    </xf>
    <xf numFmtId="186" fontId="88" fillId="38" borderId="35" xfId="58" applyNumberFormat="1" applyFont="1" applyFill="1" applyBorder="1" applyAlignment="1">
      <alignment horizontal="center" vertical="center"/>
    </xf>
    <xf numFmtId="186" fontId="88" fillId="38" borderId="34" xfId="58" applyNumberFormat="1" applyFont="1" applyFill="1" applyBorder="1" applyAlignment="1">
      <alignment horizontal="center" vertical="center"/>
    </xf>
    <xf numFmtId="186" fontId="88" fillId="46" borderId="15" xfId="58" applyNumberFormat="1" applyFont="1" applyFill="1" applyBorder="1" applyAlignment="1">
      <alignment horizontal="center" vertical="center"/>
    </xf>
    <xf numFmtId="186" fontId="88" fillId="46" borderId="74" xfId="58" applyNumberFormat="1" applyFont="1" applyFill="1" applyBorder="1" applyAlignment="1">
      <alignment horizontal="center" vertical="center"/>
    </xf>
    <xf numFmtId="186" fontId="88" fillId="46" borderId="16" xfId="58" applyNumberFormat="1" applyFont="1" applyFill="1" applyBorder="1" applyAlignment="1">
      <alignment horizontal="center" vertical="center"/>
    </xf>
    <xf numFmtId="0" fontId="85" fillId="0" borderId="18" xfId="0" applyFont="1" applyBorder="1" applyAlignment="1">
      <alignment horizontal="justify" vertical="center" wrapText="1"/>
    </xf>
    <xf numFmtId="0" fontId="91" fillId="0" borderId="18" xfId="0" applyFont="1" applyBorder="1" applyAlignment="1">
      <alignment horizontal="justify" vertical="center" wrapText="1"/>
    </xf>
    <xf numFmtId="0" fontId="91" fillId="0" borderId="18" xfId="0" applyFont="1" applyBorder="1" applyAlignment="1">
      <alignment horizontal="center" vertical="center"/>
    </xf>
    <xf numFmtId="0" fontId="85" fillId="0" borderId="35" xfId="0" applyFont="1" applyBorder="1" applyAlignment="1">
      <alignment horizontal="justify" vertical="center" wrapText="1"/>
    </xf>
    <xf numFmtId="0" fontId="90" fillId="0" borderId="35" xfId="0" applyFont="1" applyBorder="1" applyAlignment="1">
      <alignment horizontal="left" vertical="center" wrapText="1"/>
    </xf>
    <xf numFmtId="0" fontId="91" fillId="0" borderId="35" xfId="0" applyFont="1" applyBorder="1" applyAlignment="1">
      <alignment horizontal="center" vertical="center"/>
    </xf>
    <xf numFmtId="0" fontId="91" fillId="51" borderId="18" xfId="0" applyFont="1" applyFill="1" applyBorder="1" applyAlignment="1">
      <alignment horizontal="justify" vertical="center" wrapText="1"/>
    </xf>
    <xf numFmtId="0" fontId="88" fillId="0" borderId="31" xfId="0" applyFont="1" applyBorder="1" applyAlignment="1">
      <alignment horizontal="center" vertical="center" wrapText="1"/>
    </xf>
    <xf numFmtId="0" fontId="85" fillId="51" borderId="32" xfId="0" applyFont="1" applyFill="1" applyBorder="1" applyAlignment="1">
      <alignment horizontal="justify" vertical="center" wrapText="1"/>
    </xf>
    <xf numFmtId="0" fontId="91" fillId="51" borderId="32" xfId="0" applyFont="1" applyFill="1" applyBorder="1" applyAlignment="1">
      <alignment horizontal="justify" vertical="center" wrapText="1"/>
    </xf>
    <xf numFmtId="0" fontId="91" fillId="51" borderId="32" xfId="0" applyFont="1" applyFill="1" applyBorder="1" applyAlignment="1">
      <alignment horizontal="center" vertical="center"/>
    </xf>
    <xf numFmtId="0" fontId="92" fillId="0" borderId="32" xfId="0" applyFont="1" applyBorder="1" applyAlignment="1">
      <alignment horizontal="center" vertical="center" wrapText="1"/>
    </xf>
    <xf numFmtId="186" fontId="91" fillId="0" borderId="32" xfId="61" applyNumberFormat="1" applyFont="1" applyFill="1" applyBorder="1" applyAlignment="1">
      <alignment horizontal="center" vertical="center"/>
    </xf>
    <xf numFmtId="186" fontId="88" fillId="38" borderId="32" xfId="58" applyNumberFormat="1" applyFont="1" applyFill="1" applyBorder="1" applyAlignment="1">
      <alignment horizontal="center" vertical="center"/>
    </xf>
    <xf numFmtId="186" fontId="88" fillId="38" borderId="33" xfId="58" applyNumberFormat="1" applyFont="1" applyFill="1" applyBorder="1" applyAlignment="1">
      <alignment horizontal="center" vertical="center"/>
    </xf>
    <xf numFmtId="186" fontId="96" fillId="54" borderId="13" xfId="0" applyNumberFormat="1" applyFont="1" applyFill="1" applyBorder="1" applyAlignment="1">
      <alignment vertical="center"/>
    </xf>
    <xf numFmtId="186" fontId="88" fillId="54" borderId="13" xfId="58" applyNumberFormat="1" applyFont="1" applyFill="1" applyBorder="1" applyAlignment="1">
      <alignment horizontal="center" vertical="center"/>
    </xf>
    <xf numFmtId="0" fontId="88" fillId="0" borderId="0" xfId="0" applyFont="1" applyAlignment="1">
      <alignment horizontal="left" vertical="center"/>
    </xf>
    <xf numFmtId="0" fontId="86" fillId="0" borderId="0" xfId="0" applyFont="1" applyAlignment="1">
      <alignment vertical="center"/>
    </xf>
    <xf numFmtId="0" fontId="87" fillId="0" borderId="0" xfId="0" applyFont="1" applyAlignment="1">
      <alignment horizontal="center" vertical="center"/>
    </xf>
    <xf numFmtId="0" fontId="86" fillId="0" borderId="0" xfId="0" applyFont="1" applyAlignment="1">
      <alignment horizontal="center" vertical="center"/>
    </xf>
    <xf numFmtId="0" fontId="86" fillId="0" borderId="0" xfId="0" applyFont="1" applyAlignment="1">
      <alignment horizontal="center" vertical="center" wrapText="1"/>
    </xf>
    <xf numFmtId="187" fontId="86" fillId="0" borderId="0" xfId="55" applyNumberFormat="1" applyFont="1" applyAlignment="1">
      <alignment vertical="center"/>
    </xf>
    <xf numFmtId="187" fontId="86" fillId="0" borderId="0" xfId="0" applyNumberFormat="1" applyFont="1" applyAlignment="1">
      <alignment vertical="center"/>
    </xf>
    <xf numFmtId="0" fontId="70" fillId="0" borderId="1" xfId="0" applyFont="1" applyBorder="1" applyAlignment="1">
      <alignment horizontal="center" vertical="center" wrapText="1"/>
    </xf>
    <xf numFmtId="0" fontId="69" fillId="34" borderId="1" xfId="0" applyFont="1" applyFill="1" applyBorder="1" applyAlignment="1">
      <alignment horizontal="justify" vertical="center" wrapText="1"/>
    </xf>
    <xf numFmtId="0" fontId="63" fillId="28" borderId="1" xfId="0" applyFont="1" applyFill="1" applyBorder="1" applyAlignment="1">
      <alignment horizontal="center" vertical="center"/>
    </xf>
    <xf numFmtId="0" fontId="64" fillId="0" borderId="1" xfId="0" applyFont="1" applyBorder="1" applyAlignment="1">
      <alignment horizontal="center" vertical="center" wrapText="1"/>
    </xf>
    <xf numFmtId="0" fontId="63" fillId="34" borderId="1" xfId="0" applyFont="1" applyFill="1" applyBorder="1" applyAlignment="1">
      <alignment horizontal="left" vertical="center" wrapText="1"/>
    </xf>
    <xf numFmtId="10" fontId="1" fillId="0" borderId="1" xfId="56" applyNumberFormat="1" applyFont="1" applyBorder="1"/>
    <xf numFmtId="1" fontId="1" fillId="0" borderId="1" xfId="56" applyNumberFormat="1" applyFont="1" applyBorder="1"/>
    <xf numFmtId="9" fontId="64" fillId="0" borderId="1" xfId="0" applyNumberFormat="1" applyFont="1" applyBorder="1" applyAlignment="1">
      <alignment horizontal="center" vertical="center" wrapText="1"/>
    </xf>
    <xf numFmtId="0" fontId="64" fillId="0" borderId="0" xfId="0" applyFont="1" applyAlignment="1">
      <alignment horizontal="right" vertical="center"/>
    </xf>
    <xf numFmtId="168" fontId="64" fillId="0" borderId="1" xfId="0" applyNumberFormat="1" applyFont="1" applyBorder="1" applyAlignment="1">
      <alignment horizontal="right" vertical="center"/>
    </xf>
    <xf numFmtId="168" fontId="72" fillId="0" borderId="1" xfId="0" applyNumberFormat="1" applyFont="1" applyBorder="1" applyAlignment="1">
      <alignment horizontal="right" vertical="center"/>
    </xf>
    <xf numFmtId="168" fontId="70" fillId="32" borderId="1" xfId="0" applyNumberFormat="1" applyFont="1" applyFill="1" applyBorder="1" applyAlignment="1">
      <alignment horizontal="right" vertical="center"/>
    </xf>
    <xf numFmtId="183" fontId="63" fillId="28" borderId="1" xfId="0" applyNumberFormat="1" applyFont="1" applyFill="1" applyBorder="1" applyAlignment="1">
      <alignment horizontal="center" vertical="center"/>
    </xf>
    <xf numFmtId="183" fontId="64" fillId="0" borderId="0" xfId="0" applyNumberFormat="1" applyFont="1" applyAlignment="1">
      <alignment horizontal="center" vertical="center"/>
    </xf>
    <xf numFmtId="0" fontId="63" fillId="34" borderId="1" xfId="0" applyFont="1" applyFill="1" applyBorder="1" applyAlignment="1">
      <alignment vertical="top" wrapText="1"/>
    </xf>
    <xf numFmtId="167" fontId="64" fillId="0" borderId="0" xfId="55" applyFont="1" applyBorder="1" applyAlignment="1">
      <alignment vertical="center"/>
    </xf>
    <xf numFmtId="0" fontId="70" fillId="0" borderId="25" xfId="0" applyFont="1" applyBorder="1" applyAlignment="1">
      <alignment vertical="center"/>
    </xf>
    <xf numFmtId="175" fontId="71" fillId="32" borderId="73" xfId="57" applyNumberFormat="1" applyFont="1" applyFill="1" applyBorder="1" applyAlignment="1">
      <alignment horizontal="center" vertical="center" wrapText="1"/>
    </xf>
    <xf numFmtId="0" fontId="70" fillId="0" borderId="13" xfId="0" applyFont="1" applyBorder="1" applyAlignment="1">
      <alignment horizontal="center" vertical="center" wrapText="1"/>
    </xf>
    <xf numFmtId="0" fontId="63" fillId="34" borderId="13" xfId="0" applyFont="1" applyFill="1" applyBorder="1" applyAlignment="1">
      <alignment horizontal="left" vertical="center" wrapText="1"/>
    </xf>
    <xf numFmtId="0" fontId="63" fillId="34" borderId="13" xfId="0" applyFont="1" applyFill="1" applyBorder="1" applyAlignment="1">
      <alignment vertical="top" wrapText="1"/>
    </xf>
    <xf numFmtId="183" fontId="63" fillId="28" borderId="13" xfId="0" applyNumberFormat="1" applyFont="1" applyFill="1" applyBorder="1" applyAlignment="1">
      <alignment horizontal="center" vertical="center"/>
    </xf>
    <xf numFmtId="0" fontId="63" fillId="28" borderId="13" xfId="0" applyFont="1" applyFill="1" applyBorder="1" applyAlignment="1">
      <alignment horizontal="center" vertical="center"/>
    </xf>
    <xf numFmtId="9" fontId="64" fillId="0" borderId="13" xfId="0" applyNumberFormat="1" applyFont="1" applyBorder="1" applyAlignment="1">
      <alignment horizontal="center" vertical="center" wrapText="1"/>
    </xf>
    <xf numFmtId="168" fontId="64" fillId="0" borderId="13" xfId="0" applyNumberFormat="1" applyFont="1" applyBorder="1" applyAlignment="1">
      <alignment horizontal="right" vertical="center"/>
    </xf>
    <xf numFmtId="168" fontId="72" fillId="0" borderId="13" xfId="0" applyNumberFormat="1" applyFont="1" applyBorder="1" applyAlignment="1">
      <alignment horizontal="right" vertical="center"/>
    </xf>
    <xf numFmtId="0" fontId="70" fillId="3" borderId="93" xfId="0" applyFont="1" applyFill="1" applyBorder="1" applyAlignment="1">
      <alignment horizontal="center" vertical="center"/>
    </xf>
    <xf numFmtId="0" fontId="64" fillId="3" borderId="93" xfId="0" applyFont="1" applyFill="1" applyBorder="1" applyAlignment="1">
      <alignment horizontal="right" vertical="center"/>
    </xf>
    <xf numFmtId="0" fontId="64" fillId="3" borderId="94" xfId="0" applyFont="1" applyFill="1" applyBorder="1" applyAlignment="1">
      <alignment horizontal="right" vertical="center"/>
    </xf>
    <xf numFmtId="0" fontId="70" fillId="0" borderId="29" xfId="0" applyFont="1" applyBorder="1" applyAlignment="1">
      <alignment horizontal="center" vertical="center" wrapText="1"/>
    </xf>
    <xf numFmtId="0" fontId="63" fillId="34" borderId="29" xfId="0" applyFont="1" applyFill="1" applyBorder="1" applyAlignment="1">
      <alignment horizontal="left" vertical="center" wrapText="1"/>
    </xf>
    <xf numFmtId="0" fontId="63" fillId="34" borderId="29" xfId="0" applyFont="1" applyFill="1" applyBorder="1" applyAlignment="1">
      <alignment vertical="top" wrapText="1"/>
    </xf>
    <xf numFmtId="183" fontId="63" fillId="28" borderId="29" xfId="0" applyNumberFormat="1" applyFont="1" applyFill="1" applyBorder="1" applyAlignment="1">
      <alignment horizontal="center" vertical="center"/>
    </xf>
    <xf numFmtId="0" fontId="63" fillId="28" borderId="29" xfId="0" applyFont="1" applyFill="1" applyBorder="1" applyAlignment="1">
      <alignment horizontal="center" vertical="center"/>
    </xf>
    <xf numFmtId="0" fontId="64" fillId="0" borderId="29" xfId="0" applyFont="1" applyBorder="1" applyAlignment="1">
      <alignment horizontal="center" vertical="center" wrapText="1"/>
    </xf>
    <xf numFmtId="9" fontId="64" fillId="0" borderId="29" xfId="0" applyNumberFormat="1" applyFont="1" applyBorder="1" applyAlignment="1">
      <alignment horizontal="center" vertical="center" wrapText="1"/>
    </xf>
    <xf numFmtId="168" fontId="64" fillId="0" borderId="29" xfId="0" applyNumberFormat="1" applyFont="1" applyBorder="1" applyAlignment="1">
      <alignment horizontal="right" vertical="center"/>
    </xf>
    <xf numFmtId="168" fontId="72" fillId="0" borderId="29" xfId="0" applyNumberFormat="1" applyFont="1" applyBorder="1" applyAlignment="1">
      <alignment horizontal="right" vertical="center"/>
    </xf>
    <xf numFmtId="0" fontId="70" fillId="28" borderId="13" xfId="0" applyFont="1" applyFill="1" applyBorder="1" applyAlignment="1">
      <alignment horizontal="center" vertical="center" wrapText="1"/>
    </xf>
    <xf numFmtId="0" fontId="69" fillId="28" borderId="13" xfId="0" applyFont="1" applyFill="1" applyBorder="1" applyAlignment="1">
      <alignment horizontal="justify" vertical="center" wrapText="1"/>
    </xf>
    <xf numFmtId="0" fontId="64" fillId="28" borderId="13" xfId="0" applyFont="1" applyFill="1" applyBorder="1" applyAlignment="1">
      <alignment horizontal="center" vertical="center" wrapText="1"/>
    </xf>
    <xf numFmtId="9" fontId="64" fillId="28" borderId="13" xfId="0" applyNumberFormat="1" applyFont="1" applyFill="1" applyBorder="1" applyAlignment="1">
      <alignment horizontal="center" vertical="center" wrapText="1"/>
    </xf>
    <xf numFmtId="0" fontId="70" fillId="3" borderId="91" xfId="0" applyFont="1" applyFill="1" applyBorder="1" applyAlignment="1">
      <alignment horizontal="center" vertical="center" wrapText="1"/>
    </xf>
    <xf numFmtId="183" fontId="71" fillId="58" borderId="91" xfId="0" applyNumberFormat="1" applyFont="1" applyFill="1" applyBorder="1" applyAlignment="1">
      <alignment horizontal="center" vertical="center" wrapText="1"/>
    </xf>
    <xf numFmtId="0" fontId="71" fillId="58" borderId="91" xfId="0" applyFont="1" applyFill="1" applyBorder="1" applyAlignment="1">
      <alignment horizontal="center" vertical="center" wrapText="1"/>
    </xf>
    <xf numFmtId="0" fontId="71" fillId="58" borderId="95" xfId="0" applyFont="1" applyFill="1" applyBorder="1" applyAlignment="1">
      <alignment horizontal="center" vertical="center" wrapText="1"/>
    </xf>
    <xf numFmtId="0" fontId="70" fillId="0" borderId="97" xfId="0" applyFont="1" applyBorder="1" applyAlignment="1">
      <alignment horizontal="center" vertical="center" wrapText="1"/>
    </xf>
    <xf numFmtId="0" fontId="64" fillId="0" borderId="97" xfId="0" applyFont="1" applyBorder="1" applyAlignment="1">
      <alignment horizontal="center" vertical="center" wrapText="1"/>
    </xf>
    <xf numFmtId="0" fontId="64" fillId="0" borderId="97" xfId="0" applyFont="1" applyBorder="1" applyAlignment="1">
      <alignment vertical="center" wrapText="1"/>
    </xf>
    <xf numFmtId="0" fontId="64" fillId="0" borderId="96" xfId="0" applyFont="1" applyBorder="1" applyAlignment="1">
      <alignment horizontal="center" vertical="center" wrapText="1"/>
    </xf>
    <xf numFmtId="0" fontId="70" fillId="3" borderId="92" xfId="0" applyFont="1" applyFill="1" applyBorder="1" applyAlignment="1">
      <alignment vertical="center"/>
    </xf>
    <xf numFmtId="0" fontId="70" fillId="3" borderId="93" xfId="0" applyFont="1" applyFill="1" applyBorder="1" applyAlignment="1">
      <alignment vertical="center"/>
    </xf>
    <xf numFmtId="0" fontId="70" fillId="3" borderId="93" xfId="0" applyFont="1" applyFill="1" applyBorder="1" applyAlignment="1">
      <alignment vertical="top"/>
    </xf>
    <xf numFmtId="0" fontId="61" fillId="0" borderId="101" xfId="0" applyFont="1" applyBorder="1" applyAlignment="1">
      <alignment horizontal="center" vertical="center" wrapText="1"/>
    </xf>
    <xf numFmtId="0" fontId="62" fillId="0" borderId="91" xfId="0" applyFont="1" applyBorder="1" applyAlignment="1">
      <alignment horizontal="center" vertical="center" wrapText="1"/>
    </xf>
    <xf numFmtId="168" fontId="62" fillId="0" borderId="91" xfId="55" applyNumberFormat="1" applyFont="1" applyBorder="1" applyAlignment="1">
      <alignment vertical="center"/>
    </xf>
    <xf numFmtId="168" fontId="62" fillId="28" borderId="102" xfId="55" applyNumberFormat="1" applyFont="1" applyFill="1" applyBorder="1" applyAlignment="1">
      <alignment vertical="center"/>
    </xf>
    <xf numFmtId="0" fontId="62" fillId="0" borderId="91" xfId="0" applyFont="1" applyBorder="1" applyAlignment="1">
      <alignment horizontal="left" vertical="center" wrapText="1"/>
    </xf>
    <xf numFmtId="0" fontId="61" fillId="32" borderId="101" xfId="0" applyFont="1" applyFill="1" applyBorder="1" applyAlignment="1">
      <alignment horizontal="center" vertical="center" wrapText="1"/>
    </xf>
    <xf numFmtId="0" fontId="61" fillId="32" borderId="91" xfId="0" applyFont="1" applyFill="1" applyBorder="1" applyAlignment="1">
      <alignment horizontal="center" vertical="center" wrapText="1"/>
    </xf>
    <xf numFmtId="17" fontId="61" fillId="32" borderId="91" xfId="0" applyNumberFormat="1" applyFont="1" applyFill="1" applyBorder="1" applyAlignment="1">
      <alignment horizontal="center" vertical="center" wrapText="1"/>
    </xf>
    <xf numFmtId="0" fontId="61" fillId="32" borderId="102" xfId="0" applyFont="1" applyFill="1" applyBorder="1" applyAlignment="1">
      <alignment horizontal="center" vertical="center" wrapText="1"/>
    </xf>
    <xf numFmtId="0" fontId="62" fillId="28" borderId="91" xfId="0" applyFont="1" applyFill="1" applyBorder="1" applyAlignment="1">
      <alignment horizontal="center" vertical="center"/>
    </xf>
    <xf numFmtId="0" fontId="62" fillId="0" borderId="91" xfId="0" applyFont="1" applyBorder="1" applyAlignment="1">
      <alignment horizontal="center" vertical="center"/>
    </xf>
    <xf numFmtId="168" fontId="61" fillId="3" borderId="102" xfId="55" applyNumberFormat="1" applyFont="1" applyFill="1" applyBorder="1" applyAlignment="1">
      <alignment vertical="center"/>
    </xf>
    <xf numFmtId="0" fontId="62" fillId="0" borderId="0" xfId="14" applyFont="1" applyAlignment="1">
      <alignment horizontal="center" vertical="center"/>
    </xf>
    <xf numFmtId="0" fontId="1" fillId="0" borderId="0" xfId="14" applyFont="1" applyAlignment="1" applyProtection="1">
      <alignment horizontal="center" vertical="center"/>
      <protection locked="0"/>
    </xf>
    <xf numFmtId="0" fontId="103" fillId="3" borderId="91" xfId="0" applyFont="1" applyFill="1" applyBorder="1" applyAlignment="1">
      <alignment horizontal="center" vertical="center"/>
    </xf>
    <xf numFmtId="0" fontId="1" fillId="0" borderId="0" xfId="0" applyFont="1" applyAlignment="1">
      <alignment horizontal="center"/>
    </xf>
    <xf numFmtId="0" fontId="61" fillId="0" borderId="105" xfId="0" applyFont="1" applyBorder="1" applyAlignment="1">
      <alignment horizontal="center" vertical="center" wrapText="1"/>
    </xf>
    <xf numFmtId="0" fontId="62" fillId="0" borderId="103" xfId="0" applyFont="1" applyBorder="1" applyAlignment="1">
      <alignment horizontal="center" vertical="center"/>
    </xf>
    <xf numFmtId="0" fontId="62" fillId="0" borderId="103" xfId="0" applyFont="1" applyBorder="1" applyAlignment="1">
      <alignment horizontal="left" vertical="center" wrapText="1"/>
    </xf>
    <xf numFmtId="168" fontId="62" fillId="0" borderId="103" xfId="55" applyNumberFormat="1" applyFont="1" applyBorder="1" applyAlignment="1">
      <alignment vertical="center"/>
    </xf>
    <xf numFmtId="0" fontId="103" fillId="3" borderId="106" xfId="0" applyFont="1" applyFill="1" applyBorder="1" applyAlignment="1">
      <alignment vertical="center"/>
    </xf>
    <xf numFmtId="0" fontId="103" fillId="3" borderId="107" xfId="0" applyFont="1" applyFill="1" applyBorder="1" applyAlignment="1">
      <alignment vertical="center"/>
    </xf>
    <xf numFmtId="168" fontId="61" fillId="3" borderId="108" xfId="55" applyNumberFormat="1" applyFont="1" applyFill="1" applyBorder="1" applyAlignment="1">
      <alignment vertical="center"/>
    </xf>
    <xf numFmtId="168" fontId="1" fillId="3" borderId="109" xfId="0" applyNumberFormat="1" applyFont="1" applyFill="1" applyBorder="1" applyAlignment="1">
      <alignment vertical="center"/>
    </xf>
    <xf numFmtId="0" fontId="62" fillId="0" borderId="103" xfId="0" applyFont="1" applyBorder="1" applyAlignment="1">
      <alignment horizontal="center" vertical="center" wrapText="1"/>
    </xf>
    <xf numFmtId="0" fontId="103" fillId="3" borderId="107" xfId="0" applyFont="1" applyFill="1" applyBorder="1" applyAlignment="1">
      <alignment horizontal="center" vertical="center"/>
    </xf>
    <xf numFmtId="184" fontId="1" fillId="0" borderId="0" xfId="0" applyNumberFormat="1" applyFont="1" applyAlignment="1">
      <alignment horizontal="center"/>
    </xf>
    <xf numFmtId="184" fontId="64" fillId="0" borderId="0" xfId="0" applyNumberFormat="1" applyFont="1" applyAlignment="1">
      <alignment horizontal="center" vertical="center"/>
    </xf>
    <xf numFmtId="181" fontId="1" fillId="59" borderId="1" xfId="0" applyNumberFormat="1" applyFont="1" applyFill="1" applyBorder="1" applyAlignment="1">
      <alignment vertical="center"/>
    </xf>
    <xf numFmtId="168" fontId="59" fillId="3" borderId="91" xfId="0" applyNumberFormat="1" applyFont="1" applyFill="1" applyBorder="1" applyAlignment="1">
      <alignment vertical="center"/>
    </xf>
    <xf numFmtId="0" fontId="64" fillId="0" borderId="13" xfId="0" applyFont="1" applyBorder="1" applyAlignment="1">
      <alignment horizontal="center" vertical="center" wrapText="1"/>
    </xf>
    <xf numFmtId="0" fontId="57" fillId="13" borderId="89" xfId="0" applyFont="1" applyFill="1" applyBorder="1" applyAlignment="1">
      <alignment horizontal="center" vertical="center" wrapText="1"/>
    </xf>
    <xf numFmtId="0" fontId="70" fillId="3" borderId="89" xfId="0" applyFont="1" applyFill="1" applyBorder="1" applyAlignment="1">
      <alignment horizontal="center" vertical="center" wrapText="1"/>
    </xf>
    <xf numFmtId="0" fontId="70" fillId="3" borderId="92" xfId="0" applyFont="1" applyFill="1" applyBorder="1" applyAlignment="1">
      <alignment horizontal="left" vertical="center"/>
    </xf>
    <xf numFmtId="0" fontId="70" fillId="3" borderId="93" xfId="0" applyFont="1" applyFill="1" applyBorder="1" applyAlignment="1">
      <alignment horizontal="left" vertical="center"/>
    </xf>
    <xf numFmtId="0" fontId="106" fillId="0" borderId="0" xfId="0" applyFont="1" applyAlignment="1">
      <alignment horizontal="left" vertical="center" wrapText="1"/>
    </xf>
    <xf numFmtId="0" fontId="104" fillId="0" borderId="0" xfId="0" applyFont="1" applyAlignment="1">
      <alignment horizontal="left" vertical="center" wrapText="1"/>
    </xf>
    <xf numFmtId="0" fontId="103" fillId="0" borderId="0" xfId="0" applyFont="1" applyAlignment="1">
      <alignment horizontal="left" vertical="center" wrapText="1"/>
    </xf>
    <xf numFmtId="0" fontId="101" fillId="0" borderId="87" xfId="0" applyFont="1" applyBorder="1" applyAlignment="1">
      <alignment horizontal="center" vertical="center"/>
    </xf>
    <xf numFmtId="0" fontId="101" fillId="0" borderId="88" xfId="0" applyFont="1" applyBorder="1" applyAlignment="1">
      <alignment horizontal="center" vertical="center"/>
    </xf>
    <xf numFmtId="0" fontId="101" fillId="0" borderId="90" xfId="0" applyFont="1" applyBorder="1" applyAlignment="1">
      <alignment horizontal="center" vertical="center"/>
    </xf>
    <xf numFmtId="0" fontId="99" fillId="0" borderId="110" xfId="0" applyFont="1" applyBorder="1" applyAlignment="1">
      <alignment horizontal="left" vertical="center" wrapText="1"/>
    </xf>
    <xf numFmtId="0" fontId="99" fillId="0" borderId="111" xfId="0" applyFont="1" applyBorder="1" applyAlignment="1">
      <alignment horizontal="left" vertical="center" wrapText="1"/>
    </xf>
    <xf numFmtId="0" fontId="99" fillId="0" borderId="112" xfId="0" applyFont="1" applyBorder="1" applyAlignment="1">
      <alignment horizontal="left" vertical="center" wrapText="1"/>
    </xf>
    <xf numFmtId="0" fontId="100" fillId="56" borderId="87" xfId="0" applyFont="1" applyFill="1" applyBorder="1" applyAlignment="1">
      <alignment horizontal="center" vertical="center" wrapText="1"/>
    </xf>
    <xf numFmtId="0" fontId="100" fillId="56" borderId="88" xfId="0" applyFont="1" applyFill="1" applyBorder="1" applyAlignment="1">
      <alignment horizontal="center" vertical="center" wrapText="1"/>
    </xf>
    <xf numFmtId="0" fontId="102" fillId="57" borderId="88" xfId="0" applyFont="1" applyFill="1" applyBorder="1" applyAlignment="1">
      <alignment horizontal="center" vertical="center"/>
    </xf>
    <xf numFmtId="0" fontId="7" fillId="0" borderId="0" xfId="0" applyFont="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0" xfId="0" applyAlignment="1">
      <alignment horizontal="left"/>
    </xf>
    <xf numFmtId="0" fontId="0" fillId="0" borderId="6" xfId="0" applyBorder="1" applyAlignment="1">
      <alignment horizontal="left"/>
    </xf>
    <xf numFmtId="0" fontId="9" fillId="0" borderId="7" xfId="3"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7" fillId="0" borderId="0" xfId="0" applyFont="1" applyAlignment="1">
      <alignment horizontal="center" vertical="center" wrapText="1"/>
    </xf>
    <xf numFmtId="0" fontId="20" fillId="0" borderId="0" xfId="0" applyFont="1" applyAlignment="1">
      <alignment horizontal="center" vertical="center" wrapText="1"/>
    </xf>
    <xf numFmtId="0" fontId="1" fillId="0" borderId="103" xfId="0" applyFont="1" applyBorder="1" applyAlignment="1">
      <alignment horizontal="center" vertical="center"/>
    </xf>
    <xf numFmtId="0" fontId="1" fillId="0" borderId="104" xfId="0" applyFont="1" applyBorder="1" applyAlignment="1">
      <alignment horizontal="center" vertical="center"/>
    </xf>
    <xf numFmtId="0" fontId="61" fillId="0" borderId="94" xfId="0" applyFont="1" applyBorder="1" applyAlignment="1">
      <alignment horizontal="center" vertical="center" wrapText="1"/>
    </xf>
    <xf numFmtId="0" fontId="65" fillId="3" borderId="98" xfId="0" applyFont="1" applyFill="1" applyBorder="1" applyAlignment="1">
      <alignment horizontal="center" vertical="center"/>
    </xf>
    <xf numFmtId="0" fontId="65" fillId="3" borderId="99" xfId="0" applyFont="1" applyFill="1" applyBorder="1" applyAlignment="1">
      <alignment horizontal="center" vertical="center"/>
    </xf>
    <xf numFmtId="0" fontId="65" fillId="3" borderId="100" xfId="0" applyFont="1" applyFill="1" applyBorder="1" applyAlignment="1">
      <alignment horizontal="center" vertical="center"/>
    </xf>
    <xf numFmtId="0" fontId="65" fillId="3" borderId="101" xfId="0" applyFont="1" applyFill="1" applyBorder="1" applyAlignment="1">
      <alignment horizontal="center" vertical="center"/>
    </xf>
    <xf numFmtId="0" fontId="65" fillId="3" borderId="91" xfId="0" applyFont="1" applyFill="1" applyBorder="1" applyAlignment="1">
      <alignment horizontal="center" vertical="center"/>
    </xf>
    <xf numFmtId="0" fontId="65" fillId="3" borderId="102" xfId="0" applyFont="1" applyFill="1" applyBorder="1" applyAlignment="1">
      <alignment horizontal="center" vertical="center"/>
    </xf>
    <xf numFmtId="0" fontId="61" fillId="0" borderId="101" xfId="0" applyFont="1" applyBorder="1" applyAlignment="1">
      <alignment horizontal="center" vertical="center" wrapText="1"/>
    </xf>
    <xf numFmtId="0" fontId="103" fillId="3" borderId="101" xfId="0" applyFont="1" applyFill="1" applyBorder="1" applyAlignment="1">
      <alignment horizontal="center" vertical="center"/>
    </xf>
    <xf numFmtId="0" fontId="103" fillId="3" borderId="91" xfId="0" applyFont="1" applyFill="1" applyBorder="1" applyAlignment="1">
      <alignment horizontal="center" vertical="center"/>
    </xf>
    <xf numFmtId="0" fontId="59" fillId="0" borderId="3" xfId="0" applyFont="1" applyBorder="1" applyAlignment="1">
      <alignment horizontal="center" vertical="center" wrapText="1"/>
    </xf>
    <xf numFmtId="0" fontId="59" fillId="0" borderId="0" xfId="0" applyFont="1" applyAlignment="1">
      <alignment horizontal="center" vertical="center" wrapText="1"/>
    </xf>
    <xf numFmtId="0" fontId="65" fillId="0" borderId="0" xfId="0" applyFont="1" applyAlignment="1">
      <alignment horizontal="center"/>
    </xf>
    <xf numFmtId="0" fontId="1" fillId="0" borderId="0" xfId="0" applyFont="1" applyAlignment="1">
      <alignment horizontal="left" wrapText="1"/>
    </xf>
    <xf numFmtId="0" fontId="57" fillId="30" borderId="2" xfId="0" applyFont="1" applyFill="1" applyBorder="1" applyAlignment="1">
      <alignment horizontal="center" vertical="center"/>
    </xf>
    <xf numFmtId="0" fontId="57" fillId="30" borderId="3" xfId="0" applyFont="1" applyFill="1" applyBorder="1" applyAlignment="1">
      <alignment horizontal="center" vertical="center"/>
    </xf>
    <xf numFmtId="0" fontId="57" fillId="30" borderId="4" xfId="0" applyFont="1" applyFill="1" applyBorder="1" applyAlignment="1">
      <alignment horizontal="center" vertical="center"/>
    </xf>
    <xf numFmtId="0" fontId="57" fillId="30" borderId="7" xfId="0" applyFont="1" applyFill="1" applyBorder="1" applyAlignment="1">
      <alignment horizontal="center" vertical="center"/>
    </xf>
    <xf numFmtId="0" fontId="57" fillId="30" borderId="8" xfId="0" applyFont="1" applyFill="1" applyBorder="1" applyAlignment="1">
      <alignment horizontal="center" vertical="center"/>
    </xf>
    <xf numFmtId="0" fontId="57" fillId="30" borderId="9" xfId="0" applyFont="1" applyFill="1" applyBorder="1" applyAlignment="1">
      <alignment horizontal="center" vertical="center"/>
    </xf>
    <xf numFmtId="0" fontId="1" fillId="0" borderId="0" xfId="0" applyFont="1" applyAlignment="1">
      <alignment horizontal="center" vertical="top" wrapText="1"/>
    </xf>
    <xf numFmtId="0" fontId="1" fillId="0" borderId="28" xfId="0" applyFont="1" applyBorder="1" applyAlignment="1">
      <alignment horizontal="center" vertical="center" textRotation="90"/>
    </xf>
    <xf numFmtId="0" fontId="82" fillId="44" borderId="22" xfId="0" applyFont="1" applyFill="1" applyBorder="1" applyAlignment="1">
      <alignment horizontal="center" vertical="center" wrapText="1"/>
    </xf>
    <xf numFmtId="0" fontId="82" fillId="44" borderId="27" xfId="0" applyFont="1" applyFill="1" applyBorder="1" applyAlignment="1">
      <alignment horizontal="center" vertical="center" wrapText="1"/>
    </xf>
    <xf numFmtId="0" fontId="83" fillId="0" borderId="22" xfId="0" applyFont="1" applyBorder="1" applyAlignment="1">
      <alignment horizontal="center" vertical="center"/>
    </xf>
    <xf numFmtId="0" fontId="83" fillId="0" borderId="59" xfId="0" applyFont="1" applyBorder="1" applyAlignment="1">
      <alignment horizontal="center" vertical="center"/>
    </xf>
    <xf numFmtId="0" fontId="83" fillId="0" borderId="27" xfId="0" applyFont="1" applyBorder="1" applyAlignment="1">
      <alignment horizontal="center" vertical="center"/>
    </xf>
    <xf numFmtId="0" fontId="75" fillId="0" borderId="0" xfId="0" applyFont="1" applyAlignment="1">
      <alignment horizontal="left" vertical="center"/>
    </xf>
    <xf numFmtId="0" fontId="74" fillId="0" borderId="0" xfId="0" applyFont="1" applyAlignment="1">
      <alignment horizontal="left" vertical="center" wrapText="1"/>
    </xf>
    <xf numFmtId="0" fontId="80" fillId="43" borderId="24" xfId="0" applyFont="1" applyFill="1" applyBorder="1" applyAlignment="1">
      <alignment horizontal="right" vertical="center"/>
    </xf>
    <xf numFmtId="0" fontId="80" fillId="43" borderId="72" xfId="0" applyFont="1" applyFill="1" applyBorder="1" applyAlignment="1">
      <alignment horizontal="right" vertical="center"/>
    </xf>
    <xf numFmtId="0" fontId="54" fillId="32" borderId="31" xfId="0" applyFont="1" applyFill="1" applyBorder="1" applyAlignment="1">
      <alignment horizontal="center" vertical="center" wrapText="1"/>
    </xf>
    <xf numFmtId="0" fontId="54" fillId="32" borderId="32" xfId="0" applyFont="1" applyFill="1" applyBorder="1" applyAlignment="1">
      <alignment horizontal="center" vertical="center" wrapText="1"/>
    </xf>
    <xf numFmtId="0" fontId="54" fillId="32" borderId="55" xfId="0" applyFont="1" applyFill="1" applyBorder="1" applyAlignment="1">
      <alignment horizontal="center" vertical="center" wrapText="1"/>
    </xf>
    <xf numFmtId="0" fontId="54" fillId="32" borderId="33" xfId="0" applyFont="1" applyFill="1" applyBorder="1" applyAlignment="1">
      <alignment horizontal="center" vertical="center" wrapText="1"/>
    </xf>
    <xf numFmtId="0" fontId="74" fillId="33" borderId="57" xfId="0" applyFont="1" applyFill="1" applyBorder="1" applyAlignment="1">
      <alignment horizontal="center" vertical="center" wrapText="1"/>
    </xf>
    <xf numFmtId="0" fontId="74" fillId="33" borderId="60" xfId="0" applyFont="1" applyFill="1" applyBorder="1" applyAlignment="1">
      <alignment horizontal="center" vertical="center" wrapText="1"/>
    </xf>
    <xf numFmtId="0" fontId="74" fillId="33" borderId="53" xfId="0" applyFont="1" applyFill="1" applyBorder="1" applyAlignment="1">
      <alignment horizontal="center" vertical="center" wrapText="1"/>
    </xf>
    <xf numFmtId="0" fontId="74" fillId="33" borderId="60" xfId="0" applyFont="1" applyFill="1" applyBorder="1" applyAlignment="1">
      <alignment horizontal="center" vertical="center"/>
    </xf>
    <xf numFmtId="0" fontId="74" fillId="33" borderId="53" xfId="0" applyFont="1" applyFill="1" applyBorder="1" applyAlignment="1">
      <alignment horizontal="center" vertical="center"/>
    </xf>
    <xf numFmtId="0" fontId="75" fillId="35" borderId="2" xfId="0" applyFont="1" applyFill="1" applyBorder="1" applyAlignment="1">
      <alignment horizontal="center" vertical="center" wrapText="1"/>
    </xf>
    <xf numFmtId="0" fontId="75" fillId="35" borderId="3" xfId="0" applyFont="1" applyFill="1" applyBorder="1" applyAlignment="1">
      <alignment horizontal="center" vertical="center" wrapText="1"/>
    </xf>
    <xf numFmtId="0" fontId="75" fillId="35" borderId="4" xfId="0" applyFont="1" applyFill="1" applyBorder="1" applyAlignment="1">
      <alignment horizontal="center" vertical="center" wrapText="1"/>
    </xf>
    <xf numFmtId="0" fontId="79" fillId="33" borderId="14" xfId="0" applyFont="1" applyFill="1" applyBorder="1" applyAlignment="1">
      <alignment horizontal="right" vertical="center" wrapText="1"/>
    </xf>
    <xf numFmtId="0" fontId="79" fillId="33" borderId="15" xfId="0" applyFont="1" applyFill="1" applyBorder="1" applyAlignment="1">
      <alignment horizontal="right" vertical="center" wrapText="1"/>
    </xf>
    <xf numFmtId="0" fontId="75" fillId="35" borderId="5" xfId="0" applyFont="1" applyFill="1" applyBorder="1" applyAlignment="1">
      <alignment horizontal="center" vertical="center" wrapText="1"/>
    </xf>
    <xf numFmtId="0" fontId="75" fillId="35" borderId="0" xfId="0" applyFont="1" applyFill="1" applyAlignment="1">
      <alignment horizontal="center" vertical="center" wrapText="1"/>
    </xf>
    <xf numFmtId="0" fontId="75" fillId="35" borderId="28" xfId="0" applyFont="1" applyFill="1" applyBorder="1" applyAlignment="1">
      <alignment horizontal="center" vertical="center" wrapText="1"/>
    </xf>
    <xf numFmtId="3" fontId="83" fillId="0" borderId="22" xfId="0" applyNumberFormat="1" applyFont="1" applyBorder="1" applyAlignment="1">
      <alignment horizontal="center" vertical="center"/>
    </xf>
    <xf numFmtId="0" fontId="80" fillId="43" borderId="7" xfId="0" applyFont="1" applyFill="1" applyBorder="1" applyAlignment="1">
      <alignment horizontal="right" vertical="center"/>
    </xf>
    <xf numFmtId="0" fontId="80" fillId="43" borderId="8" xfId="0" applyFont="1" applyFill="1" applyBorder="1" applyAlignment="1">
      <alignment horizontal="right" vertical="center"/>
    </xf>
    <xf numFmtId="0" fontId="75" fillId="35" borderId="6" xfId="0" applyFont="1" applyFill="1" applyBorder="1" applyAlignment="1">
      <alignment horizontal="center" vertical="center" wrapText="1"/>
    </xf>
    <xf numFmtId="0" fontId="97" fillId="55" borderId="1" xfId="0" applyFont="1" applyFill="1" applyBorder="1" applyAlignment="1">
      <alignment horizontal="center" vertical="center" wrapText="1"/>
    </xf>
    <xf numFmtId="0" fontId="88" fillId="0" borderId="0" xfId="0" applyFont="1" applyAlignment="1">
      <alignment horizontal="left" vertical="center"/>
    </xf>
    <xf numFmtId="0" fontId="87" fillId="0" borderId="0" xfId="0" applyFont="1" applyAlignment="1">
      <alignment horizontal="left" vertical="center" wrapText="1"/>
    </xf>
    <xf numFmtId="0" fontId="95" fillId="53" borderId="24" xfId="0" applyFont="1" applyFill="1" applyBorder="1" applyAlignment="1">
      <alignment horizontal="right" vertical="center"/>
    </xf>
    <xf numFmtId="0" fontId="85" fillId="45" borderId="31" xfId="0" applyFont="1" applyFill="1" applyBorder="1" applyAlignment="1">
      <alignment horizontal="center" vertical="center" wrapText="1"/>
    </xf>
    <xf numFmtId="0" fontId="87" fillId="46" borderId="38" xfId="0" applyFont="1" applyFill="1" applyBorder="1" applyAlignment="1">
      <alignment horizontal="center" vertical="center" wrapText="1"/>
    </xf>
    <xf numFmtId="0" fontId="87" fillId="46" borderId="53" xfId="0" applyFont="1" applyFill="1" applyBorder="1" applyAlignment="1">
      <alignment horizontal="center" vertical="center"/>
    </xf>
    <xf numFmtId="0" fontId="88" fillId="50" borderId="10" xfId="0" applyFont="1" applyFill="1" applyBorder="1" applyAlignment="1">
      <alignment horizontal="center" vertical="center" wrapText="1"/>
    </xf>
    <xf numFmtId="0" fontId="94" fillId="46" borderId="14" xfId="0" applyFont="1" applyFill="1" applyBorder="1" applyAlignment="1">
      <alignment horizontal="right" vertical="center" wrapText="1"/>
    </xf>
    <xf numFmtId="0" fontId="88" fillId="50" borderId="86" xfId="0" applyFont="1" applyFill="1" applyBorder="1" applyAlignment="1">
      <alignment horizontal="center" vertical="center" wrapText="1"/>
    </xf>
    <xf numFmtId="3" fontId="83" fillId="0" borderId="22" xfId="0" applyNumberFormat="1" applyFont="1" applyBorder="1" applyAlignment="1">
      <alignment horizontal="center"/>
    </xf>
    <xf numFmtId="0" fontId="83" fillId="0" borderId="59" xfId="0" applyFont="1" applyBorder="1" applyAlignment="1">
      <alignment horizontal="center"/>
    </xf>
    <xf numFmtId="0" fontId="83" fillId="0" borderId="27" xfId="0" applyFont="1" applyBorder="1" applyAlignment="1">
      <alignment horizontal="center"/>
    </xf>
    <xf numFmtId="0" fontId="83" fillId="0" borderId="22" xfId="0" applyFont="1" applyBorder="1" applyAlignment="1">
      <alignment horizontal="center"/>
    </xf>
    <xf numFmtId="0" fontId="54" fillId="32" borderId="31" xfId="0" applyFont="1" applyFill="1" applyBorder="1" applyAlignment="1">
      <alignment horizontal="left" vertical="center" wrapText="1"/>
    </xf>
    <xf numFmtId="0" fontId="54" fillId="32" borderId="32" xfId="0" applyFont="1" applyFill="1" applyBorder="1" applyAlignment="1">
      <alignment horizontal="left" vertical="center" wrapText="1"/>
    </xf>
    <xf numFmtId="0" fontId="54" fillId="32" borderId="55" xfId="0" applyFont="1" applyFill="1" applyBorder="1" applyAlignment="1">
      <alignment horizontal="left" vertical="center" wrapText="1"/>
    </xf>
    <xf numFmtId="0" fontId="54" fillId="32" borderId="33" xfId="0" applyFont="1" applyFill="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23" fillId="11" borderId="28" xfId="0" applyFont="1" applyFill="1" applyBorder="1" applyAlignment="1">
      <alignment horizontal="center" vertical="center" textRotation="90"/>
    </xf>
    <xf numFmtId="0" fontId="36" fillId="26" borderId="1" xfId="0" applyFont="1" applyFill="1" applyBorder="1" applyAlignment="1">
      <alignment horizontal="center" vertical="center" wrapText="1"/>
    </xf>
    <xf numFmtId="0" fontId="46" fillId="0" borderId="0" xfId="0" applyFont="1" applyAlignment="1">
      <alignment horizontal="left" vertical="top" wrapText="1"/>
    </xf>
    <xf numFmtId="169" fontId="34" fillId="0" borderId="10" xfId="0" applyNumberFormat="1" applyFont="1" applyBorder="1" applyAlignment="1">
      <alignment horizontal="center" vertical="center"/>
    </xf>
    <xf numFmtId="169" fontId="34" fillId="0" borderId="12" xfId="0" applyNumberFormat="1" applyFont="1" applyBorder="1" applyAlignment="1">
      <alignment horizontal="center" vertical="center"/>
    </xf>
    <xf numFmtId="0" fontId="20" fillId="0" borderId="0" xfId="0" applyFont="1" applyAlignment="1">
      <alignment horizontal="left"/>
    </xf>
    <xf numFmtId="0" fontId="33" fillId="0" borderId="0" xfId="0" applyFont="1" applyAlignment="1">
      <alignment horizontal="center" vertical="center"/>
    </xf>
    <xf numFmtId="0" fontId="27" fillId="0" borderId="0" xfId="0" applyFont="1" applyAlignment="1">
      <alignment horizontal="center" vertical="center"/>
    </xf>
    <xf numFmtId="0" fontId="34" fillId="21" borderId="0" xfId="0" applyFont="1" applyFill="1" applyAlignment="1">
      <alignment horizontal="center" vertical="center" wrapText="1"/>
    </xf>
    <xf numFmtId="0" fontId="9" fillId="0" borderId="0" xfId="3" applyAlignment="1">
      <alignment horizontal="center"/>
    </xf>
    <xf numFmtId="0" fontId="36" fillId="23" borderId="13" xfId="0" applyFont="1" applyFill="1" applyBorder="1" applyAlignment="1">
      <alignment horizontal="center" vertical="center" wrapText="1"/>
    </xf>
    <xf numFmtId="0" fontId="51" fillId="28" borderId="17" xfId="0" applyFont="1" applyFill="1" applyBorder="1" applyAlignment="1">
      <alignment horizontal="center" vertical="center" wrapText="1"/>
    </xf>
    <xf numFmtId="0" fontId="51" fillId="28" borderId="20" xfId="0" applyFont="1" applyFill="1" applyBorder="1" applyAlignment="1">
      <alignment horizontal="center" vertical="center" wrapText="1"/>
    </xf>
    <xf numFmtId="0" fontId="51" fillId="28" borderId="36" xfId="0" applyFont="1" applyFill="1" applyBorder="1" applyAlignment="1">
      <alignment horizontal="center" vertical="center" wrapText="1"/>
    </xf>
    <xf numFmtId="0" fontId="0" fillId="3" borderId="8" xfId="0" applyFill="1" applyBorder="1" applyAlignment="1">
      <alignment horizontal="center"/>
    </xf>
    <xf numFmtId="0" fontId="51" fillId="0" borderId="17" xfId="0" applyFont="1" applyBorder="1" applyAlignment="1">
      <alignment horizontal="center" vertical="center" wrapText="1"/>
    </xf>
    <xf numFmtId="0" fontId="51" fillId="0" borderId="20" xfId="0" applyFont="1" applyBorder="1" applyAlignment="1">
      <alignment horizontal="center" vertical="center" wrapText="1"/>
    </xf>
    <xf numFmtId="0" fontId="51" fillId="0" borderId="36" xfId="0" applyFont="1" applyBorder="1" applyAlignment="1">
      <alignment horizontal="center" vertical="center" wrapText="1"/>
    </xf>
    <xf numFmtId="0" fontId="25" fillId="17" borderId="23" xfId="0" applyFont="1" applyFill="1" applyBorder="1" applyAlignment="1">
      <alignment horizontal="center" vertical="center" wrapText="1"/>
    </xf>
    <xf numFmtId="0" fontId="25" fillId="17" borderId="24" xfId="0" applyFont="1" applyFill="1" applyBorder="1" applyAlignment="1">
      <alignment horizontal="center" vertical="center" wrapText="1"/>
    </xf>
    <xf numFmtId="0" fontId="30" fillId="17" borderId="23" xfId="0" applyFont="1" applyFill="1" applyBorder="1" applyAlignment="1">
      <alignment horizontal="center" vertical="center" wrapText="1"/>
    </xf>
    <xf numFmtId="0" fontId="30" fillId="17" borderId="24" xfId="0" applyFont="1" applyFill="1" applyBorder="1" applyAlignment="1">
      <alignment horizontal="center" vertical="center" wrapText="1"/>
    </xf>
    <xf numFmtId="0" fontId="24" fillId="12" borderId="1" xfId="0" applyFont="1" applyFill="1" applyBorder="1" applyAlignment="1">
      <alignment horizontal="center" vertical="center" wrapText="1"/>
    </xf>
    <xf numFmtId="0" fontId="20" fillId="0" borderId="0" xfId="0" applyFont="1" applyAlignment="1">
      <alignment horizontal="center"/>
    </xf>
    <xf numFmtId="0" fontId="20" fillId="0" borderId="0" xfId="0" applyFont="1" applyAlignment="1">
      <alignment horizontal="left" vertical="center" wrapText="1"/>
    </xf>
    <xf numFmtId="0" fontId="0" fillId="0" borderId="0" xfId="0" applyAlignment="1">
      <alignment horizontal="left" vertical="center" wrapText="1"/>
    </xf>
    <xf numFmtId="0" fontId="9" fillId="0" borderId="3" xfId="3" applyBorder="1" applyAlignment="1">
      <alignment horizontal="left"/>
    </xf>
    <xf numFmtId="0" fontId="25" fillId="13" borderId="1" xfId="0" applyFont="1" applyFill="1" applyBorder="1" applyAlignment="1">
      <alignment horizontal="center" vertical="center" wrapText="1"/>
    </xf>
    <xf numFmtId="0" fontId="83" fillId="0" borderId="22" xfId="0" applyFont="1" applyBorder="1" applyAlignment="1"/>
    <xf numFmtId="0" fontId="83" fillId="0" borderId="59" xfId="0" applyFont="1" applyBorder="1" applyAlignment="1"/>
    <xf numFmtId="0" fontId="83" fillId="0" borderId="27" xfId="0" applyFont="1" applyBorder="1" applyAlignment="1"/>
    <xf numFmtId="0" fontId="98" fillId="0" borderId="1" xfId="0" applyFont="1" applyBorder="1" applyAlignment="1"/>
  </cellXfs>
  <cellStyles count="62">
    <cellStyle name="40% - Énfasis5" xfId="60" builtinId="47"/>
    <cellStyle name="BodyStyle" xfId="27" xr:uid="{00000000-0005-0000-0000-000000000000}"/>
    <cellStyle name="BodyStyleBold" xfId="28" xr:uid="{00000000-0005-0000-0000-000001000000}"/>
    <cellStyle name="BodyStyleBoldRight" xfId="29" xr:uid="{00000000-0005-0000-0000-000002000000}"/>
    <cellStyle name="BodyStyleWithBorder" xfId="35" xr:uid="{00000000-0005-0000-0000-000003000000}"/>
    <cellStyle name="BorderThinBlack" xfId="39" xr:uid="{00000000-0005-0000-0000-000004000000}"/>
    <cellStyle name="Comma" xfId="18" xr:uid="{00000000-0005-0000-0000-000005000000}"/>
    <cellStyle name="Comma [0]" xfId="19" xr:uid="{00000000-0005-0000-0000-000006000000}"/>
    <cellStyle name="Comma [0] 2" xfId="43" xr:uid="{00000000-0005-0000-0000-000007000000}"/>
    <cellStyle name="Comma 2" xfId="42" xr:uid="{00000000-0005-0000-0000-000008000000}"/>
    <cellStyle name="Comma 3" xfId="44" xr:uid="{00000000-0005-0000-0000-000009000000}"/>
    <cellStyle name="Comma 4" xfId="46" xr:uid="{00000000-0005-0000-0000-00000A000000}"/>
    <cellStyle name="Comma 5" xfId="47" xr:uid="{00000000-0005-0000-0000-00000B000000}"/>
    <cellStyle name="Currency" xfId="16" xr:uid="{00000000-0005-0000-0000-00000C000000}"/>
    <cellStyle name="Currency [0]" xfId="17" xr:uid="{00000000-0005-0000-0000-00000D000000}"/>
    <cellStyle name="Currency [0] 2" xfId="41" xr:uid="{00000000-0005-0000-0000-00000E000000}"/>
    <cellStyle name="Currency 2" xfId="40" xr:uid="{00000000-0005-0000-0000-00000F000000}"/>
    <cellStyle name="Currency 3" xfId="49" xr:uid="{00000000-0005-0000-0000-000010000000}"/>
    <cellStyle name="Currency 4" xfId="48" xr:uid="{00000000-0005-0000-0000-000011000000}"/>
    <cellStyle name="Currency 5" xfId="50" xr:uid="{00000000-0005-0000-0000-000012000000}"/>
    <cellStyle name="DateStyle" xfId="31" xr:uid="{00000000-0005-0000-0000-000013000000}"/>
    <cellStyle name="DateTimeStyle" xfId="32" xr:uid="{00000000-0005-0000-0000-000014000000}"/>
    <cellStyle name="Decimal" xfId="34" xr:uid="{00000000-0005-0000-0000-000015000000}"/>
    <cellStyle name="DecimalWithBorder" xfId="38" xr:uid="{00000000-0005-0000-0000-000016000000}"/>
    <cellStyle name="EuroCurrency" xfId="30" xr:uid="{00000000-0005-0000-0000-000017000000}"/>
    <cellStyle name="EuroCurrencyWithBorder" xfId="36" xr:uid="{00000000-0005-0000-0000-000018000000}"/>
    <cellStyle name="Excel Built-in 40% - Accent5" xfId="58" xr:uid="{00000000-0005-0000-0000-000019000000}"/>
    <cellStyle name="Excel Built-in Bad" xfId="61" xr:uid="{F482FE7C-6045-4492-A7B6-4A3091089C5F}"/>
    <cellStyle name="HeaderStyle" xfId="21" xr:uid="{00000000-0005-0000-0000-00001A000000}"/>
    <cellStyle name="HeaderStyle 2" xfId="45" xr:uid="{00000000-0005-0000-0000-00001B000000}"/>
    <cellStyle name="HeaderSubTop" xfId="25" xr:uid="{00000000-0005-0000-0000-00001C000000}"/>
    <cellStyle name="HeaderSubTopNoBold" xfId="26" xr:uid="{00000000-0005-0000-0000-00001D000000}"/>
    <cellStyle name="HeaderTopBuyer" xfId="22" xr:uid="{00000000-0005-0000-0000-00001E000000}"/>
    <cellStyle name="HeaderTopStyle" xfId="23" xr:uid="{00000000-0005-0000-0000-00001F000000}"/>
    <cellStyle name="HeaderTopStyleAlignRight" xfId="24" xr:uid="{00000000-0005-0000-0000-000020000000}"/>
    <cellStyle name="Hipervínculo" xfId="3" builtinId="8"/>
    <cellStyle name="Hipervínculo 2" xfId="7" xr:uid="{00000000-0005-0000-0000-000022000000}"/>
    <cellStyle name="Hyperlink" xfId="4" xr:uid="{00000000-0005-0000-0000-000023000000}"/>
    <cellStyle name="Incorrecto" xfId="59" builtinId="27"/>
    <cellStyle name="MainTitle" xfId="20" xr:uid="{00000000-0005-0000-0000-000024000000}"/>
    <cellStyle name="Millares" xfId="56" builtinId="3"/>
    <cellStyle name="Millares 2" xfId="8" xr:uid="{00000000-0005-0000-0000-000026000000}"/>
    <cellStyle name="Millares 3" xfId="53" xr:uid="{00000000-0005-0000-0000-000027000000}"/>
    <cellStyle name="Millares 5 3" xfId="54" xr:uid="{00000000-0005-0000-0000-000028000000}"/>
    <cellStyle name="Moneda" xfId="55" builtinId="4"/>
    <cellStyle name="Moneda [0]" xfId="1" builtinId="7"/>
    <cellStyle name="Moneda [0] 2" xfId="6" xr:uid="{00000000-0005-0000-0000-00002B000000}"/>
    <cellStyle name="Moneda [0] 3" xfId="13" xr:uid="{00000000-0005-0000-0000-00002C000000}"/>
    <cellStyle name="Moneda [0] 4" xfId="52" xr:uid="{00000000-0005-0000-0000-00002D000000}"/>
    <cellStyle name="Moneda 3 2" xfId="57" xr:uid="{00000000-0005-0000-0000-00002E000000}"/>
    <cellStyle name="Normal" xfId="0" builtinId="0"/>
    <cellStyle name="Normal 2" xfId="5" xr:uid="{00000000-0005-0000-0000-000030000000}"/>
    <cellStyle name="Normal 2 2" xfId="51" xr:uid="{00000000-0005-0000-0000-000031000000}"/>
    <cellStyle name="Normal 3" xfId="10" xr:uid="{00000000-0005-0000-0000-000032000000}"/>
    <cellStyle name="Normal 4" xfId="12" xr:uid="{00000000-0005-0000-0000-000033000000}"/>
    <cellStyle name="Normal 5" xfId="14" xr:uid="{00000000-0005-0000-0000-000034000000}"/>
    <cellStyle name="Numeric" xfId="33" xr:uid="{00000000-0005-0000-0000-000035000000}"/>
    <cellStyle name="NumericWithBorder" xfId="37" xr:uid="{00000000-0005-0000-0000-000036000000}"/>
    <cellStyle name="Percent" xfId="15" xr:uid="{00000000-0005-0000-0000-000037000000}"/>
    <cellStyle name="Porcentaje" xfId="2" builtinId="5"/>
    <cellStyle name="Porcentaje 2" xfId="9" xr:uid="{00000000-0005-0000-0000-000039000000}"/>
    <cellStyle name="Porcentaje 3" xfId="11" xr:uid="{00000000-0005-0000-0000-00003A000000}"/>
  </cellStyles>
  <dxfs count="12">
    <dxf>
      <fill>
        <patternFill>
          <bgColor rgb="FF92D050"/>
        </patternFill>
      </fill>
    </dxf>
    <dxf>
      <fill>
        <patternFill>
          <bgColor rgb="FFFF0000"/>
        </patternFill>
      </fill>
    </dxf>
    <dxf>
      <fill>
        <patternFill>
          <bgColor theme="5" tint="0.39994506668294322"/>
        </patternFill>
      </fill>
    </dxf>
    <dxf>
      <fill>
        <patternFill>
          <bgColor theme="5" tint="0.39994506668294322"/>
        </patternFill>
      </fill>
    </dxf>
    <dxf>
      <font>
        <color rgb="FF9C0006"/>
      </font>
      <fill>
        <patternFill>
          <bgColor rgb="FFFFC7CE"/>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5" tint="0.3999450666829432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xdr:col>
      <xdr:colOff>442595</xdr:colOff>
      <xdr:row>0</xdr:row>
      <xdr:rowOff>95250</xdr:rowOff>
    </xdr:from>
    <xdr:to>
      <xdr:col>2</xdr:col>
      <xdr:colOff>2091691</xdr:colOff>
      <xdr:row>0</xdr:row>
      <xdr:rowOff>879027</xdr:rowOff>
    </xdr:to>
    <xdr:pic>
      <xdr:nvPicPr>
        <xdr:cNvPr id="2" name="Imagen 1">
          <a:extLst>
            <a:ext uri="{FF2B5EF4-FFF2-40B4-BE49-F238E27FC236}">
              <a16:creationId xmlns:a16="http://schemas.microsoft.com/office/drawing/2014/main" id="{66009F31-3E57-461C-902A-CF4084C855B4}"/>
            </a:ext>
          </a:extLst>
        </xdr:cNvPr>
        <xdr:cNvPicPr/>
      </xdr:nvPicPr>
      <xdr:blipFill>
        <a:blip xmlns:r="http://schemas.openxmlformats.org/officeDocument/2006/relationships" r:embed="rId1"/>
        <a:stretch/>
      </xdr:blipFill>
      <xdr:spPr>
        <a:xfrm>
          <a:off x="601345" y="95250"/>
          <a:ext cx="2236471" cy="783777"/>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6405256</xdr:colOff>
      <xdr:row>31</xdr:row>
      <xdr:rowOff>3216</xdr:rowOff>
    </xdr:from>
    <xdr:to>
      <xdr:col>3</xdr:col>
      <xdr:colOff>16975</xdr:colOff>
      <xdr:row>35</xdr:row>
      <xdr:rowOff>21374</xdr:rowOff>
    </xdr:to>
    <xdr:pic>
      <xdr:nvPicPr>
        <xdr:cNvPr id="2" name="Imagen 1">
          <a:extLst>
            <a:ext uri="{FF2B5EF4-FFF2-40B4-BE49-F238E27FC236}">
              <a16:creationId xmlns:a16="http://schemas.microsoft.com/office/drawing/2014/main" id="{2ECBB01A-EA33-4676-BEA5-89A1B11383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62756" y="49085541"/>
          <a:ext cx="1797504" cy="78777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1780763</xdr:colOff>
      <xdr:row>31</xdr:row>
      <xdr:rowOff>13805</xdr:rowOff>
    </xdr:from>
    <xdr:to>
      <xdr:col>2</xdr:col>
      <xdr:colOff>4003263</xdr:colOff>
      <xdr:row>34</xdr:row>
      <xdr:rowOff>132764</xdr:rowOff>
    </xdr:to>
    <xdr:pic>
      <xdr:nvPicPr>
        <xdr:cNvPr id="2" name="Imagen 1">
          <a:extLst>
            <a:ext uri="{FF2B5EF4-FFF2-40B4-BE49-F238E27FC236}">
              <a16:creationId xmlns:a16="http://schemas.microsoft.com/office/drawing/2014/main" id="{12F48CD0-07AB-4466-922B-71BDD35F8D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38263" y="49096130"/>
          <a:ext cx="2222500" cy="69045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5747657</xdr:colOff>
      <xdr:row>30</xdr:row>
      <xdr:rowOff>678750</xdr:rowOff>
    </xdr:from>
    <xdr:to>
      <xdr:col>3</xdr:col>
      <xdr:colOff>511914</xdr:colOff>
      <xdr:row>41</xdr:row>
      <xdr:rowOff>26913</xdr:rowOff>
    </xdr:to>
    <xdr:pic>
      <xdr:nvPicPr>
        <xdr:cNvPr id="2" name="Imagen 1" descr="WhatsApp_Image_2026-05-08_at_12.46.21_PM-removebg-preview">
          <a:extLst>
            <a:ext uri="{FF2B5EF4-FFF2-40B4-BE49-F238E27FC236}">
              <a16:creationId xmlns:a16="http://schemas.microsoft.com/office/drawing/2014/main" id="{C1A9DEF1-2821-436A-97C7-A2EB497D92BD}"/>
            </a:ext>
          </a:extLst>
        </xdr:cNvPr>
        <xdr:cNvPicPr>
          <a:picLocks noChangeAspect="1"/>
        </xdr:cNvPicPr>
      </xdr:nvPicPr>
      <xdr:blipFill>
        <a:blip xmlns:r="http://schemas.openxmlformats.org/officeDocument/2006/relationships" r:embed="rId1"/>
        <a:stretch>
          <a:fillRect/>
        </a:stretch>
      </xdr:blipFill>
      <xdr:spPr>
        <a:xfrm>
          <a:off x="8605157" y="49122900"/>
          <a:ext cx="2946232" cy="12817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24</xdr:col>
      <xdr:colOff>142875</xdr:colOff>
      <xdr:row>0</xdr:row>
      <xdr:rowOff>19050</xdr:rowOff>
    </xdr:from>
    <xdr:to>
      <xdr:col>24</xdr:col>
      <xdr:colOff>666751</xdr:colOff>
      <xdr:row>2</xdr:row>
      <xdr:rowOff>572839</xdr:rowOff>
    </xdr:to>
    <xdr:pic>
      <xdr:nvPicPr>
        <xdr:cNvPr id="2" name="Imagen 1">
          <a:extLst>
            <a:ext uri="{FF2B5EF4-FFF2-40B4-BE49-F238E27FC236}">
              <a16:creationId xmlns:a16="http://schemas.microsoft.com/office/drawing/2014/main" id="{7366BB77-996F-4224-974B-07B0D6774125}"/>
            </a:ext>
          </a:extLst>
        </xdr:cNvPr>
        <xdr:cNvPicPr>
          <a:picLocks noChangeAspect="1"/>
        </xdr:cNvPicPr>
      </xdr:nvPicPr>
      <xdr:blipFill>
        <a:blip xmlns:r="http://schemas.openxmlformats.org/officeDocument/2006/relationships" r:embed="rId1"/>
        <a:stretch>
          <a:fillRect/>
        </a:stretch>
      </xdr:blipFill>
      <xdr:spPr>
        <a:xfrm>
          <a:off x="24984075" y="19050"/>
          <a:ext cx="523876" cy="96526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815339</xdr:colOff>
      <xdr:row>4</xdr:row>
      <xdr:rowOff>66820</xdr:rowOff>
    </xdr:from>
    <xdr:to>
      <xdr:col>6</xdr:col>
      <xdr:colOff>502920</xdr:colOff>
      <xdr:row>11</xdr:row>
      <xdr:rowOff>169665</xdr:rowOff>
    </xdr:to>
    <xdr:pic>
      <xdr:nvPicPr>
        <xdr:cNvPr id="4" name="Imagen 3">
          <a:extLst>
            <a:ext uri="{FF2B5EF4-FFF2-40B4-BE49-F238E27FC236}">
              <a16:creationId xmlns:a16="http://schemas.microsoft.com/office/drawing/2014/main" id="{E8174C62-9AA3-4174-B322-4F0F323976D7}"/>
            </a:ext>
          </a:extLst>
        </xdr:cNvPr>
        <xdr:cNvPicPr>
          <a:picLocks noChangeAspect="1"/>
        </xdr:cNvPicPr>
      </xdr:nvPicPr>
      <xdr:blipFill>
        <a:blip xmlns:r="http://schemas.openxmlformats.org/officeDocument/2006/relationships" r:embed="rId1"/>
        <a:stretch>
          <a:fillRect/>
        </a:stretch>
      </xdr:blipFill>
      <xdr:spPr>
        <a:xfrm>
          <a:off x="1135379" y="882160"/>
          <a:ext cx="5204461" cy="1383005"/>
        </a:xfrm>
        <a:prstGeom prst="rect">
          <a:avLst/>
        </a:prstGeom>
      </xdr:spPr>
    </xdr:pic>
    <xdr:clientData/>
  </xdr:twoCellAnchor>
  <xdr:twoCellAnchor>
    <xdr:from>
      <xdr:col>2</xdr:col>
      <xdr:colOff>0</xdr:colOff>
      <xdr:row>27</xdr:row>
      <xdr:rowOff>0</xdr:rowOff>
    </xdr:from>
    <xdr:to>
      <xdr:col>9</xdr:col>
      <xdr:colOff>289560</xdr:colOff>
      <xdr:row>57</xdr:row>
      <xdr:rowOff>76200</xdr:rowOff>
    </xdr:to>
    <xdr:pic>
      <xdr:nvPicPr>
        <xdr:cNvPr id="3" name="Imagen 1">
          <a:extLst>
            <a:ext uri="{FF2B5EF4-FFF2-40B4-BE49-F238E27FC236}">
              <a16:creationId xmlns:a16="http://schemas.microsoft.com/office/drawing/2014/main" id="{7089091F-E555-444B-912A-66FD7692F3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0040" y="7223760"/>
          <a:ext cx="8321040" cy="5562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29</xdr:row>
      <xdr:rowOff>0</xdr:rowOff>
    </xdr:from>
    <xdr:to>
      <xdr:col>4</xdr:col>
      <xdr:colOff>343480</xdr:colOff>
      <xdr:row>59</xdr:row>
      <xdr:rowOff>30966</xdr:rowOff>
    </xdr:to>
    <xdr:pic>
      <xdr:nvPicPr>
        <xdr:cNvPr id="2" name="Imagen 1">
          <a:extLst>
            <a:ext uri="{FF2B5EF4-FFF2-40B4-BE49-F238E27FC236}">
              <a16:creationId xmlns:a16="http://schemas.microsoft.com/office/drawing/2014/main" id="{F478DC64-C23C-4E35-A8E9-532B8D3C69F9}"/>
            </a:ext>
          </a:extLst>
        </xdr:cNvPr>
        <xdr:cNvPicPr>
          <a:picLocks noChangeAspect="1"/>
        </xdr:cNvPicPr>
      </xdr:nvPicPr>
      <xdr:blipFill>
        <a:blip xmlns:r="http://schemas.openxmlformats.org/officeDocument/2006/relationships" r:embed="rId1"/>
        <a:stretch>
          <a:fillRect/>
        </a:stretch>
      </xdr:blipFill>
      <xdr:spPr>
        <a:xfrm>
          <a:off x="792480" y="5844540"/>
          <a:ext cx="6690940" cy="56088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gerencie.com/del-iva-en-los-servicios-integrales-de-aseo-y-cafeteria.html" TargetMode="External"/><Relationship Id="rId7" Type="http://schemas.openxmlformats.org/officeDocument/2006/relationships/comments" Target="../comments1.xml"/><Relationship Id="rId2" Type="http://schemas.openxmlformats.org/officeDocument/2006/relationships/hyperlink" Target="https://estatuto.co/462-1" TargetMode="External"/><Relationship Id="rId1" Type="http://schemas.openxmlformats.org/officeDocument/2006/relationships/hyperlink" Target="https://www.supervigilancia.gov.co/publicaciones/10474/circular-tarifas-minimas-para-contratacion-servicios-de-vigilancia-y-seguridad-privada-2024/" TargetMode="External"/><Relationship Id="rId6" Type="http://schemas.openxmlformats.org/officeDocument/2006/relationships/vmlDrawing" Target="../drawings/vmlDrawing1.vml"/><Relationship Id="rId5" Type="http://schemas.openxmlformats.org/officeDocument/2006/relationships/printerSettings" Target="../printerSettings/printerSettings7.bin"/><Relationship Id="rId4" Type="http://schemas.openxmlformats.org/officeDocument/2006/relationships/hyperlink" Target="https://www.supervigilancia.gov.co/loader.php?lServicio=Tools2&amp;lTipo=descargas&amp;lFuncion=descargar&amp;idFile=38937"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B050"/>
    <pageSetUpPr fitToPage="1"/>
  </sheetPr>
  <dimension ref="B2:AH55"/>
  <sheetViews>
    <sheetView showGridLines="0" zoomScaleNormal="100" workbookViewId="0">
      <selection activeCell="H16" sqref="H16"/>
    </sheetView>
  </sheetViews>
  <sheetFormatPr defaultColWidth="11.42578125" defaultRowHeight="14.45"/>
  <cols>
    <col min="1" max="1" width="5.5703125" customWidth="1"/>
    <col min="2" max="2" width="7.85546875" customWidth="1"/>
    <col min="3" max="3" width="29.85546875" customWidth="1"/>
    <col min="4" max="4" width="32.28515625" customWidth="1"/>
    <col min="5" max="5" width="8.5703125" customWidth="1"/>
    <col min="6" max="6" width="15.7109375" customWidth="1"/>
    <col min="7" max="7" width="19.85546875" customWidth="1"/>
    <col min="8" max="8" width="18.42578125" customWidth="1"/>
    <col min="9" max="9" width="15.85546875" customWidth="1"/>
    <col min="10" max="10" width="14.85546875" customWidth="1"/>
    <col min="11" max="12" width="18.42578125" customWidth="1"/>
    <col min="13" max="13" width="48.7109375" customWidth="1"/>
    <col min="14" max="14" width="13.140625" bestFit="1" customWidth="1"/>
    <col min="15" max="16" width="11.42578125" customWidth="1"/>
    <col min="17" max="17" width="8" customWidth="1"/>
  </cols>
  <sheetData>
    <row r="2" spans="2:18" ht="18">
      <c r="B2" s="598"/>
      <c r="C2" s="598"/>
      <c r="D2" s="598"/>
      <c r="E2" s="598"/>
      <c r="F2" s="598"/>
      <c r="G2" s="598"/>
      <c r="H2" s="598"/>
      <c r="I2" s="598"/>
      <c r="J2" s="598"/>
      <c r="K2" s="598"/>
      <c r="L2" s="598"/>
      <c r="M2" s="598"/>
      <c r="N2" s="598"/>
      <c r="O2" s="598"/>
    </row>
    <row r="3" spans="2:18" ht="18">
      <c r="B3" s="16"/>
      <c r="C3" s="16"/>
      <c r="D3" s="16"/>
      <c r="E3" s="16"/>
      <c r="F3" s="16"/>
      <c r="G3" s="16"/>
      <c r="H3" s="16"/>
      <c r="I3" s="16"/>
      <c r="J3" s="16"/>
      <c r="K3" s="16"/>
      <c r="L3" s="16"/>
      <c r="M3" s="16"/>
      <c r="N3" s="16"/>
      <c r="O3" s="16"/>
    </row>
    <row r="4" spans="2:18" ht="54.75" customHeight="1" thickBot="1">
      <c r="F4" s="19"/>
      <c r="G4" s="117" t="s">
        <v>0</v>
      </c>
      <c r="H4" s="117"/>
      <c r="I4" s="117"/>
      <c r="J4" s="117"/>
    </row>
    <row r="5" spans="2:18" ht="54.75" customHeight="1">
      <c r="B5" s="25" t="s">
        <v>1</v>
      </c>
      <c r="C5" s="26" t="s">
        <v>2</v>
      </c>
      <c r="D5" s="26" t="s">
        <v>3</v>
      </c>
      <c r="E5" s="26" t="s">
        <v>4</v>
      </c>
      <c r="F5" s="26" t="s">
        <v>5</v>
      </c>
      <c r="G5" s="27" t="s">
        <v>6</v>
      </c>
      <c r="H5" s="111" t="s">
        <v>7</v>
      </c>
      <c r="I5" s="111" t="s">
        <v>8</v>
      </c>
      <c r="J5" s="111" t="s">
        <v>9</v>
      </c>
      <c r="K5" s="28" t="s">
        <v>10</v>
      </c>
      <c r="L5" s="28" t="s">
        <v>11</v>
      </c>
      <c r="M5" s="29" t="s">
        <v>12</v>
      </c>
      <c r="N5" s="29" t="s">
        <v>13</v>
      </c>
      <c r="O5" s="30" t="s">
        <v>14</v>
      </c>
      <c r="Q5" s="57" t="s">
        <v>15</v>
      </c>
      <c r="R5" s="57" t="s">
        <v>16</v>
      </c>
    </row>
    <row r="6" spans="2:18" ht="30.6">
      <c r="B6" s="31">
        <v>1</v>
      </c>
      <c r="C6" s="20" t="s">
        <v>17</v>
      </c>
      <c r="D6" s="20" t="s">
        <v>18</v>
      </c>
      <c r="E6" s="21" t="s">
        <v>19</v>
      </c>
      <c r="F6" s="21">
        <v>1</v>
      </c>
      <c r="G6" s="61" t="e">
        <f>+#REF!</f>
        <v>#REF!</v>
      </c>
      <c r="H6" s="61"/>
      <c r="I6" s="61"/>
      <c r="J6" s="61"/>
      <c r="K6" s="17" t="str">
        <f>IFERROR(IF(O6&gt;(0.15),ROUND(MEDIAN(G6:J6),0),ROUND(AVERAGE(G6:J6),0)),"")</f>
        <v/>
      </c>
      <c r="L6" s="18" t="str">
        <f t="shared" ref="L6:L21" si="0">IFERROR(K6*F6,"")</f>
        <v/>
      </c>
      <c r="M6" s="81"/>
      <c r="N6" s="17" t="str">
        <f t="shared" ref="N6:N21" si="1">IFERROR(STDEV(G6:J6),"")</f>
        <v/>
      </c>
      <c r="O6" s="32" t="str">
        <f t="shared" ref="O6:O21" si="2">IFERROR(N6/AVERAGE(G6:J6),"")</f>
        <v/>
      </c>
      <c r="Q6" s="58">
        <v>3</v>
      </c>
      <c r="R6" s="112" t="e">
        <f t="shared" ref="R6:R13" si="3">1-(MIN(G6:J6)/K6)</f>
        <v>#REF!</v>
      </c>
    </row>
    <row r="7" spans="2:18" ht="30.6">
      <c r="B7" s="31">
        <v>2</v>
      </c>
      <c r="C7" s="20" t="s">
        <v>17</v>
      </c>
      <c r="D7" s="20" t="s">
        <v>20</v>
      </c>
      <c r="E7" s="21" t="s">
        <v>19</v>
      </c>
      <c r="F7" s="21">
        <v>1</v>
      </c>
      <c r="G7" s="61" t="e">
        <f>+#REF!</f>
        <v>#REF!</v>
      </c>
      <c r="H7" s="61"/>
      <c r="I7" s="61"/>
      <c r="J7" s="61"/>
      <c r="K7" s="17" t="str">
        <f t="shared" ref="K7" si="4">IFERROR(IF(O7&gt;(0.15),ROUND(MEDIAN(G7:J7),0),ROUND(AVERAGE(G7:J7),0)),"")</f>
        <v/>
      </c>
      <c r="L7" s="18" t="str">
        <f t="shared" si="0"/>
        <v/>
      </c>
      <c r="M7" s="81"/>
      <c r="N7" s="17" t="str">
        <f t="shared" si="1"/>
        <v/>
      </c>
      <c r="O7" s="32" t="str">
        <f t="shared" si="2"/>
        <v/>
      </c>
      <c r="Q7" s="58">
        <v>3</v>
      </c>
      <c r="R7" s="112" t="e">
        <f t="shared" si="3"/>
        <v>#REF!</v>
      </c>
    </row>
    <row r="8" spans="2:18" ht="30.6">
      <c r="B8" s="31">
        <v>3</v>
      </c>
      <c r="C8" s="20" t="s">
        <v>17</v>
      </c>
      <c r="D8" s="20" t="s">
        <v>21</v>
      </c>
      <c r="E8" s="21" t="s">
        <v>19</v>
      </c>
      <c r="F8" s="21">
        <v>1</v>
      </c>
      <c r="G8" s="61" t="e">
        <f>+#REF!</f>
        <v>#REF!</v>
      </c>
      <c r="H8" s="61"/>
      <c r="I8" s="61"/>
      <c r="J8" s="61"/>
      <c r="K8" s="17" t="str">
        <f>IFERROR(IF(O8&gt;(0.15),ROUND(MEDIAN(G8:J8),0),ROUND(AVERAGE(G8:J8),0)),"")</f>
        <v/>
      </c>
      <c r="L8" s="18" t="str">
        <f t="shared" si="0"/>
        <v/>
      </c>
      <c r="M8" s="81"/>
      <c r="N8" s="17" t="str">
        <f>IFERROR(STDEV(G8:J8),"")</f>
        <v/>
      </c>
      <c r="O8" s="32" t="str">
        <f>IFERROR(N8/AVERAGE(G8:J8),"")</f>
        <v/>
      </c>
      <c r="Q8" s="58">
        <v>3</v>
      </c>
      <c r="R8" s="112" t="e">
        <f>1-(MIN(G8:J8)/K8)</f>
        <v>#REF!</v>
      </c>
    </row>
    <row r="9" spans="2:18" ht="20.45">
      <c r="B9" s="31">
        <f>+B8+1</f>
        <v>4</v>
      </c>
      <c r="C9" s="20" t="s">
        <v>17</v>
      </c>
      <c r="D9" s="20" t="s">
        <v>22</v>
      </c>
      <c r="E9" s="21" t="s">
        <v>19</v>
      </c>
      <c r="F9" s="21">
        <v>1</v>
      </c>
      <c r="G9" s="61" t="e">
        <f>+#REF!</f>
        <v>#REF!</v>
      </c>
      <c r="H9" s="61"/>
      <c r="I9" s="61"/>
      <c r="J9" s="61"/>
      <c r="K9" s="17" t="str">
        <f t="shared" ref="K9:K10" si="5">IFERROR(IF(O9&gt;(0.15),ROUND(MEDIAN(G9:J9),0),ROUND(AVERAGE(G9:J9),0)),"")</f>
        <v/>
      </c>
      <c r="L9" s="18" t="str">
        <f t="shared" si="0"/>
        <v/>
      </c>
      <c r="M9" s="81"/>
      <c r="N9" s="17" t="str">
        <f t="shared" ref="N9:N10" si="6">IFERROR(STDEV(G9:J9),"")</f>
        <v/>
      </c>
      <c r="O9" s="32" t="str">
        <f t="shared" ref="O9:O10" si="7">IFERROR(N9/AVERAGE(G9:J9),"")</f>
        <v/>
      </c>
      <c r="Q9" s="58">
        <v>3</v>
      </c>
      <c r="R9" s="112" t="e">
        <f t="shared" ref="R9:R10" si="8">1-(MIN(G9:J9)/K9)</f>
        <v>#REF!</v>
      </c>
    </row>
    <row r="10" spans="2:18" ht="20.45">
      <c r="B10" s="31">
        <f t="shared" ref="B10:B21" si="9">+B9+1</f>
        <v>5</v>
      </c>
      <c r="C10" s="20" t="s">
        <v>17</v>
      </c>
      <c r="D10" s="20" t="s">
        <v>23</v>
      </c>
      <c r="E10" s="21" t="s">
        <v>19</v>
      </c>
      <c r="F10" s="21">
        <v>1</v>
      </c>
      <c r="G10" s="61" t="e">
        <f>+#REF!</f>
        <v>#REF!</v>
      </c>
      <c r="H10" s="61"/>
      <c r="I10" s="61"/>
      <c r="J10" s="61"/>
      <c r="K10" s="17" t="str">
        <f t="shared" si="5"/>
        <v/>
      </c>
      <c r="L10" s="18" t="str">
        <f t="shared" si="0"/>
        <v/>
      </c>
      <c r="M10" s="81"/>
      <c r="N10" s="17" t="str">
        <f t="shared" si="6"/>
        <v/>
      </c>
      <c r="O10" s="32" t="str">
        <f t="shared" si="7"/>
        <v/>
      </c>
      <c r="Q10" s="58">
        <v>3</v>
      </c>
      <c r="R10" s="112" t="e">
        <f t="shared" si="8"/>
        <v>#REF!</v>
      </c>
    </row>
    <row r="11" spans="2:18" ht="20.45">
      <c r="B11" s="31">
        <f t="shared" si="9"/>
        <v>6</v>
      </c>
      <c r="C11" s="20" t="s">
        <v>24</v>
      </c>
      <c r="D11" s="20" t="s">
        <v>25</v>
      </c>
      <c r="E11" s="21" t="s">
        <v>19</v>
      </c>
      <c r="F11" s="21">
        <v>1</v>
      </c>
      <c r="G11" s="61"/>
      <c r="H11" s="61"/>
      <c r="I11" s="61"/>
      <c r="J11" s="61"/>
      <c r="K11" s="17"/>
      <c r="L11" s="18"/>
      <c r="M11" s="81"/>
      <c r="N11" s="17" t="str">
        <f>IFERROR(STDEV(G11),"")</f>
        <v/>
      </c>
      <c r="O11" s="32" t="str">
        <f t="shared" si="2"/>
        <v/>
      </c>
      <c r="Q11" s="58">
        <v>3</v>
      </c>
      <c r="R11" s="112" t="e">
        <f>1-(MIN(G11:J11)/K11)</f>
        <v>#DIV/0!</v>
      </c>
    </row>
    <row r="12" spans="2:18" ht="20.45">
      <c r="B12" s="31">
        <f t="shared" si="9"/>
        <v>7</v>
      </c>
      <c r="C12" s="20" t="s">
        <v>24</v>
      </c>
      <c r="D12" s="20" t="s">
        <v>26</v>
      </c>
      <c r="E12" s="21" t="s">
        <v>19</v>
      </c>
      <c r="F12" s="21">
        <v>1</v>
      </c>
      <c r="G12" s="61">
        <v>0</v>
      </c>
      <c r="H12" s="61">
        <v>0</v>
      </c>
      <c r="I12" s="61">
        <v>0</v>
      </c>
      <c r="J12" s="61">
        <v>0</v>
      </c>
      <c r="K12" s="17">
        <f>IFERROR(IF(O12&gt;(0.15),ROUND(MEDIAN(G12:J12),0),ROUND(AVERAGE(G12:J12),0)),"")</f>
        <v>0</v>
      </c>
      <c r="L12" s="18">
        <f t="shared" si="0"/>
        <v>0</v>
      </c>
      <c r="M12" s="81"/>
      <c r="N12" s="17">
        <f t="shared" si="1"/>
        <v>0</v>
      </c>
      <c r="O12" s="32" t="str">
        <f t="shared" si="2"/>
        <v/>
      </c>
      <c r="Q12" s="58">
        <v>3</v>
      </c>
      <c r="R12" s="112" t="e">
        <f t="shared" si="3"/>
        <v>#DIV/0!</v>
      </c>
    </row>
    <row r="13" spans="2:18" ht="20.45">
      <c r="B13" s="31">
        <f t="shared" si="9"/>
        <v>8</v>
      </c>
      <c r="C13" s="20" t="s">
        <v>24</v>
      </c>
      <c r="D13" s="20" t="s">
        <v>27</v>
      </c>
      <c r="E13" s="21" t="s">
        <v>19</v>
      </c>
      <c r="F13" s="21">
        <v>1</v>
      </c>
      <c r="G13" s="61">
        <v>8000</v>
      </c>
      <c r="H13" s="61">
        <v>5000</v>
      </c>
      <c r="I13" s="61">
        <v>6000</v>
      </c>
      <c r="J13" s="61">
        <v>7000</v>
      </c>
      <c r="K13" s="17">
        <f t="shared" ref="K13:K21" si="10">IFERROR(IF(O13&gt;(0.15),ROUND(MEDIAN(G13:J13),0),ROUND(AVERAGE(G13:J13),0)),"")</f>
        <v>6500</v>
      </c>
      <c r="L13" s="18">
        <f t="shared" si="0"/>
        <v>6500</v>
      </c>
      <c r="M13" s="81"/>
      <c r="N13" s="17">
        <f t="shared" si="1"/>
        <v>1290.9944487358057</v>
      </c>
      <c r="O13" s="32">
        <f t="shared" si="2"/>
        <v>0.19861453057473935</v>
      </c>
      <c r="Q13" s="58">
        <v>3</v>
      </c>
      <c r="R13" s="112">
        <f t="shared" si="3"/>
        <v>0.23076923076923073</v>
      </c>
    </row>
    <row r="14" spans="2:18" ht="20.45">
      <c r="B14" s="31">
        <f t="shared" si="9"/>
        <v>9</v>
      </c>
      <c r="C14" s="20" t="s">
        <v>24</v>
      </c>
      <c r="D14" s="20" t="s">
        <v>27</v>
      </c>
      <c r="E14" s="21" t="s">
        <v>19</v>
      </c>
      <c r="F14" s="21">
        <v>1</v>
      </c>
      <c r="G14" s="61">
        <v>8000</v>
      </c>
      <c r="H14" s="61">
        <v>5000</v>
      </c>
      <c r="I14" s="61">
        <v>6000</v>
      </c>
      <c r="J14" s="61">
        <v>7000</v>
      </c>
      <c r="K14" s="17">
        <f t="shared" si="10"/>
        <v>6500</v>
      </c>
      <c r="L14" s="18">
        <f t="shared" si="0"/>
        <v>6500</v>
      </c>
      <c r="M14" s="81"/>
      <c r="N14" s="17">
        <f t="shared" si="1"/>
        <v>1290.9944487358057</v>
      </c>
      <c r="O14" s="32">
        <f t="shared" si="2"/>
        <v>0.19861453057473935</v>
      </c>
      <c r="Q14" s="58">
        <v>3</v>
      </c>
      <c r="R14" s="112">
        <f t="shared" ref="R14:R21" si="11">1-(MIN(G14:J14)/K14)</f>
        <v>0.23076923076923073</v>
      </c>
    </row>
    <row r="15" spans="2:18">
      <c r="B15" s="31">
        <f t="shared" si="9"/>
        <v>10</v>
      </c>
      <c r="C15" s="20" t="s">
        <v>24</v>
      </c>
      <c r="D15" s="20" t="s">
        <v>28</v>
      </c>
      <c r="E15" s="21" t="s">
        <v>19</v>
      </c>
      <c r="F15" s="21">
        <v>1</v>
      </c>
      <c r="G15" s="61">
        <v>8000</v>
      </c>
      <c r="H15" s="61">
        <v>5000</v>
      </c>
      <c r="I15" s="61">
        <v>6000</v>
      </c>
      <c r="J15" s="61">
        <v>7000</v>
      </c>
      <c r="K15" s="17">
        <f t="shared" si="10"/>
        <v>6500</v>
      </c>
      <c r="L15" s="18">
        <f t="shared" si="0"/>
        <v>6500</v>
      </c>
      <c r="M15" s="81"/>
      <c r="N15" s="17">
        <f t="shared" si="1"/>
        <v>1290.9944487358057</v>
      </c>
      <c r="O15" s="32">
        <f t="shared" si="2"/>
        <v>0.19861453057473935</v>
      </c>
      <c r="Q15" s="58">
        <v>3</v>
      </c>
      <c r="R15" s="112">
        <f t="shared" si="11"/>
        <v>0.23076923076923073</v>
      </c>
    </row>
    <row r="16" spans="2:18">
      <c r="B16" s="31">
        <f t="shared" si="9"/>
        <v>11</v>
      </c>
      <c r="C16" s="20" t="s">
        <v>24</v>
      </c>
      <c r="D16" s="20" t="s">
        <v>29</v>
      </c>
      <c r="E16" s="21" t="s">
        <v>19</v>
      </c>
      <c r="F16" s="21">
        <v>1</v>
      </c>
      <c r="G16" s="61">
        <v>8000</v>
      </c>
      <c r="H16" s="61">
        <v>5000</v>
      </c>
      <c r="I16" s="61">
        <v>6000</v>
      </c>
      <c r="J16" s="61">
        <v>7000</v>
      </c>
      <c r="K16" s="17">
        <f t="shared" si="10"/>
        <v>6500</v>
      </c>
      <c r="L16" s="18">
        <f t="shared" si="0"/>
        <v>6500</v>
      </c>
      <c r="M16" s="81"/>
      <c r="N16" s="17">
        <f t="shared" si="1"/>
        <v>1290.9944487358057</v>
      </c>
      <c r="O16" s="32">
        <f t="shared" si="2"/>
        <v>0.19861453057473935</v>
      </c>
      <c r="Q16" s="58">
        <v>3</v>
      </c>
      <c r="R16" s="112">
        <f t="shared" si="11"/>
        <v>0.23076923076923073</v>
      </c>
    </row>
    <row r="17" spans="2:18" ht="20.45">
      <c r="B17" s="31">
        <f t="shared" si="9"/>
        <v>12</v>
      </c>
      <c r="C17" s="20" t="s">
        <v>24</v>
      </c>
      <c r="D17" s="20" t="s">
        <v>30</v>
      </c>
      <c r="E17" s="21" t="s">
        <v>19</v>
      </c>
      <c r="F17" s="21">
        <v>1</v>
      </c>
      <c r="G17" s="61">
        <v>8000</v>
      </c>
      <c r="H17" s="61">
        <v>5000</v>
      </c>
      <c r="I17" s="61">
        <v>6000</v>
      </c>
      <c r="J17" s="61">
        <v>7000</v>
      </c>
      <c r="K17" s="17">
        <f t="shared" si="10"/>
        <v>6500</v>
      </c>
      <c r="L17" s="18">
        <f t="shared" si="0"/>
        <v>6500</v>
      </c>
      <c r="M17" s="81"/>
      <c r="N17" s="17">
        <f t="shared" si="1"/>
        <v>1290.9944487358057</v>
      </c>
      <c r="O17" s="32">
        <f t="shared" si="2"/>
        <v>0.19861453057473935</v>
      </c>
      <c r="Q17" s="58">
        <v>3</v>
      </c>
      <c r="R17" s="112">
        <f t="shared" si="11"/>
        <v>0.23076923076923073</v>
      </c>
    </row>
    <row r="18" spans="2:18" ht="20.45">
      <c r="B18" s="31">
        <f t="shared" si="9"/>
        <v>13</v>
      </c>
      <c r="C18" s="20" t="s">
        <v>24</v>
      </c>
      <c r="D18" s="20" t="s">
        <v>31</v>
      </c>
      <c r="E18" s="21" t="s">
        <v>19</v>
      </c>
      <c r="F18" s="21">
        <v>1</v>
      </c>
      <c r="G18" s="61">
        <v>8000</v>
      </c>
      <c r="H18" s="61">
        <v>5000</v>
      </c>
      <c r="I18" s="61">
        <v>6000</v>
      </c>
      <c r="J18" s="61">
        <v>7000</v>
      </c>
      <c r="K18" s="17">
        <f t="shared" si="10"/>
        <v>6500</v>
      </c>
      <c r="L18" s="18">
        <f t="shared" si="0"/>
        <v>6500</v>
      </c>
      <c r="M18" s="81"/>
      <c r="N18" s="17">
        <f t="shared" si="1"/>
        <v>1290.9944487358057</v>
      </c>
      <c r="O18" s="32">
        <f t="shared" si="2"/>
        <v>0.19861453057473935</v>
      </c>
      <c r="Q18" s="58">
        <v>3</v>
      </c>
      <c r="R18" s="112">
        <f t="shared" si="11"/>
        <v>0.23076923076923073</v>
      </c>
    </row>
    <row r="19" spans="2:18" ht="20.45">
      <c r="B19" s="31">
        <f t="shared" si="9"/>
        <v>14</v>
      </c>
      <c r="C19" s="20" t="s">
        <v>24</v>
      </c>
      <c r="D19" s="20" t="s">
        <v>32</v>
      </c>
      <c r="E19" s="21" t="s">
        <v>19</v>
      </c>
      <c r="F19" s="21">
        <v>1</v>
      </c>
      <c r="G19" s="61">
        <v>8000</v>
      </c>
      <c r="H19" s="61">
        <v>5000</v>
      </c>
      <c r="I19" s="61">
        <v>6000</v>
      </c>
      <c r="J19" s="61">
        <v>7000</v>
      </c>
      <c r="K19" s="17">
        <f t="shared" si="10"/>
        <v>6500</v>
      </c>
      <c r="L19" s="18">
        <f t="shared" si="0"/>
        <v>6500</v>
      </c>
      <c r="M19" s="81"/>
      <c r="N19" s="17">
        <f t="shared" si="1"/>
        <v>1290.9944487358057</v>
      </c>
      <c r="O19" s="32">
        <f t="shared" si="2"/>
        <v>0.19861453057473935</v>
      </c>
      <c r="Q19" s="58">
        <v>3</v>
      </c>
      <c r="R19" s="112">
        <f t="shared" si="11"/>
        <v>0.23076923076923073</v>
      </c>
    </row>
    <row r="20" spans="2:18">
      <c r="B20" s="31">
        <f t="shared" si="9"/>
        <v>15</v>
      </c>
      <c r="C20" s="20" t="s">
        <v>24</v>
      </c>
      <c r="D20" s="20" t="s">
        <v>33</v>
      </c>
      <c r="E20" s="21" t="s">
        <v>19</v>
      </c>
      <c r="F20" s="21">
        <v>1</v>
      </c>
      <c r="G20" s="61">
        <v>8000</v>
      </c>
      <c r="H20" s="61">
        <v>5000</v>
      </c>
      <c r="I20" s="61">
        <v>6000</v>
      </c>
      <c r="J20" s="61">
        <v>7000</v>
      </c>
      <c r="K20" s="17">
        <f t="shared" si="10"/>
        <v>6500</v>
      </c>
      <c r="L20" s="18">
        <f t="shared" si="0"/>
        <v>6500</v>
      </c>
      <c r="M20" s="81"/>
      <c r="N20" s="17">
        <f t="shared" si="1"/>
        <v>1290.9944487358057</v>
      </c>
      <c r="O20" s="32">
        <f t="shared" si="2"/>
        <v>0.19861453057473935</v>
      </c>
      <c r="Q20" s="58">
        <v>3</v>
      </c>
      <c r="R20" s="112">
        <f t="shared" si="11"/>
        <v>0.23076923076923073</v>
      </c>
    </row>
    <row r="21" spans="2:18" ht="20.45">
      <c r="B21" s="31">
        <f t="shared" si="9"/>
        <v>16</v>
      </c>
      <c r="C21" s="20" t="s">
        <v>24</v>
      </c>
      <c r="D21" s="20" t="s">
        <v>34</v>
      </c>
      <c r="E21" s="21" t="s">
        <v>19</v>
      </c>
      <c r="F21" s="21">
        <v>1</v>
      </c>
      <c r="G21" s="61">
        <v>8000</v>
      </c>
      <c r="H21" s="61">
        <v>5000</v>
      </c>
      <c r="I21" s="61">
        <v>6000</v>
      </c>
      <c r="J21" s="61">
        <v>7000</v>
      </c>
      <c r="K21" s="17">
        <f t="shared" si="10"/>
        <v>6500</v>
      </c>
      <c r="L21" s="18">
        <f t="shared" si="0"/>
        <v>6500</v>
      </c>
      <c r="M21" s="81"/>
      <c r="N21" s="17">
        <f t="shared" si="1"/>
        <v>1290.9944487358057</v>
      </c>
      <c r="O21" s="32">
        <f t="shared" si="2"/>
        <v>0.19861453057473935</v>
      </c>
      <c r="Q21" s="58">
        <v>3</v>
      </c>
      <c r="R21" s="112">
        <f t="shared" si="11"/>
        <v>0.23076923076923073</v>
      </c>
    </row>
    <row r="22" spans="2:18" ht="15" thickBot="1">
      <c r="B22" s="79"/>
      <c r="C22" s="79"/>
      <c r="D22" s="79"/>
      <c r="E22" s="80"/>
      <c r="F22" s="22" t="s">
        <v>35</v>
      </c>
      <c r="G22" s="23" t="e">
        <f>SUMPRODUCT($F$6:$F$21,G6:G21)</f>
        <v>#REF!</v>
      </c>
      <c r="H22" s="23">
        <f t="shared" ref="H22:L22" si="12">SUMPRODUCT($F$6:$F$21,H6:H21)</f>
        <v>45000</v>
      </c>
      <c r="I22" s="23">
        <f t="shared" si="12"/>
        <v>54000</v>
      </c>
      <c r="J22" s="23">
        <f t="shared" si="12"/>
        <v>63000</v>
      </c>
      <c r="K22" s="23">
        <f t="shared" si="12"/>
        <v>58500</v>
      </c>
      <c r="L22" s="23">
        <f t="shared" si="12"/>
        <v>58500</v>
      </c>
      <c r="M22" s="19"/>
      <c r="N22" s="19"/>
    </row>
    <row r="23" spans="2:18">
      <c r="G23" s="9"/>
      <c r="H23" s="9"/>
      <c r="I23" s="9"/>
      <c r="J23" s="9"/>
      <c r="K23" s="9"/>
    </row>
    <row r="24" spans="2:18">
      <c r="I24" s="9"/>
    </row>
    <row r="25" spans="2:18">
      <c r="C25" s="62"/>
      <c r="D25" s="1"/>
      <c r="F25" s="72"/>
      <c r="G25" s="66"/>
      <c r="H25" s="66"/>
      <c r="I25" s="9"/>
    </row>
    <row r="26" spans="2:18">
      <c r="G26" s="9"/>
      <c r="H26" s="9"/>
      <c r="I26" s="9"/>
    </row>
    <row r="27" spans="2:18">
      <c r="I27" s="9"/>
    </row>
    <row r="28" spans="2:18">
      <c r="G28" s="9"/>
      <c r="H28" s="9"/>
      <c r="I28" s="9"/>
    </row>
    <row r="29" spans="2:18">
      <c r="G29" s="9"/>
      <c r="H29" s="9"/>
      <c r="I29" s="9"/>
    </row>
    <row r="30" spans="2:18">
      <c r="G30" s="9"/>
      <c r="H30" s="9"/>
      <c r="I30" s="9"/>
    </row>
    <row r="31" spans="2:18">
      <c r="G31" s="9"/>
      <c r="H31" s="9"/>
      <c r="I31" s="9"/>
    </row>
    <row r="32" spans="2:18">
      <c r="G32" s="9"/>
      <c r="H32" s="9"/>
      <c r="I32" s="9"/>
    </row>
    <row r="33" spans="7:9">
      <c r="G33" s="9"/>
      <c r="H33" s="9"/>
      <c r="I33" s="9"/>
    </row>
    <row r="34" spans="7:9">
      <c r="G34" s="9"/>
      <c r="H34" s="9"/>
      <c r="I34" s="9"/>
    </row>
    <row r="35" spans="7:9">
      <c r="G35" s="9"/>
      <c r="H35" s="9"/>
      <c r="I35" s="9"/>
    </row>
    <row r="36" spans="7:9">
      <c r="G36" s="9"/>
      <c r="H36" s="9"/>
      <c r="I36" s="9"/>
    </row>
    <row r="37" spans="7:9">
      <c r="G37" s="9"/>
      <c r="H37" s="9"/>
      <c r="I37" s="9"/>
    </row>
    <row r="38" spans="7:9">
      <c r="G38" s="9"/>
      <c r="H38" s="9"/>
      <c r="I38" s="9"/>
    </row>
    <row r="39" spans="7:9">
      <c r="G39" s="9"/>
      <c r="H39" s="9"/>
      <c r="I39" s="9"/>
    </row>
    <row r="40" spans="7:9">
      <c r="G40" s="9"/>
      <c r="H40" s="9"/>
      <c r="I40" s="9"/>
    </row>
    <row r="41" spans="7:9">
      <c r="G41" s="9"/>
      <c r="H41" s="9"/>
      <c r="I41" s="9"/>
    </row>
    <row r="42" spans="7:9">
      <c r="G42" s="9"/>
      <c r="H42" s="9"/>
      <c r="I42" s="9"/>
    </row>
    <row r="43" spans="7:9">
      <c r="I43" s="9"/>
    </row>
    <row r="44" spans="7:9">
      <c r="I44" s="9"/>
    </row>
    <row r="45" spans="7:9">
      <c r="I45" s="9"/>
    </row>
    <row r="46" spans="7:9">
      <c r="I46" s="9"/>
    </row>
    <row r="47" spans="7:9">
      <c r="I47" s="9"/>
    </row>
    <row r="48" spans="7:9">
      <c r="I48" s="9"/>
    </row>
    <row r="49" spans="9:34">
      <c r="I49" s="9"/>
    </row>
    <row r="50" spans="9:34">
      <c r="I50" s="9"/>
    </row>
    <row r="51" spans="9:34">
      <c r="I51" s="9"/>
    </row>
    <row r="52" spans="9:34">
      <c r="I52" s="9"/>
    </row>
    <row r="55" spans="9:34">
      <c r="I55" s="9"/>
      <c r="J55" s="9"/>
      <c r="K55" s="9"/>
      <c r="L55" s="9"/>
      <c r="M55" s="9"/>
      <c r="N55" s="9"/>
      <c r="O55" s="9"/>
      <c r="P55" s="9"/>
      <c r="Q55" s="9"/>
      <c r="R55" s="9"/>
      <c r="S55" s="9"/>
      <c r="T55" s="9"/>
      <c r="U55" s="9"/>
      <c r="V55" s="9"/>
      <c r="W55" s="9"/>
      <c r="X55" s="9"/>
      <c r="Y55" s="9"/>
      <c r="Z55" s="9"/>
      <c r="AA55" s="9"/>
      <c r="AB55" s="9"/>
      <c r="AC55" s="9"/>
      <c r="AD55" s="9"/>
      <c r="AE55" s="9"/>
      <c r="AF55" s="9"/>
      <c r="AG55" s="9"/>
      <c r="AH55" s="9"/>
    </row>
  </sheetData>
  <autoFilter ref="B5:Q6" xr:uid="{00000000-0009-0000-0000-000000000000}"/>
  <mergeCells count="1">
    <mergeCell ref="B2:O2"/>
  </mergeCells>
  <phoneticPr fontId="28" type="noConversion"/>
  <conditionalFormatting sqref="D5">
    <cfRule type="duplicateValues" dxfId="11" priority="258"/>
  </conditionalFormatting>
  <conditionalFormatting sqref="O6:O21">
    <cfRule type="cellIs" dxfId="10" priority="250" operator="greaterThan">
      <formula>0.15</formula>
    </cfRule>
  </conditionalFormatting>
  <pageMargins left="0.7" right="0.7" top="0.75" bottom="0.75" header="0.3" footer="0.3"/>
  <pageSetup paperSize="9" scale="3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3"/>
    <pageSetUpPr fitToPage="1"/>
  </sheetPr>
  <dimension ref="A1:P27"/>
  <sheetViews>
    <sheetView showGridLines="0" topLeftCell="A11" zoomScaleNormal="100" workbookViewId="0">
      <selection activeCell="F6" sqref="F6"/>
    </sheetView>
  </sheetViews>
  <sheetFormatPr defaultColWidth="0" defaultRowHeight="15" customHeight="1"/>
  <cols>
    <col min="1" max="1" width="9" customWidth="1"/>
    <col min="2" max="2" width="5" customWidth="1"/>
    <col min="3" max="3" width="21.5703125" customWidth="1"/>
    <col min="4" max="4" width="36.5703125" customWidth="1"/>
    <col min="5" max="5" width="10.7109375" bestFit="1" customWidth="1"/>
    <col min="6" max="6" width="10.42578125" customWidth="1"/>
    <col min="7" max="7" width="15" bestFit="1" customWidth="1"/>
    <col min="8" max="8" width="14.140625" bestFit="1" customWidth="1"/>
    <col min="9" max="9" width="9.7109375" customWidth="1"/>
    <col min="10" max="10" width="11" customWidth="1"/>
    <col min="11" max="11" width="16.28515625" customWidth="1"/>
    <col min="12" max="12" width="11.42578125" customWidth="1"/>
    <col min="13" max="16" width="0" hidden="1" customWidth="1"/>
    <col min="17" max="16384" width="11.42578125" hidden="1"/>
  </cols>
  <sheetData>
    <row r="1" spans="1:11" ht="15" customHeight="1">
      <c r="A1" s="217"/>
      <c r="B1" s="217"/>
      <c r="C1" s="217"/>
      <c r="D1" s="217"/>
      <c r="E1" s="217"/>
      <c r="F1" s="217"/>
      <c r="G1" s="217"/>
      <c r="H1" s="217"/>
      <c r="I1" s="217"/>
      <c r="J1" s="217"/>
      <c r="K1" s="217"/>
    </row>
    <row r="2" spans="1:11" ht="15" customHeight="1">
      <c r="A2" s="217"/>
      <c r="B2" s="217"/>
      <c r="C2" s="217"/>
      <c r="D2" s="217"/>
      <c r="E2" s="217"/>
      <c r="F2" s="217"/>
      <c r="G2" s="217"/>
      <c r="H2" s="217"/>
      <c r="I2" s="217"/>
      <c r="J2" s="217"/>
      <c r="K2" s="217"/>
    </row>
    <row r="3" spans="1:11" ht="18">
      <c r="A3" s="217"/>
      <c r="B3" s="611" t="s">
        <v>36</v>
      </c>
      <c r="C3" s="611"/>
      <c r="D3" s="611"/>
      <c r="E3" s="611"/>
      <c r="F3" s="611"/>
      <c r="G3" s="611"/>
      <c r="H3" s="611"/>
      <c r="I3" s="611"/>
      <c r="J3" s="116"/>
      <c r="K3" s="116"/>
    </row>
    <row r="4" spans="1:11" ht="28.9" customHeight="1" thickBot="1">
      <c r="A4" s="217"/>
      <c r="B4" s="612" t="s">
        <v>37</v>
      </c>
      <c r="C4" s="612"/>
      <c r="D4" s="612"/>
      <c r="E4" s="612"/>
      <c r="F4" s="612"/>
      <c r="G4" s="612"/>
      <c r="H4" s="612"/>
      <c r="I4" s="612"/>
      <c r="J4" s="218"/>
      <c r="K4" s="218"/>
    </row>
    <row r="5" spans="1:11" ht="50.25" customHeight="1" thickBot="1">
      <c r="A5" s="217"/>
      <c r="B5" s="241" t="s">
        <v>1</v>
      </c>
      <c r="C5" s="244" t="s">
        <v>2</v>
      </c>
      <c r="D5" s="219" t="s">
        <v>3</v>
      </c>
      <c r="E5" s="219" t="s">
        <v>4</v>
      </c>
      <c r="F5" s="220" t="s">
        <v>5</v>
      </c>
      <c r="G5" s="221" t="s">
        <v>38</v>
      </c>
      <c r="H5" s="221" t="s">
        <v>38</v>
      </c>
      <c r="I5" s="222"/>
      <c r="J5" s="223"/>
      <c r="K5" s="223"/>
    </row>
    <row r="6" spans="1:11" ht="28.9">
      <c r="A6" s="217"/>
      <c r="B6" s="234">
        <v>1</v>
      </c>
      <c r="C6" s="235" t="s">
        <v>39</v>
      </c>
      <c r="D6" s="235" t="s">
        <v>25</v>
      </c>
      <c r="E6" s="235" t="s">
        <v>19</v>
      </c>
      <c r="F6" s="235">
        <v>1</v>
      </c>
      <c r="G6" s="242">
        <f>+CosteoIndividual!L11</f>
        <v>0</v>
      </c>
      <c r="H6" s="243">
        <f>+F6*G6</f>
        <v>0</v>
      </c>
      <c r="I6" s="224"/>
      <c r="J6" s="225"/>
      <c r="K6" s="225"/>
    </row>
    <row r="7" spans="1:11" ht="28.9">
      <c r="A7" s="217"/>
      <c r="B7" s="226">
        <f>+B6+1</f>
        <v>2</v>
      </c>
      <c r="C7" s="227" t="s">
        <v>40</v>
      </c>
      <c r="D7" s="227" t="s">
        <v>26</v>
      </c>
      <c r="E7" s="227" t="s">
        <v>19</v>
      </c>
      <c r="F7" s="227">
        <v>2</v>
      </c>
      <c r="G7" s="237">
        <f>+CosteoIndividual!L12</f>
        <v>0</v>
      </c>
      <c r="H7" s="238">
        <f>+F7*G7</f>
        <v>0</v>
      </c>
      <c r="I7" s="224"/>
      <c r="J7" s="225"/>
      <c r="K7" s="225"/>
    </row>
    <row r="8" spans="1:11" ht="43.15">
      <c r="A8" s="217"/>
      <c r="B8" s="226">
        <f>+B7+1</f>
        <v>3</v>
      </c>
      <c r="C8" s="227" t="s">
        <v>41</v>
      </c>
      <c r="D8" s="227" t="s">
        <v>27</v>
      </c>
      <c r="E8" s="227" t="s">
        <v>19</v>
      </c>
      <c r="F8" s="227">
        <v>6</v>
      </c>
      <c r="G8" s="237">
        <f>+CosteoIndividual!L13</f>
        <v>6500</v>
      </c>
      <c r="H8" s="238">
        <f t="shared" ref="H8:H16" si="0">+F8*G8</f>
        <v>39000</v>
      </c>
      <c r="I8" s="224"/>
      <c r="J8" s="225"/>
      <c r="K8" s="225"/>
    </row>
    <row r="9" spans="1:11" ht="57.75" customHeight="1">
      <c r="A9" s="217"/>
      <c r="B9" s="226">
        <v>4</v>
      </c>
      <c r="C9" s="227" t="s">
        <v>41</v>
      </c>
      <c r="D9" s="227" t="s">
        <v>27</v>
      </c>
      <c r="E9" s="227" t="s">
        <v>19</v>
      </c>
      <c r="F9" s="227">
        <v>4</v>
      </c>
      <c r="G9" s="237">
        <f>+CosteoIndividual!L14</f>
        <v>6500</v>
      </c>
      <c r="H9" s="238">
        <f t="shared" si="0"/>
        <v>26000</v>
      </c>
      <c r="I9" s="224"/>
      <c r="J9" s="225"/>
      <c r="K9" s="225"/>
    </row>
    <row r="10" spans="1:11" ht="97.5" customHeight="1">
      <c r="A10" s="217"/>
      <c r="B10" s="226">
        <f>+B9+1</f>
        <v>5</v>
      </c>
      <c r="C10" s="227" t="s">
        <v>42</v>
      </c>
      <c r="D10" s="227" t="s">
        <v>28</v>
      </c>
      <c r="E10" s="227" t="s">
        <v>19</v>
      </c>
      <c r="F10" s="227">
        <v>6</v>
      </c>
      <c r="G10" s="237">
        <f>+CosteoIndividual!L15</f>
        <v>6500</v>
      </c>
      <c r="H10" s="238">
        <f t="shared" si="0"/>
        <v>39000</v>
      </c>
      <c r="I10" s="224"/>
      <c r="J10" s="225"/>
      <c r="K10" s="225"/>
    </row>
    <row r="11" spans="1:11" ht="82.5" customHeight="1">
      <c r="A11" s="217"/>
      <c r="B11" s="226">
        <f t="shared" ref="B11:B16" si="1">+B10+1</f>
        <v>6</v>
      </c>
      <c r="C11" s="227" t="s">
        <v>43</v>
      </c>
      <c r="D11" s="227" t="s">
        <v>29</v>
      </c>
      <c r="E11" s="227" t="s">
        <v>19</v>
      </c>
      <c r="F11" s="227">
        <v>1</v>
      </c>
      <c r="G11" s="237">
        <f>+CosteoIndividual!L16</f>
        <v>6500</v>
      </c>
      <c r="H11" s="238">
        <f t="shared" si="0"/>
        <v>6500</v>
      </c>
      <c r="I11" s="224"/>
      <c r="J11" s="225"/>
      <c r="K11" s="225"/>
    </row>
    <row r="12" spans="1:11" ht="71.25" customHeight="1">
      <c r="A12" s="217"/>
      <c r="B12" s="226">
        <f t="shared" si="1"/>
        <v>7</v>
      </c>
      <c r="C12" s="227" t="s">
        <v>44</v>
      </c>
      <c r="D12" s="227" t="s">
        <v>30</v>
      </c>
      <c r="E12" s="227" t="s">
        <v>19</v>
      </c>
      <c r="F12" s="227">
        <v>2</v>
      </c>
      <c r="G12" s="237">
        <f>+CosteoIndividual!L17</f>
        <v>6500</v>
      </c>
      <c r="H12" s="238">
        <f t="shared" si="0"/>
        <v>13000</v>
      </c>
      <c r="I12" s="224"/>
      <c r="J12" s="225"/>
      <c r="K12" s="225"/>
    </row>
    <row r="13" spans="1:11" ht="75" customHeight="1">
      <c r="A13" s="217"/>
      <c r="B13" s="226">
        <f t="shared" si="1"/>
        <v>8</v>
      </c>
      <c r="C13" s="227" t="s">
        <v>45</v>
      </c>
      <c r="D13" s="227" t="s">
        <v>31</v>
      </c>
      <c r="E13" s="227" t="s">
        <v>19</v>
      </c>
      <c r="F13" s="227">
        <v>2</v>
      </c>
      <c r="G13" s="237">
        <f>+CosteoIndividual!L18</f>
        <v>6500</v>
      </c>
      <c r="H13" s="238">
        <f t="shared" si="0"/>
        <v>13000</v>
      </c>
      <c r="I13" s="224"/>
      <c r="J13" s="225"/>
      <c r="K13" s="225"/>
    </row>
    <row r="14" spans="1:11" ht="67.5" customHeight="1">
      <c r="A14" s="217"/>
      <c r="B14" s="226">
        <f t="shared" si="1"/>
        <v>9</v>
      </c>
      <c r="C14" s="227" t="s">
        <v>46</v>
      </c>
      <c r="D14" s="227" t="s">
        <v>32</v>
      </c>
      <c r="E14" s="227" t="s">
        <v>19</v>
      </c>
      <c r="F14" s="227">
        <v>2</v>
      </c>
      <c r="G14" s="237">
        <f>+CosteoIndividual!L19</f>
        <v>6500</v>
      </c>
      <c r="H14" s="238">
        <f t="shared" si="0"/>
        <v>13000</v>
      </c>
      <c r="I14" s="224"/>
      <c r="J14" s="225"/>
      <c r="K14" s="225"/>
    </row>
    <row r="15" spans="1:11" ht="70.5" customHeight="1">
      <c r="A15" s="217"/>
      <c r="B15" s="226">
        <f t="shared" si="1"/>
        <v>10</v>
      </c>
      <c r="C15" s="227" t="s">
        <v>47</v>
      </c>
      <c r="D15" s="227" t="s">
        <v>33</v>
      </c>
      <c r="E15" s="227" t="s">
        <v>19</v>
      </c>
      <c r="F15" s="227">
        <v>2</v>
      </c>
      <c r="G15" s="237">
        <f>+CosteoIndividual!L20</f>
        <v>6500</v>
      </c>
      <c r="H15" s="238">
        <f t="shared" si="0"/>
        <v>13000</v>
      </c>
      <c r="I15" s="224"/>
      <c r="J15" s="225"/>
      <c r="K15" s="225"/>
    </row>
    <row r="16" spans="1:11" ht="84" customHeight="1" thickBot="1">
      <c r="A16" s="217"/>
      <c r="B16" s="236">
        <f t="shared" si="1"/>
        <v>11</v>
      </c>
      <c r="C16" s="228" t="s">
        <v>48</v>
      </c>
      <c r="D16" s="228" t="s">
        <v>34</v>
      </c>
      <c r="E16" s="228" t="s">
        <v>19</v>
      </c>
      <c r="F16" s="228">
        <v>3</v>
      </c>
      <c r="G16" s="239">
        <f>+CosteoIndividual!L21</f>
        <v>6500</v>
      </c>
      <c r="H16" s="240">
        <f t="shared" si="0"/>
        <v>19500</v>
      </c>
      <c r="I16" s="224"/>
      <c r="J16" s="225"/>
      <c r="K16" s="225"/>
    </row>
    <row r="17" spans="1:11" thickBot="1">
      <c r="A17" s="217"/>
      <c r="B17" s="217"/>
      <c r="C17" s="217"/>
      <c r="D17" s="217"/>
      <c r="E17" s="217"/>
      <c r="F17" s="217"/>
      <c r="G17" s="229">
        <f>SUM(G6:G16)</f>
        <v>58500</v>
      </c>
      <c r="H17" s="229">
        <f>SUM(H6:H16)</f>
        <v>182000</v>
      </c>
      <c r="I17" s="224"/>
      <c r="J17" s="230"/>
      <c r="K17" s="231"/>
    </row>
    <row r="18" spans="1:11" ht="14.45">
      <c r="A18" s="217"/>
      <c r="B18" s="217"/>
      <c r="C18" s="217"/>
      <c r="D18" s="217"/>
      <c r="E18" s="217"/>
      <c r="F18" s="217"/>
      <c r="G18" s="232"/>
      <c r="H18" s="232"/>
      <c r="I18" s="232"/>
      <c r="J18" s="217"/>
      <c r="K18" s="232"/>
    </row>
    <row r="19" spans="1:11" ht="14.45">
      <c r="A19" s="217"/>
      <c r="B19" s="217"/>
      <c r="C19" s="217"/>
      <c r="D19" s="217"/>
      <c r="E19" s="217"/>
      <c r="F19" s="217"/>
      <c r="G19" s="232"/>
      <c r="H19" s="232"/>
      <c r="I19" s="232"/>
      <c r="J19" s="217"/>
      <c r="K19" s="232"/>
    </row>
    <row r="20" spans="1:11" ht="14.45">
      <c r="A20" s="217"/>
      <c r="B20" s="217"/>
      <c r="C20" s="217"/>
      <c r="D20" s="217"/>
      <c r="E20" s="217"/>
      <c r="F20" s="217"/>
      <c r="G20" s="217"/>
      <c r="H20" s="217"/>
      <c r="I20" s="217"/>
      <c r="J20" s="233"/>
      <c r="K20" s="233"/>
    </row>
    <row r="21" spans="1:11" ht="14.45">
      <c r="A21" s="217"/>
      <c r="B21" s="217"/>
      <c r="C21" s="217"/>
      <c r="D21" s="217"/>
      <c r="E21" s="217"/>
      <c r="F21" s="217"/>
      <c r="G21" s="217"/>
      <c r="H21" s="217"/>
      <c r="I21" s="217"/>
      <c r="J21" s="217"/>
      <c r="K21" s="217"/>
    </row>
    <row r="22" spans="1:11" ht="14.45">
      <c r="A22" s="217"/>
      <c r="B22" s="217"/>
      <c r="C22" s="217"/>
      <c r="D22" s="217"/>
      <c r="E22" s="217"/>
      <c r="F22" s="217"/>
      <c r="G22" s="217"/>
      <c r="H22" s="217"/>
      <c r="I22" s="217"/>
      <c r="J22" s="217"/>
      <c r="K22" s="217"/>
    </row>
    <row r="23" spans="1:11" ht="14.45">
      <c r="A23" s="217"/>
      <c r="B23" s="217"/>
      <c r="C23" s="217"/>
      <c r="D23" s="217"/>
      <c r="E23" s="217"/>
      <c r="F23" s="217"/>
      <c r="G23" s="217"/>
      <c r="H23" s="217"/>
      <c r="I23" s="217"/>
      <c r="J23" s="217"/>
      <c r="K23" s="217"/>
    </row>
    <row r="24" spans="1:11" ht="15" customHeight="1" thickBot="1"/>
    <row r="25" spans="1:11" ht="15" customHeight="1">
      <c r="G25" s="599" t="s">
        <v>49</v>
      </c>
      <c r="H25" s="602"/>
      <c r="I25" s="603"/>
      <c r="J25" s="604"/>
    </row>
    <row r="26" spans="1:11" ht="15" customHeight="1">
      <c r="G26" s="600"/>
      <c r="H26" s="605"/>
      <c r="I26" s="606"/>
      <c r="J26" s="607"/>
    </row>
    <row r="27" spans="1:11" ht="15" customHeight="1" thickBot="1">
      <c r="G27" s="601"/>
      <c r="H27" s="608"/>
      <c r="I27" s="609"/>
      <c r="J27" s="610"/>
    </row>
  </sheetData>
  <mergeCells count="6">
    <mergeCell ref="G25:G27"/>
    <mergeCell ref="H25:J25"/>
    <mergeCell ref="H26:J26"/>
    <mergeCell ref="H27:J27"/>
    <mergeCell ref="B3:I3"/>
    <mergeCell ref="B4:I4"/>
  </mergeCells>
  <phoneticPr fontId="28" type="noConversion"/>
  <pageMargins left="0.7" right="0.7" top="0.75" bottom="0.75" header="0.3" footer="0.3"/>
  <pageSetup paperSize="9" scale="36"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ADEFB-1636-4512-92CF-0B37D2282DA4}">
  <sheetPr>
    <tabColor rgb="FF00B050"/>
    <pageSetUpPr fitToPage="1"/>
  </sheetPr>
  <dimension ref="A2:L37"/>
  <sheetViews>
    <sheetView showGridLines="0" zoomScale="85" zoomScaleNormal="85" workbookViewId="0">
      <selection activeCell="I19" sqref="I19"/>
    </sheetView>
  </sheetViews>
  <sheetFormatPr defaultColWidth="11.5703125" defaultRowHeight="15" customHeight="1"/>
  <cols>
    <col min="1" max="1" width="2.28515625" style="245" customWidth="1"/>
    <col min="2" max="2" width="19.5703125" style="245" customWidth="1"/>
    <col min="3" max="3" width="18.7109375" style="245" customWidth="1"/>
    <col min="4" max="4" width="14.85546875" style="245" customWidth="1"/>
    <col min="5" max="5" width="34.7109375" style="246" customWidth="1"/>
    <col min="6" max="6" width="18.42578125" style="246" hidden="1" customWidth="1"/>
    <col min="7" max="7" width="19.140625" style="246" customWidth="1"/>
    <col min="8" max="8" width="18" style="249" customWidth="1"/>
    <col min="9" max="9" width="18.140625" style="245" customWidth="1"/>
    <col min="10" max="10" width="22.7109375" style="245" customWidth="1"/>
    <col min="11" max="11" width="30.140625" style="245" customWidth="1"/>
    <col min="12" max="12" width="17.7109375" style="245" customWidth="1"/>
    <col min="13" max="15" width="11.5703125" style="245" customWidth="1"/>
    <col min="16" max="16384" width="11.5703125" style="245"/>
  </cols>
  <sheetData>
    <row r="2" spans="1:12" ht="36" customHeight="1">
      <c r="B2" s="556" t="s">
        <v>50</v>
      </c>
      <c r="C2" s="556" t="s">
        <v>51</v>
      </c>
      <c r="D2" s="557" t="s">
        <v>52</v>
      </c>
      <c r="E2" s="557" t="s">
        <v>53</v>
      </c>
      <c r="F2" s="557" t="s">
        <v>54</v>
      </c>
      <c r="G2" s="557" t="s">
        <v>55</v>
      </c>
      <c r="H2" s="558" t="s">
        <v>56</v>
      </c>
      <c r="I2" s="559" t="s">
        <v>57</v>
      </c>
    </row>
    <row r="3" spans="1:12" ht="42" customHeight="1">
      <c r="B3" s="613" t="s">
        <v>58</v>
      </c>
      <c r="C3" s="615" t="s">
        <v>59</v>
      </c>
      <c r="D3" s="560">
        <v>2</v>
      </c>
      <c r="E3" s="555" t="s">
        <v>60</v>
      </c>
      <c r="F3" s="552">
        <v>1</v>
      </c>
      <c r="G3" s="553">
        <f>+'ProyecciónResolución2026 (2)'!M14</f>
        <v>18008701</v>
      </c>
      <c r="H3" s="553">
        <f>ROUND('ProyecciónResolución2026 (2)'!$M$14*RESUMEN!D3,0)</f>
        <v>36017402</v>
      </c>
      <c r="I3" s="554">
        <f>ROUND(H3*F3,0)</f>
        <v>36017402</v>
      </c>
      <c r="K3" s="295"/>
    </row>
    <row r="4" spans="1:12" ht="42" customHeight="1">
      <c r="B4" s="614"/>
      <c r="C4" s="615"/>
      <c r="D4" s="561">
        <v>1</v>
      </c>
      <c r="E4" s="555" t="s">
        <v>61</v>
      </c>
      <c r="F4" s="552">
        <v>1</v>
      </c>
      <c r="G4" s="553">
        <f>+'ProyecciónResolución2026 (2)'!M15</f>
        <v>18342195</v>
      </c>
      <c r="H4" s="553">
        <f>ROUND('ProyecciónResolución2026 (2)'!$M$15*RESUMEN!D4,0)</f>
        <v>18342195</v>
      </c>
      <c r="I4" s="554">
        <f t="shared" ref="I4:I5" si="0">ROUND(H4*F4,0)</f>
        <v>18342195</v>
      </c>
      <c r="K4" s="303"/>
    </row>
    <row r="5" spans="1:12" ht="41.25" customHeight="1" thickBot="1">
      <c r="B5" s="614"/>
      <c r="C5" s="567" t="s">
        <v>62</v>
      </c>
      <c r="D5" s="568">
        <v>1</v>
      </c>
      <c r="E5" s="569" t="s">
        <v>61</v>
      </c>
      <c r="F5" s="575">
        <v>1</v>
      </c>
      <c r="G5" s="553">
        <f>+'ProyecciónResolución2026 (2)'!M15</f>
        <v>18342195</v>
      </c>
      <c r="H5" s="570">
        <f>ROUND('ProyecciónResolución2026 (2)'!$M$15*RESUMEN!D5,0)</f>
        <v>18342195</v>
      </c>
      <c r="I5" s="554">
        <f t="shared" si="0"/>
        <v>18342195</v>
      </c>
      <c r="K5" s="295"/>
    </row>
    <row r="6" spans="1:12" ht="22.9" customHeight="1" thickBot="1">
      <c r="B6" s="571" t="s">
        <v>63</v>
      </c>
      <c r="C6" s="572"/>
      <c r="D6" s="572"/>
      <c r="E6" s="572"/>
      <c r="F6" s="572"/>
      <c r="G6" s="572"/>
      <c r="H6" s="574">
        <f>+SUM(H3:H5)</f>
        <v>72701792</v>
      </c>
      <c r="I6" s="573">
        <f>+SUM(I3:I5)</f>
        <v>72701792</v>
      </c>
      <c r="J6" s="301"/>
      <c r="K6" s="301"/>
    </row>
    <row r="7" spans="1:12" ht="6" customHeight="1" thickBot="1">
      <c r="A7" s="301"/>
      <c r="B7" s="301"/>
      <c r="C7" s="301"/>
      <c r="D7" s="301"/>
      <c r="E7" s="301"/>
      <c r="F7" s="577"/>
      <c r="G7" s="577"/>
      <c r="H7" s="301"/>
      <c r="I7" s="301"/>
      <c r="J7" s="301"/>
      <c r="K7" s="301"/>
    </row>
    <row r="8" spans="1:12" ht="22.9" customHeight="1" thickBot="1">
      <c r="B8" s="571" t="s">
        <v>64</v>
      </c>
      <c r="C8" s="572"/>
      <c r="D8" s="572"/>
      <c r="E8" s="572"/>
      <c r="F8" s="572"/>
      <c r="G8" s="572"/>
      <c r="H8" s="574">
        <f>+'COMPONENTES LOGIS Y TECN'!AC18</f>
        <v>6087249</v>
      </c>
      <c r="I8" s="573">
        <f>+'COMPONENTES LOGIS Y TECN'!AC18</f>
        <v>6087249</v>
      </c>
      <c r="K8" s="301"/>
      <c r="L8" s="301"/>
    </row>
    <row r="9" spans="1:12" ht="8.4499999999999993" customHeight="1" thickBot="1">
      <c r="E9" s="245"/>
      <c r="F9" s="566"/>
      <c r="G9" s="566"/>
      <c r="H9" s="245"/>
      <c r="K9" s="301"/>
      <c r="L9" s="301"/>
    </row>
    <row r="10" spans="1:12" ht="22.9" customHeight="1" thickBot="1">
      <c r="B10" s="571" t="s">
        <v>65</v>
      </c>
      <c r="C10" s="572"/>
      <c r="D10" s="572"/>
      <c r="E10" s="572"/>
      <c r="F10" s="576"/>
      <c r="G10" s="576"/>
      <c r="H10" s="574">
        <f>+H6+H8</f>
        <v>78789041</v>
      </c>
      <c r="I10" s="573">
        <f>+I6+I8</f>
        <v>78789041</v>
      </c>
      <c r="J10" s="303"/>
      <c r="K10" s="301"/>
    </row>
    <row r="11" spans="1:12" ht="15" customHeight="1">
      <c r="J11" s="248"/>
    </row>
    <row r="12" spans="1:12" ht="20.25" customHeight="1">
      <c r="J12" s="247"/>
    </row>
    <row r="13" spans="1:12" ht="15" customHeight="1">
      <c r="J13" s="247"/>
    </row>
    <row r="15" spans="1:12" ht="15" customHeight="1">
      <c r="E15" s="245"/>
      <c r="F15" s="566"/>
      <c r="G15" s="566"/>
      <c r="H15" s="245"/>
    </row>
    <row r="16" spans="1:12" ht="15" customHeight="1">
      <c r="E16" s="245"/>
      <c r="F16" s="566"/>
      <c r="G16" s="566"/>
      <c r="H16" s="245"/>
    </row>
    <row r="17" spans="5:10" ht="15" customHeight="1">
      <c r="E17" s="250"/>
      <c r="F17" s="250"/>
      <c r="G17" s="250"/>
    </row>
    <row r="18" spans="5:10" ht="15" customHeight="1">
      <c r="E18" s="250"/>
      <c r="F18" s="250"/>
      <c r="G18" s="250"/>
    </row>
    <row r="24" spans="5:10" ht="15" hidden="1" customHeight="1">
      <c r="E24" s="251">
        <v>45657</v>
      </c>
      <c r="F24" s="251"/>
      <c r="G24" s="251"/>
      <c r="J24" s="252"/>
    </row>
    <row r="25" spans="5:10" ht="15" hidden="1" customHeight="1">
      <c r="E25" s="251">
        <v>45658</v>
      </c>
      <c r="F25" s="251"/>
      <c r="G25" s="251"/>
      <c r="J25" s="252"/>
    </row>
    <row r="26" spans="5:10" ht="15" customHeight="1">
      <c r="E26" s="563"/>
      <c r="F26" s="563"/>
      <c r="G26" s="563"/>
      <c r="J26" s="252"/>
    </row>
    <row r="27" spans="5:10" ht="15" customHeight="1">
      <c r="E27" s="563"/>
      <c r="F27" s="563"/>
      <c r="G27" s="563"/>
      <c r="I27" s="252"/>
      <c r="J27" s="252"/>
    </row>
    <row r="28" spans="5:10" ht="15" customHeight="1">
      <c r="E28" s="563"/>
      <c r="F28" s="563"/>
      <c r="G28" s="563"/>
    </row>
    <row r="29" spans="5:10" ht="15" customHeight="1">
      <c r="E29" s="563"/>
      <c r="F29" s="563"/>
      <c r="G29" s="563"/>
    </row>
    <row r="30" spans="5:10" ht="15" customHeight="1">
      <c r="E30" s="564"/>
      <c r="F30" s="564"/>
      <c r="G30" s="564"/>
    </row>
    <row r="31" spans="5:10" ht="15" customHeight="1">
      <c r="E31" s="564"/>
      <c r="F31" s="564"/>
      <c r="G31" s="564"/>
    </row>
    <row r="32" spans="5:10" ht="15" customHeight="1">
      <c r="E32" s="564"/>
      <c r="F32" s="564"/>
      <c r="G32" s="564"/>
    </row>
    <row r="33" spans="5:7" ht="15" customHeight="1">
      <c r="E33" s="564"/>
      <c r="F33" s="564"/>
      <c r="G33" s="564"/>
    </row>
    <row r="34" spans="5:7" ht="15" customHeight="1">
      <c r="E34" s="564"/>
      <c r="F34" s="564"/>
      <c r="G34" s="564"/>
    </row>
    <row r="35" spans="5:7" ht="15" customHeight="1">
      <c r="E35" s="564"/>
      <c r="F35" s="564"/>
      <c r="G35" s="564"/>
    </row>
    <row r="36" spans="5:7" ht="15" customHeight="1">
      <c r="E36" s="564"/>
      <c r="F36" s="564"/>
      <c r="G36" s="564"/>
    </row>
    <row r="37" spans="5:7" ht="15" customHeight="1">
      <c r="E37" s="564"/>
      <c r="F37" s="564"/>
      <c r="G37" s="564"/>
    </row>
  </sheetData>
  <mergeCells count="2">
    <mergeCell ref="B3:B5"/>
    <mergeCell ref="C3:C4"/>
  </mergeCells>
  <pageMargins left="0.7" right="0.7" top="0.75" bottom="0.75" header="0.3" footer="0.3"/>
  <pageSetup paperSize="9" scale="9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51568-F260-4AA4-8476-FCA4585A7CFC}">
  <sheetPr>
    <tabColor rgb="FF92D050"/>
    <pageSetUpPr fitToPage="1"/>
  </sheetPr>
  <dimension ref="A1:J34"/>
  <sheetViews>
    <sheetView showGridLines="0" zoomScale="85" zoomScaleNormal="85" workbookViewId="0">
      <selection activeCell="D11" sqref="D11"/>
    </sheetView>
  </sheetViews>
  <sheetFormatPr defaultColWidth="11.5703125" defaultRowHeight="15" customHeight="1"/>
  <cols>
    <col min="1" max="1" width="2.28515625" style="245" customWidth="1"/>
    <col min="2" max="2" width="23" style="245" customWidth="1"/>
    <col min="3" max="3" width="14.85546875" style="245" customWidth="1"/>
    <col min="4" max="4" width="38.42578125" style="246" customWidth="1"/>
    <col min="5" max="5" width="18.5703125" style="246" customWidth="1"/>
    <col min="6" max="6" width="18.5703125" style="249" customWidth="1"/>
    <col min="7" max="7" width="19.5703125" style="245" customWidth="1"/>
    <col min="8" max="8" width="22.7109375" style="245" customWidth="1"/>
    <col min="9" max="9" width="30.140625" style="245" customWidth="1"/>
    <col min="10" max="10" width="17.7109375" style="245" customWidth="1"/>
    <col min="11" max="13" width="11.5703125" style="245" customWidth="1"/>
    <col min="14" max="16384" width="11.5703125" style="245"/>
  </cols>
  <sheetData>
    <row r="1" spans="2:9" ht="15" customHeight="1" thickBot="1"/>
    <row r="2" spans="2:9" ht="28.9" customHeight="1">
      <c r="B2" s="616" t="s">
        <v>58</v>
      </c>
      <c r="C2" s="617"/>
      <c r="D2" s="617"/>
      <c r="E2" s="617"/>
      <c r="F2" s="617"/>
      <c r="G2" s="618"/>
    </row>
    <row r="3" spans="2:9" ht="28.9" customHeight="1">
      <c r="B3" s="619" t="s">
        <v>66</v>
      </c>
      <c r="C3" s="620"/>
      <c r="D3" s="620"/>
      <c r="E3" s="620"/>
      <c r="F3" s="620"/>
      <c r="G3" s="621"/>
    </row>
    <row r="4" spans="2:9" ht="28.9" customHeight="1">
      <c r="B4" s="556" t="s">
        <v>51</v>
      </c>
      <c r="C4" s="557" t="s">
        <v>52</v>
      </c>
      <c r="D4" s="557" t="s">
        <v>53</v>
      </c>
      <c r="E4" s="557" t="s">
        <v>55</v>
      </c>
      <c r="F4" s="558" t="s">
        <v>67</v>
      </c>
      <c r="G4" s="559" t="s">
        <v>68</v>
      </c>
    </row>
    <row r="5" spans="2:9" ht="42" customHeight="1">
      <c r="B5" s="622" t="s">
        <v>59</v>
      </c>
      <c r="C5" s="560">
        <v>2</v>
      </c>
      <c r="D5" s="555" t="s">
        <v>60</v>
      </c>
      <c r="E5" s="553">
        <f>+'ProyecciónResolución2026 (2)'!M14</f>
        <v>18008701</v>
      </c>
      <c r="F5" s="553">
        <f>ROUND('ProyecciónResolución2026 (2)'!$M$14*'RECURSO HUMANO 2026'!C5,0)</f>
        <v>36017402</v>
      </c>
      <c r="G5" s="554">
        <f t="shared" ref="G5:G7" si="0">ROUND(SUM(F5:F5),0)</f>
        <v>36017402</v>
      </c>
      <c r="I5" s="295"/>
    </row>
    <row r="6" spans="2:9" ht="42" customHeight="1">
      <c r="B6" s="622"/>
      <c r="C6" s="561">
        <v>1</v>
      </c>
      <c r="D6" s="555" t="s">
        <v>61</v>
      </c>
      <c r="E6" s="553">
        <f>+'ProyecciónResolución2026 (2)'!M15</f>
        <v>18342195</v>
      </c>
      <c r="F6" s="553">
        <f>ROUND('ProyecciónResolución2026 (2)'!$M$15*'RECURSO HUMANO 2026'!C6,0)</f>
        <v>18342195</v>
      </c>
      <c r="G6" s="554">
        <f t="shared" si="0"/>
        <v>18342195</v>
      </c>
      <c r="I6" s="303"/>
    </row>
    <row r="7" spans="2:9" ht="41.25" customHeight="1">
      <c r="B7" s="551" t="s">
        <v>62</v>
      </c>
      <c r="C7" s="561">
        <v>1</v>
      </c>
      <c r="D7" s="555" t="s">
        <v>61</v>
      </c>
      <c r="E7" s="553">
        <f>+'ProyecciónResolución2026 (2)'!M15</f>
        <v>18342195</v>
      </c>
      <c r="F7" s="553">
        <f>ROUND('ProyecciónResolución2026 (2)'!$M$15*'RECURSO HUMANO 2026'!C7,0)</f>
        <v>18342195</v>
      </c>
      <c r="G7" s="554">
        <f t="shared" si="0"/>
        <v>18342195</v>
      </c>
      <c r="I7" s="295"/>
    </row>
    <row r="8" spans="2:9" ht="22.9" customHeight="1">
      <c r="B8" s="623" t="s">
        <v>69</v>
      </c>
      <c r="C8" s="624"/>
      <c r="D8" s="624"/>
      <c r="E8" s="565"/>
      <c r="F8" s="580">
        <f>+SUM(F5:F7)</f>
        <v>72701792</v>
      </c>
      <c r="G8" s="562">
        <f>+SUM(G5:G7)</f>
        <v>72701792</v>
      </c>
      <c r="H8" s="301"/>
      <c r="I8" s="301"/>
    </row>
    <row r="9" spans="2:9" ht="20.25" customHeight="1">
      <c r="G9" s="247"/>
      <c r="H9" s="247"/>
    </row>
    <row r="10" spans="2:9" ht="15" customHeight="1">
      <c r="G10" s="247"/>
      <c r="H10" s="247"/>
    </row>
    <row r="12" spans="2:9" ht="15" customHeight="1">
      <c r="D12" s="245"/>
      <c r="E12" s="245"/>
      <c r="F12" s="245"/>
    </row>
    <row r="13" spans="2:9" ht="15" customHeight="1">
      <c r="D13" s="245"/>
      <c r="E13" s="245"/>
      <c r="F13" s="245"/>
    </row>
    <row r="14" spans="2:9" ht="15" customHeight="1">
      <c r="D14" s="250"/>
      <c r="E14" s="250"/>
    </row>
    <row r="15" spans="2:9" ht="15" customHeight="1">
      <c r="D15" s="250"/>
      <c r="E15" s="250"/>
    </row>
    <row r="21" spans="1:10" ht="15" hidden="1" customHeight="1">
      <c r="D21" s="251">
        <v>45657</v>
      </c>
      <c r="E21" s="251"/>
      <c r="H21" s="252"/>
    </row>
    <row r="22" spans="1:10" ht="15" hidden="1" customHeight="1">
      <c r="D22" s="251">
        <v>45658</v>
      </c>
      <c r="E22" s="251"/>
      <c r="H22" s="252"/>
    </row>
    <row r="23" spans="1:10" ht="15" customHeight="1">
      <c r="D23" s="563"/>
      <c r="E23" s="563"/>
      <c r="H23" s="252"/>
    </row>
    <row r="24" spans="1:10" ht="15" customHeight="1">
      <c r="D24" s="563"/>
      <c r="E24" s="563"/>
      <c r="G24" s="252"/>
      <c r="H24" s="252"/>
    </row>
    <row r="25" spans="1:10" ht="15" customHeight="1">
      <c r="D25" s="563"/>
      <c r="E25" s="563"/>
    </row>
    <row r="26" spans="1:10" ht="15" customHeight="1">
      <c r="D26" s="563"/>
      <c r="E26" s="563"/>
    </row>
    <row r="27" spans="1:10" ht="15" customHeight="1">
      <c r="D27" s="564"/>
      <c r="E27" s="564"/>
    </row>
    <row r="28" spans="1:10" ht="15" customHeight="1">
      <c r="D28" s="564"/>
      <c r="E28" s="564"/>
    </row>
    <row r="29" spans="1:10" s="249" customFormat="1" ht="15" customHeight="1">
      <c r="A29" s="245"/>
      <c r="B29" s="245"/>
      <c r="C29" s="245"/>
      <c r="D29" s="564"/>
      <c r="E29" s="564"/>
      <c r="G29" s="245"/>
      <c r="H29" s="245"/>
      <c r="I29" s="245"/>
      <c r="J29" s="245"/>
    </row>
    <row r="30" spans="1:10" s="249" customFormat="1" ht="15" customHeight="1">
      <c r="A30" s="245"/>
      <c r="B30" s="245"/>
      <c r="C30" s="245"/>
      <c r="D30" s="564"/>
      <c r="E30" s="564"/>
      <c r="G30" s="245"/>
      <c r="H30" s="245"/>
      <c r="I30" s="245"/>
      <c r="J30" s="245"/>
    </row>
    <row r="31" spans="1:10" s="249" customFormat="1" ht="15" customHeight="1">
      <c r="A31" s="245"/>
      <c r="B31" s="245"/>
      <c r="C31" s="245"/>
      <c r="D31" s="564"/>
      <c r="E31" s="564"/>
      <c r="G31" s="245"/>
      <c r="H31" s="245"/>
      <c r="I31" s="245"/>
      <c r="J31" s="245"/>
    </row>
    <row r="32" spans="1:10" s="249" customFormat="1" ht="15" customHeight="1">
      <c r="A32" s="245"/>
      <c r="B32" s="245"/>
      <c r="C32" s="245"/>
      <c r="D32" s="564"/>
      <c r="E32" s="564"/>
      <c r="G32" s="245"/>
      <c r="H32" s="245"/>
      <c r="I32" s="245"/>
      <c r="J32" s="245"/>
    </row>
    <row r="33" spans="1:10" s="249" customFormat="1" ht="15" customHeight="1">
      <c r="A33" s="245"/>
      <c r="B33" s="245"/>
      <c r="C33" s="245"/>
      <c r="D33" s="564"/>
      <c r="E33" s="564"/>
      <c r="G33" s="245"/>
      <c r="H33" s="245"/>
      <c r="I33" s="245"/>
      <c r="J33" s="245"/>
    </row>
    <row r="34" spans="1:10" s="249" customFormat="1" ht="15" customHeight="1">
      <c r="A34" s="245"/>
      <c r="B34" s="245"/>
      <c r="C34" s="245"/>
      <c r="D34" s="564"/>
      <c r="E34" s="564"/>
      <c r="G34" s="245"/>
      <c r="H34" s="245"/>
      <c r="I34" s="245"/>
      <c r="J34" s="245"/>
    </row>
  </sheetData>
  <mergeCells count="4">
    <mergeCell ref="B2:G2"/>
    <mergeCell ref="B3:G3"/>
    <mergeCell ref="B5:B6"/>
    <mergeCell ref="B8:D8"/>
  </mergeCells>
  <pageMargins left="0.7" right="0.7" top="0.75" bottom="0.75" header="0.3" footer="0.3"/>
  <pageSetup paperSize="9" scale="9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92D050"/>
  </sheetPr>
  <dimension ref="A1:AD20"/>
  <sheetViews>
    <sheetView showGridLines="0" tabSelected="1" zoomScale="60" zoomScaleNormal="60" workbookViewId="0">
      <selection activeCell="D5" sqref="D5"/>
    </sheetView>
  </sheetViews>
  <sheetFormatPr defaultColWidth="11.42578125" defaultRowHeight="105" customHeight="1"/>
  <cols>
    <col min="1" max="1" width="2.28515625" style="297" customWidth="1"/>
    <col min="2" max="2" width="8.7109375" style="299" customWidth="1"/>
    <col min="3" max="3" width="35.140625" style="299" customWidth="1"/>
    <col min="4" max="4" width="62.5703125" style="297" customWidth="1"/>
    <col min="5" max="5" width="10.85546875" style="511" customWidth="1"/>
    <col min="6" max="6" width="12.7109375" style="298" customWidth="1"/>
    <col min="7" max="7" width="13.7109375" style="300" customWidth="1"/>
    <col min="8" max="8" width="7.28515625" style="300" customWidth="1"/>
    <col min="9" max="29" width="19.5703125" style="506" customWidth="1"/>
    <col min="30" max="30" width="19.5703125" style="297" customWidth="1"/>
    <col min="31" max="16384" width="11.42578125" style="297"/>
  </cols>
  <sheetData>
    <row r="1" spans="1:30" ht="93.6" customHeight="1">
      <c r="B1" s="595"/>
      <c r="C1" s="596"/>
      <c r="D1" s="596"/>
      <c r="E1" s="597" t="s">
        <v>70</v>
      </c>
      <c r="F1" s="597"/>
      <c r="G1" s="597"/>
      <c r="H1" s="597"/>
      <c r="I1" s="597"/>
      <c r="J1" s="597"/>
      <c r="K1" s="597"/>
      <c r="L1" s="597"/>
    </row>
    <row r="2" spans="1:30" ht="46.15" customHeight="1">
      <c r="B2" s="589" t="s">
        <v>71</v>
      </c>
      <c r="C2" s="590"/>
      <c r="D2" s="590"/>
      <c r="E2" s="590"/>
      <c r="F2" s="590"/>
      <c r="G2" s="590"/>
      <c r="H2" s="590"/>
      <c r="I2" s="590"/>
      <c r="J2" s="590"/>
      <c r="K2" s="590"/>
      <c r="L2" s="591"/>
    </row>
    <row r="3" spans="1:30" ht="69.599999999999994" customHeight="1">
      <c r="B3" s="592" t="s">
        <v>72</v>
      </c>
      <c r="C3" s="593"/>
      <c r="D3" s="593"/>
      <c r="E3" s="593"/>
      <c r="F3" s="593"/>
      <c r="G3" s="593"/>
      <c r="H3" s="593"/>
      <c r="I3" s="593"/>
      <c r="J3" s="593"/>
      <c r="K3" s="593"/>
      <c r="L3" s="594"/>
      <c r="AD3" s="506"/>
    </row>
    <row r="4" spans="1:30" ht="14.45" customHeight="1" thickBot="1">
      <c r="B4" s="514"/>
      <c r="C4" s="514"/>
      <c r="D4" s="514"/>
      <c r="E4" s="514"/>
      <c r="F4" s="514"/>
      <c r="G4" s="514"/>
      <c r="H4" s="514"/>
      <c r="I4" s="514"/>
      <c r="J4" s="514"/>
      <c r="K4" s="514"/>
      <c r="L4" s="514"/>
      <c r="AD4" s="506"/>
    </row>
    <row r="5" spans="1:30" s="298" customFormat="1" ht="57.6" customHeight="1" thickBot="1">
      <c r="A5" s="297"/>
      <c r="B5" s="544"/>
      <c r="C5" s="545"/>
      <c r="D5" s="546"/>
      <c r="E5" s="545"/>
      <c r="F5" s="545"/>
      <c r="G5" s="545"/>
      <c r="H5" s="547"/>
      <c r="I5" s="583" t="s">
        <v>73</v>
      </c>
      <c r="J5" s="583"/>
      <c r="K5" s="583"/>
      <c r="L5" s="583" t="s">
        <v>74</v>
      </c>
      <c r="M5" s="583"/>
      <c r="N5" s="583"/>
      <c r="O5" s="583" t="s">
        <v>75</v>
      </c>
      <c r="P5" s="583"/>
      <c r="Q5" s="583"/>
      <c r="R5" s="583" t="s">
        <v>76</v>
      </c>
      <c r="S5" s="583"/>
      <c r="T5" s="583"/>
      <c r="U5" s="583" t="s">
        <v>77</v>
      </c>
      <c r="V5" s="583"/>
      <c r="W5" s="583"/>
      <c r="X5" s="583" t="s">
        <v>78</v>
      </c>
      <c r="Y5" s="583"/>
      <c r="Z5" s="583"/>
      <c r="AA5" s="582" t="s">
        <v>79</v>
      </c>
      <c r="AB5" s="582"/>
      <c r="AC5" s="582"/>
    </row>
    <row r="6" spans="1:30" s="298" customFormat="1" ht="48" customHeight="1">
      <c r="A6" s="297"/>
      <c r="B6" s="540" t="s">
        <v>80</v>
      </c>
      <c r="C6" s="540" t="s">
        <v>81</v>
      </c>
      <c r="D6" s="540" t="s">
        <v>82</v>
      </c>
      <c r="E6" s="541" t="s">
        <v>83</v>
      </c>
      <c r="F6" s="542" t="s">
        <v>84</v>
      </c>
      <c r="G6" s="542" t="s">
        <v>85</v>
      </c>
      <c r="H6" s="543" t="s">
        <v>86</v>
      </c>
      <c r="I6" s="515" t="s">
        <v>87</v>
      </c>
      <c r="J6" s="515" t="s">
        <v>88</v>
      </c>
      <c r="K6" s="515" t="s">
        <v>89</v>
      </c>
      <c r="L6" s="515" t="s">
        <v>87</v>
      </c>
      <c r="M6" s="515" t="s">
        <v>88</v>
      </c>
      <c r="N6" s="515" t="s">
        <v>89</v>
      </c>
      <c r="O6" s="515" t="s">
        <v>87</v>
      </c>
      <c r="P6" s="515" t="s">
        <v>88</v>
      </c>
      <c r="Q6" s="515" t="s">
        <v>89</v>
      </c>
      <c r="R6" s="515" t="s">
        <v>87</v>
      </c>
      <c r="S6" s="515" t="s">
        <v>88</v>
      </c>
      <c r="T6" s="515" t="s">
        <v>89</v>
      </c>
      <c r="U6" s="515" t="s">
        <v>87</v>
      </c>
      <c r="V6" s="515" t="s">
        <v>88</v>
      </c>
      <c r="W6" s="515" t="s">
        <v>89</v>
      </c>
      <c r="X6" s="515" t="s">
        <v>87</v>
      </c>
      <c r="Y6" s="515" t="s">
        <v>88</v>
      </c>
      <c r="Z6" s="515" t="s">
        <v>89</v>
      </c>
      <c r="AA6" s="515" t="s">
        <v>87</v>
      </c>
      <c r="AB6" s="515" t="s">
        <v>88</v>
      </c>
      <c r="AC6" s="515" t="s">
        <v>89</v>
      </c>
    </row>
    <row r="7" spans="1:30" ht="27.6" customHeight="1">
      <c r="B7" s="584" t="s">
        <v>90</v>
      </c>
      <c r="C7" s="585"/>
      <c r="D7" s="585"/>
      <c r="E7" s="585"/>
      <c r="F7" s="585"/>
      <c r="G7" s="585"/>
      <c r="H7" s="524"/>
      <c r="I7" s="525"/>
      <c r="J7" s="525"/>
      <c r="K7" s="525"/>
      <c r="L7" s="525"/>
      <c r="M7" s="525"/>
      <c r="N7" s="525"/>
      <c r="O7" s="525"/>
      <c r="P7" s="525"/>
      <c r="Q7" s="525"/>
      <c r="R7" s="525"/>
      <c r="S7" s="525"/>
      <c r="T7" s="525"/>
      <c r="U7" s="525"/>
      <c r="V7" s="525"/>
      <c r="W7" s="525"/>
      <c r="X7" s="525"/>
      <c r="Y7" s="525"/>
      <c r="Z7" s="526"/>
      <c r="AA7" s="526"/>
      <c r="AB7" s="526"/>
      <c r="AC7" s="526"/>
    </row>
    <row r="8" spans="1:30" ht="73.150000000000006" customHeight="1">
      <c r="B8" s="516">
        <v>1</v>
      </c>
      <c r="C8" s="517" t="s">
        <v>91</v>
      </c>
      <c r="D8" s="518" t="s">
        <v>92</v>
      </c>
      <c r="E8" s="519">
        <v>1</v>
      </c>
      <c r="F8" s="520" t="s">
        <v>93</v>
      </c>
      <c r="G8" s="581">
        <v>119</v>
      </c>
      <c r="H8" s="521">
        <v>0.19</v>
      </c>
      <c r="I8" s="522">
        <f>+'COT 1'!G5</f>
        <v>20000</v>
      </c>
      <c r="J8" s="523">
        <f>ROUND(I8*(1+$H8),0)</f>
        <v>23800</v>
      </c>
      <c r="K8" s="523">
        <f>J8*$G8*$E8</f>
        <v>2832200</v>
      </c>
      <c r="L8" s="523">
        <f>+'COT 2'!G5</f>
        <v>54166.666666666664</v>
      </c>
      <c r="M8" s="523">
        <f>ROUND(L8*(1+$H8),0)</f>
        <v>64458</v>
      </c>
      <c r="N8" s="523">
        <f>M8*$G8*$E8</f>
        <v>7670502</v>
      </c>
      <c r="O8" s="522">
        <f>+'COT 3'!G5</f>
        <v>29042</v>
      </c>
      <c r="P8" s="523">
        <f>ROUND(O8*(1+$H8),0)</f>
        <v>34560</v>
      </c>
      <c r="Q8" s="523">
        <f>P8*$G8*$E8</f>
        <v>4112640</v>
      </c>
      <c r="R8" s="522">
        <f>+'COT 4'!G5</f>
        <v>40000</v>
      </c>
      <c r="S8" s="523">
        <f>ROUND(R8*(1+$H8),0)</f>
        <v>47600</v>
      </c>
      <c r="T8" s="523">
        <f>S8*$G8*$E8</f>
        <v>5664400</v>
      </c>
      <c r="U8" s="522">
        <f>+'COT 5'!G5</f>
        <v>20000</v>
      </c>
      <c r="V8" s="523">
        <f>ROUND(U8*(1+$H8),0)</f>
        <v>23800</v>
      </c>
      <c r="W8" s="523">
        <f>V8*$G8*$E8</f>
        <v>2832200</v>
      </c>
      <c r="X8" s="522">
        <f>+'COT 6'!G5</f>
        <v>180000</v>
      </c>
      <c r="Y8" s="523">
        <f>ROUND(X8*(1+$H8),0)</f>
        <v>214200</v>
      </c>
      <c r="Z8" s="523">
        <f>Y8*$G8*$E8</f>
        <v>25489800</v>
      </c>
      <c r="AA8" s="523" cm="1">
        <f t="array" ref="AA8">ROUND(+GEOMEAN(SMALL((I8,L8,O8,R8,U8,X8),{1;2;3;4})),0)</f>
        <v>26109</v>
      </c>
      <c r="AB8" s="523">
        <f>ROUND(AA8*(1+$H8),0)</f>
        <v>31070</v>
      </c>
      <c r="AC8" s="523">
        <f>AB8*$G8*$E8</f>
        <v>3697330</v>
      </c>
      <c r="AD8" s="513"/>
    </row>
    <row r="9" spans="1:30" ht="73.150000000000006" customHeight="1">
      <c r="B9" s="498">
        <v>2</v>
      </c>
      <c r="C9" s="502" t="s">
        <v>94</v>
      </c>
      <c r="D9" s="512" t="s">
        <v>95</v>
      </c>
      <c r="E9" s="510">
        <v>1</v>
      </c>
      <c r="F9" s="500" t="s">
        <v>93</v>
      </c>
      <c r="G9" s="501">
        <v>6</v>
      </c>
      <c r="H9" s="505">
        <v>0.19</v>
      </c>
      <c r="I9" s="507">
        <f>+'COT 1'!G6</f>
        <v>35000</v>
      </c>
      <c r="J9" s="508">
        <f>ROUND(I9*(1+$H9),0)</f>
        <v>41650</v>
      </c>
      <c r="K9" s="508">
        <f t="shared" ref="K9:K17" si="0">J9*$G9*$E9</f>
        <v>249900</v>
      </c>
      <c r="L9" s="508">
        <f>+'COT 2'!G6</f>
        <v>5833.333333333333</v>
      </c>
      <c r="M9" s="508">
        <f>ROUND(L9*(1+$H9),0)</f>
        <v>6942</v>
      </c>
      <c r="N9" s="508">
        <f t="shared" ref="N9:N17" si="1">M9*$G9*$E9</f>
        <v>41652</v>
      </c>
      <c r="O9" s="507">
        <f>+'COT 3'!G6</f>
        <v>28000</v>
      </c>
      <c r="P9" s="508">
        <f>ROUND(O9*(1+$H9),0)</f>
        <v>33320</v>
      </c>
      <c r="Q9" s="508">
        <f t="shared" ref="Q9:Q17" si="2">P9*$G9*$E9</f>
        <v>199920</v>
      </c>
      <c r="R9" s="507">
        <f>+'COT 4'!G6</f>
        <v>20000</v>
      </c>
      <c r="S9" s="508">
        <f>ROUND(R9*(1+$H9),0)</f>
        <v>23800</v>
      </c>
      <c r="T9" s="508">
        <f t="shared" ref="T9:T17" si="3">S9*$G9*$E9</f>
        <v>142800</v>
      </c>
      <c r="U9" s="507">
        <f>+'COT 5'!G6</f>
        <v>35000</v>
      </c>
      <c r="V9" s="508">
        <f>ROUND(U9*(1+$H9),0)</f>
        <v>41650</v>
      </c>
      <c r="W9" s="508">
        <f t="shared" ref="W9:W17" si="4">V9*$G9*$E9</f>
        <v>249900</v>
      </c>
      <c r="X9" s="507">
        <f>+'COT 6'!G6</f>
        <v>230000</v>
      </c>
      <c r="Y9" s="508">
        <f>ROUND(X9*(1+$H9),0)</f>
        <v>273700</v>
      </c>
      <c r="Z9" s="508">
        <f t="shared" ref="Z9:Z17" si="5">Y9*$G9*$E9</f>
        <v>1642200</v>
      </c>
      <c r="AA9" s="523" cm="1">
        <f t="array" ref="AA9">ROUND(+GEOMEAN(SMALL((I9,L9,O9,R9,U9,X9),{1;2;3;4})),0)</f>
        <v>18388</v>
      </c>
      <c r="AB9" s="508">
        <f>ROUND(AA9*(1+$H9),0)</f>
        <v>21882</v>
      </c>
      <c r="AC9" s="508">
        <f t="shared" ref="AC9:AC17" si="6">AB9*$G9*$E9</f>
        <v>131292</v>
      </c>
    </row>
    <row r="10" spans="1:30" ht="73.150000000000006" customHeight="1">
      <c r="B10" s="498">
        <v>3</v>
      </c>
      <c r="C10" s="502" t="s">
        <v>96</v>
      </c>
      <c r="D10" s="512" t="s">
        <v>97</v>
      </c>
      <c r="E10" s="510">
        <v>1</v>
      </c>
      <c r="F10" s="500" t="s">
        <v>93</v>
      </c>
      <c r="G10" s="501">
        <v>5</v>
      </c>
      <c r="H10" s="505">
        <v>0.19</v>
      </c>
      <c r="I10" s="507">
        <f>+'COT 1'!G7</f>
        <v>125000</v>
      </c>
      <c r="J10" s="508">
        <f>ROUND(I10*(1+$H10),0)</f>
        <v>148750</v>
      </c>
      <c r="K10" s="508">
        <f t="shared" si="0"/>
        <v>743750</v>
      </c>
      <c r="L10" s="508">
        <f>+'COT 2'!G7</f>
        <v>50000</v>
      </c>
      <c r="M10" s="508">
        <f>ROUND(L10*(1+$H10),0)</f>
        <v>59500</v>
      </c>
      <c r="N10" s="508">
        <f t="shared" si="1"/>
        <v>297500</v>
      </c>
      <c r="O10" s="507">
        <f>+'COT 3'!G7</f>
        <v>100800</v>
      </c>
      <c r="P10" s="508">
        <f>ROUND(O10*(1+$H10),0)</f>
        <v>119952</v>
      </c>
      <c r="Q10" s="508">
        <f t="shared" si="2"/>
        <v>599760</v>
      </c>
      <c r="R10" s="507">
        <f>+'COT 4'!G7</f>
        <v>40000</v>
      </c>
      <c r="S10" s="508">
        <f>ROUND(R10*(1+$H10),0)</f>
        <v>47600</v>
      </c>
      <c r="T10" s="508">
        <f t="shared" si="3"/>
        <v>238000</v>
      </c>
      <c r="U10" s="507">
        <f>+'COT 5'!G7</f>
        <v>125000</v>
      </c>
      <c r="V10" s="508">
        <f>ROUND(U10*(1+$H10),0)</f>
        <v>148750</v>
      </c>
      <c r="W10" s="508">
        <f t="shared" si="4"/>
        <v>743750</v>
      </c>
      <c r="X10" s="507">
        <f>+'COT 6'!G7</f>
        <v>420000</v>
      </c>
      <c r="Y10" s="508">
        <f>ROUND(X10*(1+$H10),0)</f>
        <v>499800</v>
      </c>
      <c r="Z10" s="508">
        <f t="shared" si="5"/>
        <v>2499000</v>
      </c>
      <c r="AA10" s="523" cm="1">
        <f t="array" ref="AA10">ROUND(+GEOMEAN(SMALL((I10,L10,O10,R10,U10,X10),{1;2;3;4})),0)</f>
        <v>70852</v>
      </c>
      <c r="AB10" s="508">
        <f>ROUND(AA10*(1+$H10),0)</f>
        <v>84314</v>
      </c>
      <c r="AC10" s="508">
        <f t="shared" si="6"/>
        <v>421570</v>
      </c>
    </row>
    <row r="11" spans="1:30" ht="73.150000000000006" customHeight="1">
      <c r="B11" s="498">
        <v>4</v>
      </c>
      <c r="C11" s="502" t="s">
        <v>98</v>
      </c>
      <c r="D11" s="512" t="s">
        <v>99</v>
      </c>
      <c r="E11" s="510">
        <v>1</v>
      </c>
      <c r="F11" s="500" t="s">
        <v>93</v>
      </c>
      <c r="G11" s="501">
        <v>2</v>
      </c>
      <c r="H11" s="505">
        <v>0.19</v>
      </c>
      <c r="I11" s="507">
        <f>+'COT 1'!G8</f>
        <v>66000</v>
      </c>
      <c r="J11" s="508">
        <f>ROUND(I11*(1+$H11),0)</f>
        <v>78540</v>
      </c>
      <c r="K11" s="508">
        <f t="shared" si="0"/>
        <v>157080</v>
      </c>
      <c r="L11" s="508">
        <f>+'COT 2'!G8</f>
        <v>41666.666666666664</v>
      </c>
      <c r="M11" s="508">
        <f>ROUND(L11*(1+$H11),0)</f>
        <v>49583</v>
      </c>
      <c r="N11" s="508">
        <f t="shared" si="1"/>
        <v>99166</v>
      </c>
      <c r="O11" s="507">
        <f>+'COT 3'!G8</f>
        <v>56000</v>
      </c>
      <c r="P11" s="508">
        <f>ROUND(O11*(1+$H11),0)</f>
        <v>66640</v>
      </c>
      <c r="Q11" s="508">
        <f t="shared" si="2"/>
        <v>133280</v>
      </c>
      <c r="R11" s="507">
        <f>+'COT 4'!G8</f>
        <v>45000</v>
      </c>
      <c r="S11" s="508">
        <f>ROUND(R11*(1+$H11),0)</f>
        <v>53550</v>
      </c>
      <c r="T11" s="508">
        <f t="shared" si="3"/>
        <v>107100</v>
      </c>
      <c r="U11" s="507">
        <f>+'COT 5'!G8</f>
        <v>66000</v>
      </c>
      <c r="V11" s="508">
        <f>ROUND(U11*(1+$H11),0)</f>
        <v>78540</v>
      </c>
      <c r="W11" s="508">
        <f t="shared" si="4"/>
        <v>157080</v>
      </c>
      <c r="X11" s="507">
        <f>+'COT 6'!G8</f>
        <v>890750</v>
      </c>
      <c r="Y11" s="508">
        <f>ROUND(X11*(1+$H11),0)</f>
        <v>1059993</v>
      </c>
      <c r="Z11" s="508">
        <f t="shared" si="5"/>
        <v>2119986</v>
      </c>
      <c r="AA11" s="523" cm="1">
        <f t="array" ref="AA11">ROUND(+GEOMEAN(SMALL((I11,L11,O11,R11,U11,X11),{1;2;3;4})),0)</f>
        <v>51308</v>
      </c>
      <c r="AB11" s="508">
        <f>ROUND(AA11*(1+$H11),0)</f>
        <v>61057</v>
      </c>
      <c r="AC11" s="508">
        <f t="shared" si="6"/>
        <v>122114</v>
      </c>
    </row>
    <row r="12" spans="1:30" ht="73.150000000000006" customHeight="1">
      <c r="B12" s="527">
        <v>5</v>
      </c>
      <c r="C12" s="528" t="s">
        <v>100</v>
      </c>
      <c r="D12" s="529" t="s">
        <v>101</v>
      </c>
      <c r="E12" s="530">
        <v>1</v>
      </c>
      <c r="F12" s="531" t="s">
        <v>93</v>
      </c>
      <c r="G12" s="532">
        <v>7</v>
      </c>
      <c r="H12" s="533">
        <v>0.19</v>
      </c>
      <c r="I12" s="534">
        <f>+'COT 1'!G9</f>
        <v>38000</v>
      </c>
      <c r="J12" s="535">
        <f>ROUND(I12*(1+$H12),0)</f>
        <v>45220</v>
      </c>
      <c r="K12" s="535">
        <f t="shared" si="0"/>
        <v>316540</v>
      </c>
      <c r="L12" s="535">
        <f>+'COT 2'!G9</f>
        <v>208333.33333333334</v>
      </c>
      <c r="M12" s="535">
        <f>ROUND(L12*(1+$H12),0)</f>
        <v>247917</v>
      </c>
      <c r="N12" s="535">
        <f t="shared" si="1"/>
        <v>1735419</v>
      </c>
      <c r="O12" s="534">
        <f>+'COT 3'!G9</f>
        <v>52267</v>
      </c>
      <c r="P12" s="535">
        <f>ROUND(O12*(1+$H12),0)</f>
        <v>62198</v>
      </c>
      <c r="Q12" s="535">
        <f t="shared" si="2"/>
        <v>435386</v>
      </c>
      <c r="R12" s="534">
        <f>+'COT 4'!G9</f>
        <v>40000</v>
      </c>
      <c r="S12" s="535">
        <f>ROUND(R12*(1+$H12),0)</f>
        <v>47600</v>
      </c>
      <c r="T12" s="535">
        <f t="shared" si="3"/>
        <v>333200</v>
      </c>
      <c r="U12" s="534">
        <f>+'COT 5'!G9</f>
        <v>38000</v>
      </c>
      <c r="V12" s="535">
        <f>ROUND(U12*(1+$H12),0)</f>
        <v>45220</v>
      </c>
      <c r="W12" s="535">
        <f t="shared" si="4"/>
        <v>316540</v>
      </c>
      <c r="X12" s="534">
        <f>+'COT 6'!G9</f>
        <v>470000</v>
      </c>
      <c r="Y12" s="535">
        <f>ROUND(X12*(1+$H12),0)</f>
        <v>559300</v>
      </c>
      <c r="Z12" s="535">
        <f t="shared" si="5"/>
        <v>3915100</v>
      </c>
      <c r="AA12" s="523" cm="1">
        <f t="array" ref="AA12">ROUND(+GEOMEAN(SMALL((I12,L12,O12,R12,U12,X12),{1;2;3;4})),0)</f>
        <v>41683</v>
      </c>
      <c r="AB12" s="535">
        <f>ROUND(AA12*(1+$H12),0)</f>
        <v>49603</v>
      </c>
      <c r="AC12" s="535">
        <f t="shared" si="6"/>
        <v>347221</v>
      </c>
    </row>
    <row r="13" spans="1:30" ht="27.6" customHeight="1">
      <c r="B13" s="548" t="s">
        <v>102</v>
      </c>
      <c r="C13" s="549"/>
      <c r="D13" s="550"/>
      <c r="E13" s="549"/>
      <c r="F13" s="549"/>
      <c r="G13" s="549"/>
      <c r="H13" s="549"/>
      <c r="I13" s="549"/>
      <c r="J13" s="549"/>
      <c r="K13" s="549"/>
      <c r="L13" s="549"/>
      <c r="M13" s="549"/>
      <c r="N13" s="549"/>
      <c r="O13" s="549"/>
      <c r="P13" s="549"/>
      <c r="Q13" s="549"/>
      <c r="R13" s="549"/>
      <c r="S13" s="549"/>
      <c r="T13" s="549"/>
      <c r="U13" s="549"/>
      <c r="V13" s="549"/>
      <c r="W13" s="549"/>
      <c r="X13" s="549"/>
      <c r="Y13" s="549"/>
      <c r="Z13" s="549"/>
      <c r="AA13" s="549"/>
      <c r="AB13" s="549"/>
      <c r="AC13" s="549"/>
    </row>
    <row r="14" spans="1:30" ht="73.150000000000006" customHeight="1">
      <c r="B14" s="536">
        <v>6</v>
      </c>
      <c r="C14" s="537" t="s">
        <v>103</v>
      </c>
      <c r="D14" s="518" t="s">
        <v>104</v>
      </c>
      <c r="E14" s="519">
        <v>1</v>
      </c>
      <c r="F14" s="520" t="s">
        <v>93</v>
      </c>
      <c r="G14" s="538">
        <v>2</v>
      </c>
      <c r="H14" s="539">
        <v>0.19</v>
      </c>
      <c r="I14" s="522">
        <f>+'COT 1'!G16</f>
        <v>530000</v>
      </c>
      <c r="J14" s="523">
        <f>ROUND(I14*(1+$H14),0)</f>
        <v>630700</v>
      </c>
      <c r="K14" s="523">
        <f t="shared" si="0"/>
        <v>1261400</v>
      </c>
      <c r="L14" s="523">
        <f>+'COT 2'!G16</f>
        <v>166666.66666666666</v>
      </c>
      <c r="M14" s="523">
        <f>ROUND(L14*(1+$H14),0)</f>
        <v>198333</v>
      </c>
      <c r="N14" s="523">
        <f t="shared" si="1"/>
        <v>396666</v>
      </c>
      <c r="O14" s="522">
        <f>+'COT 3'!G16</f>
        <v>448000</v>
      </c>
      <c r="P14" s="523">
        <f>ROUND(O14*(1+$H14),0)</f>
        <v>533120</v>
      </c>
      <c r="Q14" s="523">
        <f t="shared" si="2"/>
        <v>1066240</v>
      </c>
      <c r="R14" s="522">
        <f>+'COT 4'!G16</f>
        <v>420000</v>
      </c>
      <c r="S14" s="523">
        <f>ROUND(R14*(1+$H14),0)</f>
        <v>499800</v>
      </c>
      <c r="T14" s="523">
        <f t="shared" si="3"/>
        <v>999600</v>
      </c>
      <c r="U14" s="522">
        <f>+'COT 5'!G16</f>
        <v>530000</v>
      </c>
      <c r="V14" s="523">
        <f>ROUND(U14*(1+$H14),0)</f>
        <v>630700</v>
      </c>
      <c r="W14" s="523">
        <f t="shared" si="4"/>
        <v>1261400</v>
      </c>
      <c r="X14" s="522">
        <f>+'COT 6'!G16</f>
        <v>650450</v>
      </c>
      <c r="Y14" s="523">
        <f>ROUND(X14*(1+$H14),0)</f>
        <v>774036</v>
      </c>
      <c r="Z14" s="523">
        <f t="shared" si="5"/>
        <v>1548072</v>
      </c>
      <c r="AA14" s="523" cm="1">
        <f t="array" ref="AA14">ROUND(+GEOMEAN(SMALL((I14,L14,O14,R14,U14,X14),{1;2;3;4})),0)</f>
        <v>359057</v>
      </c>
      <c r="AB14" s="523">
        <f>ROUND(AA14*(1+$H14),0)</f>
        <v>427278</v>
      </c>
      <c r="AC14" s="523">
        <f t="shared" si="6"/>
        <v>854556</v>
      </c>
    </row>
    <row r="15" spans="1:30" ht="73.150000000000006" customHeight="1">
      <c r="B15" s="498">
        <v>7</v>
      </c>
      <c r="C15" s="499" t="s">
        <v>105</v>
      </c>
      <c r="D15" s="512" t="s">
        <v>106</v>
      </c>
      <c r="E15" s="510">
        <v>1</v>
      </c>
      <c r="F15" s="500" t="s">
        <v>93</v>
      </c>
      <c r="G15" s="501">
        <v>2</v>
      </c>
      <c r="H15" s="505">
        <v>0.19</v>
      </c>
      <c r="I15" s="507">
        <f>+'COT 1'!G17</f>
        <v>105000</v>
      </c>
      <c r="J15" s="508">
        <f>ROUND(I15*(1+$H15),0)</f>
        <v>124950</v>
      </c>
      <c r="K15" s="508">
        <f t="shared" si="0"/>
        <v>249900</v>
      </c>
      <c r="L15" s="508">
        <f>+'COT 2'!G17</f>
        <v>40000</v>
      </c>
      <c r="M15" s="508">
        <f>ROUND(L15*(1+$H15),0)</f>
        <v>47600</v>
      </c>
      <c r="N15" s="508">
        <f t="shared" si="1"/>
        <v>95200</v>
      </c>
      <c r="O15" s="507">
        <f>+'COT 3'!G17</f>
        <v>95200</v>
      </c>
      <c r="P15" s="508">
        <f>ROUND(O15*(1+$H15),0)</f>
        <v>113288</v>
      </c>
      <c r="Q15" s="508">
        <f t="shared" si="2"/>
        <v>226576</v>
      </c>
      <c r="R15" s="507">
        <f>+'COT 4'!G17</f>
        <v>550000</v>
      </c>
      <c r="S15" s="508">
        <f>ROUND(R15*(1+$H15),0)</f>
        <v>654500</v>
      </c>
      <c r="T15" s="508">
        <f t="shared" si="3"/>
        <v>1309000</v>
      </c>
      <c r="U15" s="507">
        <f>+'COT 5'!G17</f>
        <v>105000</v>
      </c>
      <c r="V15" s="508">
        <f>ROUND(U15*(1+$H15),0)</f>
        <v>124950</v>
      </c>
      <c r="W15" s="508">
        <f t="shared" si="4"/>
        <v>249900</v>
      </c>
      <c r="X15" s="507">
        <f>+'COT 6'!G17</f>
        <v>430890</v>
      </c>
      <c r="Y15" s="508">
        <f>ROUND(X15*(1+$H15),0)</f>
        <v>512759</v>
      </c>
      <c r="Z15" s="508">
        <f t="shared" si="5"/>
        <v>1025518</v>
      </c>
      <c r="AA15" s="523" cm="1">
        <f t="array" ref="AA15">ROUND(+GEOMEAN(SMALL((I15,L15,O15,R15,U15,X15),{1;2;3;4})),0)</f>
        <v>80495</v>
      </c>
      <c r="AB15" s="508">
        <f>ROUND(AA15*(1+$H15),0)</f>
        <v>95789</v>
      </c>
      <c r="AC15" s="508">
        <f t="shared" si="6"/>
        <v>191578</v>
      </c>
    </row>
    <row r="16" spans="1:30" ht="73.150000000000006" customHeight="1">
      <c r="B16" s="498">
        <v>8</v>
      </c>
      <c r="C16" s="499" t="s">
        <v>107</v>
      </c>
      <c r="D16" s="512" t="s">
        <v>108</v>
      </c>
      <c r="E16" s="510">
        <v>1</v>
      </c>
      <c r="F16" s="500" t="s">
        <v>93</v>
      </c>
      <c r="G16" s="501">
        <v>2</v>
      </c>
      <c r="H16" s="505">
        <v>0.19</v>
      </c>
      <c r="I16" s="507">
        <f>+'COT 1'!G18</f>
        <v>85000</v>
      </c>
      <c r="J16" s="508">
        <f>ROUND(I16*(1+$H16),0)</f>
        <v>101150</v>
      </c>
      <c r="K16" s="508">
        <f t="shared" si="0"/>
        <v>202300</v>
      </c>
      <c r="L16" s="508">
        <f>+'COT 2'!G18</f>
        <v>29166.666666666668</v>
      </c>
      <c r="M16" s="508">
        <f>ROUND(L16*(1+$H16),0)</f>
        <v>34708</v>
      </c>
      <c r="N16" s="508">
        <f t="shared" si="1"/>
        <v>69416</v>
      </c>
      <c r="O16" s="507">
        <f>+'COT 3'!G18</f>
        <v>78400</v>
      </c>
      <c r="P16" s="508">
        <f>ROUND(O16*(1+$H16),0)</f>
        <v>93296</v>
      </c>
      <c r="Q16" s="508">
        <f t="shared" si="2"/>
        <v>186592</v>
      </c>
      <c r="R16" s="507">
        <f>+'COT 4'!G18</f>
        <v>25000</v>
      </c>
      <c r="S16" s="508">
        <f>ROUND(R16*(1+$H16),0)</f>
        <v>29750</v>
      </c>
      <c r="T16" s="508">
        <f t="shared" si="3"/>
        <v>59500</v>
      </c>
      <c r="U16" s="507">
        <f>+'COT 5'!G18</f>
        <v>85000</v>
      </c>
      <c r="V16" s="508">
        <f>ROUND(U16*(1+$H16),0)</f>
        <v>101150</v>
      </c>
      <c r="W16" s="508">
        <f t="shared" si="4"/>
        <v>202300</v>
      </c>
      <c r="X16" s="507">
        <f>+'COT 6'!G18</f>
        <v>850540</v>
      </c>
      <c r="Y16" s="508">
        <f>ROUND(X16*(1+$H16),0)</f>
        <v>1012143</v>
      </c>
      <c r="Z16" s="508">
        <f t="shared" si="5"/>
        <v>2024286</v>
      </c>
      <c r="AA16" s="523" cm="1">
        <f t="array" ref="AA16">ROUND(+GEOMEAN(SMALL((I16,L16,O16,R16,U16,X16),{1;2;3;4})),0)</f>
        <v>46951</v>
      </c>
      <c r="AB16" s="508">
        <f>ROUND(AA16*(1+$H16),0)</f>
        <v>55872</v>
      </c>
      <c r="AC16" s="508">
        <f t="shared" si="6"/>
        <v>111744</v>
      </c>
    </row>
    <row r="17" spans="1:30" ht="73.150000000000006" customHeight="1">
      <c r="B17" s="498">
        <v>9</v>
      </c>
      <c r="C17" s="499" t="s">
        <v>109</v>
      </c>
      <c r="D17" s="512" t="s">
        <v>110</v>
      </c>
      <c r="E17" s="510">
        <v>1</v>
      </c>
      <c r="F17" s="500" t="s">
        <v>93</v>
      </c>
      <c r="G17" s="501">
        <v>2</v>
      </c>
      <c r="H17" s="505">
        <v>0.19</v>
      </c>
      <c r="I17" s="507">
        <f>+'COT 1'!G19</f>
        <v>92000</v>
      </c>
      <c r="J17" s="508">
        <f>ROUND(I17*(1+$H17),0)</f>
        <v>109480</v>
      </c>
      <c r="K17" s="508">
        <f t="shared" si="0"/>
        <v>218960</v>
      </c>
      <c r="L17" s="508">
        <f>+'COT 2'!G19</f>
        <v>416666.66666666669</v>
      </c>
      <c r="M17" s="508">
        <f>ROUND(L17*(1+$H17),0)</f>
        <v>495833</v>
      </c>
      <c r="N17" s="508">
        <f t="shared" si="1"/>
        <v>991666</v>
      </c>
      <c r="O17" s="507">
        <f>+'COT 3'!G19</f>
        <v>84000</v>
      </c>
      <c r="P17" s="508">
        <f>ROUND(O17*(1+$H17),0)</f>
        <v>99960</v>
      </c>
      <c r="Q17" s="508">
        <f t="shared" si="2"/>
        <v>199920</v>
      </c>
      <c r="R17" s="507">
        <f>+'COT 4'!G19</f>
        <v>85000</v>
      </c>
      <c r="S17" s="508">
        <f>ROUND(R17*(1+$H17),0)</f>
        <v>101150</v>
      </c>
      <c r="T17" s="508">
        <f t="shared" si="3"/>
        <v>202300</v>
      </c>
      <c r="U17" s="507">
        <f>+'COT 5'!G19</f>
        <v>92000</v>
      </c>
      <c r="V17" s="508">
        <f>ROUND(U17*(1+$H17),0)</f>
        <v>109480</v>
      </c>
      <c r="W17" s="508">
        <f t="shared" si="4"/>
        <v>218960</v>
      </c>
      <c r="X17" s="507">
        <f>+'COT 6'!G19</f>
        <v>1250800</v>
      </c>
      <c r="Y17" s="508">
        <f>ROUND(X17*(1+$H17),0)</f>
        <v>1488452</v>
      </c>
      <c r="Z17" s="508">
        <f t="shared" si="5"/>
        <v>2976904</v>
      </c>
      <c r="AA17" s="523" cm="1">
        <f t="array" ref="AA17">ROUND(+GEOMEAN(SMALL((I17,L17,O17,R17,U17,X17),{1;2;3;4})),0)</f>
        <v>88170</v>
      </c>
      <c r="AB17" s="508">
        <f>ROUND(AA17*(1+$H17),0)</f>
        <v>104922</v>
      </c>
      <c r="AC17" s="508">
        <f t="shared" si="6"/>
        <v>209844</v>
      </c>
    </row>
    <row r="18" spans="1:30" s="298" customFormat="1" ht="35.450000000000003" customHeight="1">
      <c r="A18" s="297"/>
      <c r="B18" s="299"/>
      <c r="C18" s="299"/>
      <c r="D18" s="299"/>
      <c r="E18" s="299"/>
      <c r="F18" s="299"/>
      <c r="G18" s="299"/>
      <c r="H18" s="299"/>
      <c r="I18" s="299"/>
      <c r="J18" s="509">
        <f t="shared" ref="J18:AB18" si="7">J8+J9+J10+J11+J12+J14+J15+J16+J17</f>
        <v>1304240</v>
      </c>
      <c r="K18" s="509">
        <f>K8+K9+K10+K11+K12+K14+K15+K16+K17</f>
        <v>6232030</v>
      </c>
      <c r="L18" s="506"/>
      <c r="M18" s="509">
        <f t="shared" si="7"/>
        <v>1204874</v>
      </c>
      <c r="N18" s="509">
        <f t="shared" si="7"/>
        <v>11397187</v>
      </c>
      <c r="O18" s="506"/>
      <c r="P18" s="509">
        <f t="shared" si="7"/>
        <v>1156334</v>
      </c>
      <c r="Q18" s="509">
        <f t="shared" si="7"/>
        <v>7160314</v>
      </c>
      <c r="R18" s="506"/>
      <c r="S18" s="509">
        <f t="shared" si="7"/>
        <v>1505350</v>
      </c>
      <c r="T18" s="509">
        <f t="shared" si="7"/>
        <v>9055900</v>
      </c>
      <c r="U18" s="506"/>
      <c r="V18" s="509">
        <f t="shared" si="7"/>
        <v>1304240</v>
      </c>
      <c r="W18" s="509">
        <f t="shared" si="7"/>
        <v>6232030</v>
      </c>
      <c r="X18" s="506"/>
      <c r="Y18" s="509">
        <f t="shared" si="7"/>
        <v>6394383</v>
      </c>
      <c r="Z18" s="509">
        <f t="shared" si="7"/>
        <v>43240866</v>
      </c>
      <c r="AA18" s="506"/>
      <c r="AB18" s="509">
        <f t="shared" si="7"/>
        <v>931787</v>
      </c>
      <c r="AC18" s="509">
        <f>AC8+AC9+AC10+AC11+AC12+AC14+AC15+AC16+AC17</f>
        <v>6087249</v>
      </c>
      <c r="AD18" s="578"/>
    </row>
    <row r="19" spans="1:30" ht="278.25" customHeight="1">
      <c r="B19" s="586" t="s">
        <v>111</v>
      </c>
      <c r="C19" s="587"/>
      <c r="D19" s="587"/>
      <c r="E19" s="587"/>
      <c r="F19" s="587"/>
      <c r="G19" s="587"/>
      <c r="H19" s="587"/>
    </row>
    <row r="20" spans="1:30" ht="48.6" customHeight="1">
      <c r="B20" s="588" t="s">
        <v>112</v>
      </c>
      <c r="C20" s="588"/>
      <c r="D20" s="588"/>
      <c r="E20" s="588"/>
      <c r="F20" s="588"/>
      <c r="G20" s="588"/>
      <c r="H20" s="588"/>
    </row>
  </sheetData>
  <autoFilter ref="B3:AD18" xr:uid="{00000000-0001-0000-0300-000000000000}">
    <filterColumn colId="0" showButton="0"/>
    <filterColumn colId="1" showButton="0"/>
    <filterColumn colId="2" showButton="0"/>
    <filterColumn colId="3" showButton="0"/>
    <filterColumn colId="4" showButton="0"/>
    <filterColumn colId="5" showButton="0"/>
    <filterColumn colId="6" hiddenButton="1"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autoFilter>
  <mergeCells count="14">
    <mergeCell ref="B19:H19"/>
    <mergeCell ref="B20:H20"/>
    <mergeCell ref="B2:L2"/>
    <mergeCell ref="B3:L3"/>
    <mergeCell ref="B1:D1"/>
    <mergeCell ref="E1:L1"/>
    <mergeCell ref="AA5:AC5"/>
    <mergeCell ref="X5:Z5"/>
    <mergeCell ref="B7:G7"/>
    <mergeCell ref="I5:K5"/>
    <mergeCell ref="L5:N5"/>
    <mergeCell ref="O5:Q5"/>
    <mergeCell ref="R5:T5"/>
    <mergeCell ref="U5:W5"/>
  </mergeCells>
  <pageMargins left="0.70866141732283472" right="0.70866141732283472" top="0.74803149606299213" bottom="0.74803149606299213" header="0.31496062992125984" footer="0.31496062992125984"/>
  <pageSetup paperSize="9" scale="50" orientation="landscape" r:id="rId1"/>
  <rowBreaks count="1" manualBreakCount="1">
    <brk id="15" max="16383" man="1"/>
  </rowBreaks>
  <colBreaks count="1" manualBreakCount="1">
    <brk id="17"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284D8-D66F-441E-BDA5-89048729C069}">
  <dimension ref="A1:R52"/>
  <sheetViews>
    <sheetView showGridLines="0" topLeftCell="B1" zoomScaleNormal="100" workbookViewId="0">
      <selection activeCell="G18" sqref="G18"/>
    </sheetView>
  </sheetViews>
  <sheetFormatPr defaultColWidth="11.5703125" defaultRowHeight="13.9"/>
  <cols>
    <col min="1" max="1" width="5.28515625" style="245" customWidth="1"/>
    <col min="2" max="2" width="43.28515625" style="245" customWidth="1"/>
    <col min="3" max="3" width="17.5703125" style="245" customWidth="1"/>
    <col min="4" max="4" width="17.28515625" style="245" customWidth="1"/>
    <col min="5" max="5" width="19.42578125" style="245" customWidth="1"/>
    <col min="6" max="6" width="20.42578125" style="245" customWidth="1"/>
    <col min="7" max="7" width="18.85546875" style="245" customWidth="1"/>
    <col min="8" max="8" width="17.28515625" style="245" customWidth="1"/>
    <col min="9" max="9" width="15.42578125" style="245" customWidth="1"/>
    <col min="10" max="12" width="15.28515625" style="245" bestFit="1" customWidth="1"/>
    <col min="13" max="13" width="15.140625" style="245" customWidth="1"/>
    <col min="14" max="14" width="17" style="245" customWidth="1"/>
    <col min="15" max="15" width="5.140625" style="245" customWidth="1"/>
    <col min="16" max="16" width="14.28515625" style="245" hidden="1" customWidth="1"/>
    <col min="17" max="17" width="11.5703125" style="245"/>
    <col min="18" max="18" width="14.42578125" style="245" customWidth="1"/>
    <col min="19" max="19" width="12.85546875" style="245" customWidth="1"/>
    <col min="20" max="16384" width="11.5703125" style="245"/>
  </cols>
  <sheetData>
    <row r="1" spans="1:18">
      <c r="A1" s="629" t="s">
        <v>113</v>
      </c>
      <c r="B1" s="630"/>
      <c r="C1" s="630"/>
      <c r="D1" s="630"/>
      <c r="E1" s="630"/>
      <c r="F1" s="630"/>
      <c r="G1" s="630"/>
      <c r="H1" s="630"/>
      <c r="I1" s="630"/>
      <c r="J1" s="630"/>
      <c r="K1" s="630"/>
      <c r="L1" s="630"/>
      <c r="M1" s="630"/>
      <c r="N1" s="630"/>
      <c r="O1" s="630"/>
      <c r="P1" s="630"/>
      <c r="Q1" s="631"/>
    </row>
    <row r="2" spans="1:18" ht="14.45" thickBot="1">
      <c r="A2" s="632"/>
      <c r="B2" s="633"/>
      <c r="C2" s="633"/>
      <c r="D2" s="633"/>
      <c r="E2" s="633"/>
      <c r="F2" s="633"/>
      <c r="G2" s="633"/>
      <c r="H2" s="633"/>
      <c r="I2" s="633"/>
      <c r="J2" s="633"/>
      <c r="K2" s="633"/>
      <c r="L2" s="633"/>
      <c r="M2" s="633"/>
      <c r="N2" s="633"/>
      <c r="O2" s="633"/>
      <c r="P2" s="633"/>
      <c r="Q2" s="634"/>
    </row>
    <row r="3" spans="1:18">
      <c r="B3" s="625" t="s">
        <v>114</v>
      </c>
      <c r="C3" s="625"/>
      <c r="D3" s="625"/>
      <c r="E3" s="625"/>
      <c r="F3" s="625"/>
      <c r="G3" s="625"/>
      <c r="H3" s="625"/>
      <c r="I3" s="625"/>
      <c r="J3" s="625"/>
      <c r="K3" s="625"/>
      <c r="L3" s="625"/>
      <c r="M3" s="625"/>
      <c r="N3" s="625"/>
    </row>
    <row r="4" spans="1:18">
      <c r="B4" s="626"/>
      <c r="C4" s="626"/>
      <c r="D4" s="626"/>
      <c r="E4" s="626"/>
      <c r="F4" s="626"/>
      <c r="G4" s="626"/>
      <c r="H4" s="626"/>
      <c r="I4" s="626"/>
      <c r="J4" s="626"/>
      <c r="K4" s="626"/>
      <c r="L4" s="626"/>
      <c r="M4" s="626"/>
      <c r="N4" s="626"/>
    </row>
    <row r="5" spans="1:18" ht="18">
      <c r="B5" s="627" t="s">
        <v>115</v>
      </c>
      <c r="C5" s="627"/>
      <c r="D5" s="627"/>
      <c r="E5" s="627"/>
      <c r="F5" s="627"/>
      <c r="G5" s="627"/>
      <c r="H5" s="627"/>
      <c r="I5" s="627"/>
      <c r="J5" s="627"/>
      <c r="K5" s="627"/>
      <c r="L5" s="627"/>
      <c r="M5" s="627"/>
      <c r="N5" s="627"/>
    </row>
    <row r="6" spans="1:18" ht="18">
      <c r="B6" s="253"/>
      <c r="C6" s="253"/>
      <c r="D6" s="253"/>
      <c r="E6" s="253"/>
      <c r="F6" s="253"/>
      <c r="G6" s="253"/>
      <c r="H6" s="253"/>
      <c r="I6" s="253"/>
      <c r="J6" s="253"/>
      <c r="K6" s="253"/>
      <c r="L6" s="253"/>
      <c r="M6" s="253"/>
      <c r="N6" s="253"/>
    </row>
    <row r="7" spans="1:18" ht="34.5" customHeight="1"/>
    <row r="8" spans="1:18">
      <c r="B8" s="254" t="s">
        <v>116</v>
      </c>
      <c r="C8" s="255">
        <v>1750905</v>
      </c>
      <c r="I8" s="635"/>
      <c r="J8" s="635"/>
      <c r="K8" s="635"/>
      <c r="L8" s="635"/>
      <c r="M8" s="635"/>
      <c r="N8" s="635"/>
    </row>
    <row r="9" spans="1:18">
      <c r="B9" s="254" t="s">
        <v>117</v>
      </c>
      <c r="C9" s="256">
        <v>10.210000000000001</v>
      </c>
      <c r="I9" s="635"/>
      <c r="J9" s="635"/>
      <c r="K9" s="635"/>
      <c r="L9" s="635"/>
      <c r="M9" s="635"/>
      <c r="N9" s="635"/>
    </row>
    <row r="10" spans="1:18">
      <c r="B10" s="254" t="s">
        <v>118</v>
      </c>
      <c r="C10" s="257">
        <f>+C8*C9</f>
        <v>17876740.050000001</v>
      </c>
      <c r="I10" s="635"/>
      <c r="J10" s="635"/>
      <c r="K10" s="635"/>
      <c r="L10" s="635"/>
      <c r="M10" s="635"/>
      <c r="N10" s="635"/>
    </row>
    <row r="12" spans="1:18">
      <c r="D12" s="258"/>
      <c r="E12" s="503">
        <v>0.47589999999999999</v>
      </c>
      <c r="F12" s="503">
        <v>0.52410000000000001</v>
      </c>
      <c r="G12" s="504">
        <v>25</v>
      </c>
      <c r="H12" s="258"/>
    </row>
    <row r="13" spans="1:18" ht="41.45">
      <c r="B13" s="259" t="s">
        <v>119</v>
      </c>
      <c r="C13" s="259" t="s">
        <v>120</v>
      </c>
      <c r="D13" s="259" t="s">
        <v>121</v>
      </c>
      <c r="E13" s="259" t="s">
        <v>122</v>
      </c>
      <c r="F13" s="259" t="s">
        <v>122</v>
      </c>
      <c r="G13" s="259" t="s">
        <v>123</v>
      </c>
      <c r="H13" s="259" t="s">
        <v>124</v>
      </c>
      <c r="I13" s="259" t="s">
        <v>125</v>
      </c>
      <c r="J13" s="259" t="s">
        <v>126</v>
      </c>
      <c r="K13" s="259" t="s">
        <v>127</v>
      </c>
      <c r="L13" s="259" t="s">
        <v>128</v>
      </c>
      <c r="M13" s="259" t="s">
        <v>129</v>
      </c>
    </row>
    <row r="14" spans="1:18" ht="41.45">
      <c r="A14" s="636" t="s">
        <v>130</v>
      </c>
      <c r="B14" s="260" t="s">
        <v>18</v>
      </c>
      <c r="C14" s="302">
        <f>+$C$10</f>
        <v>17876740.050000001</v>
      </c>
      <c r="D14" s="290">
        <v>5000</v>
      </c>
      <c r="E14" s="290">
        <f>ROUND((C14*$E$12)+(D14*$E$12),0)</f>
        <v>8509920</v>
      </c>
      <c r="F14" s="290">
        <f>ROUND((C14*$F$12)+(D14*$F$12),0)</f>
        <v>9371820</v>
      </c>
      <c r="G14" s="290">
        <f>((E14+F14)/30)*$G$12</f>
        <v>14901450</v>
      </c>
      <c r="H14" s="262">
        <v>0.08</v>
      </c>
      <c r="I14" s="289">
        <f>G14*H14</f>
        <v>1192116</v>
      </c>
      <c r="J14" s="289">
        <f>G14+I14</f>
        <v>16093566</v>
      </c>
      <c r="K14" s="289">
        <f>ROUND(+J14*10%,0)</f>
        <v>1609357</v>
      </c>
      <c r="L14" s="289">
        <f>ROUND(+K14*19%,0)</f>
        <v>305778</v>
      </c>
      <c r="M14" s="579">
        <f>+J14+K14+L14</f>
        <v>18008701</v>
      </c>
      <c r="R14" s="263"/>
    </row>
    <row r="15" spans="1:18" ht="41.45">
      <c r="A15" s="636"/>
      <c r="B15" s="260" t="s">
        <v>20</v>
      </c>
      <c r="C15" s="302">
        <f t="shared" ref="C15:C16" si="0">+$C$10</f>
        <v>17876740.050000001</v>
      </c>
      <c r="D15" s="290">
        <v>5000</v>
      </c>
      <c r="E15" s="290">
        <f t="shared" ref="E15:E18" si="1">ROUND((C15*$E$12)+(D15*$E$12),0)</f>
        <v>8509920</v>
      </c>
      <c r="F15" s="290">
        <f t="shared" ref="F15:F18" si="2">ROUND((C15*$F$12)+(D15*$F$12),0)</f>
        <v>9371820</v>
      </c>
      <c r="G15" s="290">
        <f t="shared" ref="G15:G18" si="3">((E15+F15)/30)*$G$12</f>
        <v>14901450</v>
      </c>
      <c r="H15" s="262">
        <v>0.1</v>
      </c>
      <c r="I15" s="289">
        <f t="shared" ref="I15:I18" si="4">G15*H15</f>
        <v>1490145</v>
      </c>
      <c r="J15" s="289">
        <f t="shared" ref="J15:J18" si="5">G15+I15</f>
        <v>16391595</v>
      </c>
      <c r="K15" s="289">
        <f t="shared" ref="K15:K18" si="6">ROUND(+J15*10%,0)</f>
        <v>1639160</v>
      </c>
      <c r="L15" s="289">
        <f t="shared" ref="L15:L18" si="7">ROUND(+K15*19%,0)</f>
        <v>311440</v>
      </c>
      <c r="M15" s="579">
        <f t="shared" ref="M15:M18" si="8">+J15+K15+L15</f>
        <v>18342195</v>
      </c>
      <c r="R15" s="263"/>
    </row>
    <row r="16" spans="1:18" ht="41.45">
      <c r="A16" s="636"/>
      <c r="B16" s="260" t="s">
        <v>21</v>
      </c>
      <c r="C16" s="302">
        <f t="shared" si="0"/>
        <v>17876740.050000001</v>
      </c>
      <c r="D16" s="290">
        <v>5000</v>
      </c>
      <c r="E16" s="290">
        <f t="shared" si="1"/>
        <v>8509920</v>
      </c>
      <c r="F16" s="290">
        <f t="shared" si="2"/>
        <v>9371820</v>
      </c>
      <c r="G16" s="290">
        <f t="shared" si="3"/>
        <v>14901450</v>
      </c>
      <c r="H16" s="262">
        <v>0.11</v>
      </c>
      <c r="I16" s="289">
        <f t="shared" si="4"/>
        <v>1639159.5</v>
      </c>
      <c r="J16" s="289">
        <f t="shared" si="5"/>
        <v>16540609.5</v>
      </c>
      <c r="K16" s="289">
        <f t="shared" si="6"/>
        <v>1654061</v>
      </c>
      <c r="L16" s="289">
        <f t="shared" si="7"/>
        <v>314272</v>
      </c>
      <c r="M16" s="289">
        <f t="shared" si="8"/>
        <v>18508942.5</v>
      </c>
      <c r="R16" s="263"/>
    </row>
    <row r="17" spans="1:18" ht="38.25" customHeight="1">
      <c r="B17" s="260" t="s">
        <v>22</v>
      </c>
      <c r="C17" s="302">
        <f>+((((((($C$8*10.21))*47.59%)/30)*20)/13)*12)</f>
        <v>5235409.5937200002</v>
      </c>
      <c r="D17" s="290">
        <v>3000</v>
      </c>
      <c r="E17" s="290">
        <f t="shared" si="1"/>
        <v>2492959</v>
      </c>
      <c r="F17" s="290">
        <f t="shared" si="2"/>
        <v>2745450</v>
      </c>
      <c r="G17" s="290">
        <f t="shared" si="3"/>
        <v>4365340.833333333</v>
      </c>
      <c r="H17" s="262">
        <v>0.08</v>
      </c>
      <c r="I17" s="289">
        <f t="shared" si="4"/>
        <v>349227.26666666666</v>
      </c>
      <c r="J17" s="289">
        <f t="shared" si="5"/>
        <v>4714568.0999999996</v>
      </c>
      <c r="K17" s="289">
        <f t="shared" si="6"/>
        <v>471457</v>
      </c>
      <c r="L17" s="289">
        <f t="shared" si="7"/>
        <v>89577</v>
      </c>
      <c r="M17" s="289">
        <f t="shared" si="8"/>
        <v>5275602.0999999996</v>
      </c>
      <c r="R17" s="263"/>
    </row>
    <row r="18" spans="1:18" ht="45" customHeight="1">
      <c r="B18" s="260" t="s">
        <v>23</v>
      </c>
      <c r="C18" s="302">
        <f>+((((((($C$8*10.21))*47.59%)/30)*24)/13)*12)</f>
        <v>6282491.5124640008</v>
      </c>
      <c r="D18" s="290">
        <v>3000</v>
      </c>
      <c r="E18" s="290">
        <f t="shared" si="1"/>
        <v>2991265</v>
      </c>
      <c r="F18" s="290">
        <f t="shared" si="2"/>
        <v>3294226</v>
      </c>
      <c r="G18" s="290">
        <f t="shared" si="3"/>
        <v>5237909.166666667</v>
      </c>
      <c r="H18" s="262">
        <v>0.08</v>
      </c>
      <c r="I18" s="289">
        <f t="shared" si="4"/>
        <v>419032.7333333334</v>
      </c>
      <c r="J18" s="289">
        <f t="shared" si="5"/>
        <v>5656941.9000000004</v>
      </c>
      <c r="K18" s="289">
        <f t="shared" si="6"/>
        <v>565694</v>
      </c>
      <c r="L18" s="289">
        <f t="shared" si="7"/>
        <v>107482</v>
      </c>
      <c r="M18" s="289">
        <f t="shared" si="8"/>
        <v>6330117.9000000004</v>
      </c>
      <c r="R18" s="264"/>
    </row>
    <row r="19" spans="1:18">
      <c r="B19" s="265"/>
      <c r="C19" s="291"/>
      <c r="D19" s="292">
        <f>+((((((($C$8*10.21))*47.59%)/30)*20)/13)*12)</f>
        <v>5235409.5937200002</v>
      </c>
      <c r="E19" s="292"/>
      <c r="F19" s="292"/>
      <c r="G19" s="290">
        <f t="shared" ref="G19" si="9">((E19+F19)/30)*20</f>
        <v>0</v>
      </c>
      <c r="H19" s="266"/>
      <c r="I19" s="268"/>
      <c r="J19" s="266"/>
      <c r="K19" s="266"/>
      <c r="L19" s="266"/>
      <c r="M19" s="266"/>
      <c r="N19" s="266"/>
      <c r="R19" s="264"/>
    </row>
    <row r="20" spans="1:18">
      <c r="B20" s="265"/>
      <c r="C20" s="266"/>
      <c r="D20" s="266"/>
      <c r="E20" s="266"/>
      <c r="F20" s="266"/>
      <c r="G20" s="266"/>
      <c r="H20" s="266"/>
      <c r="I20" s="268"/>
      <c r="J20" s="266"/>
      <c r="K20" s="266"/>
      <c r="L20" s="266"/>
      <c r="M20" s="266"/>
      <c r="N20" s="266"/>
      <c r="R20" s="264"/>
    </row>
    <row r="21" spans="1:18" hidden="1">
      <c r="B21" s="265"/>
      <c r="C21" s="266">
        <f>+((((((($C$8*9.85))*47.59%)/30)*9)/13)*12)</f>
        <v>2272865.1345899999</v>
      </c>
      <c r="D21" s="267">
        <f>+((((((($C$8*10.21))*47.59%)/30)*11)/13)*12)</f>
        <v>2879475.276546</v>
      </c>
      <c r="E21" s="267"/>
      <c r="F21" s="267"/>
      <c r="G21" s="267"/>
      <c r="H21" s="266"/>
      <c r="I21" s="268"/>
      <c r="J21" s="266"/>
      <c r="K21" s="266"/>
      <c r="L21" s="266"/>
      <c r="M21" s="266"/>
      <c r="N21" s="266"/>
      <c r="R21" s="264"/>
    </row>
    <row r="22" spans="1:18" hidden="1">
      <c r="B22" s="265"/>
      <c r="C22" s="266">
        <f>+((((((($C$8*9.85))*47.59%)/30)*12)/13)*12)</f>
        <v>3030486.8461199999</v>
      </c>
      <c r="D22" s="267">
        <f>+((((((($C$8*10.21))*47.59%)/30)*12)/13)*12)</f>
        <v>3141245.7562320004</v>
      </c>
      <c r="E22" s="267"/>
      <c r="F22" s="267"/>
      <c r="G22" s="267"/>
      <c r="H22" s="266"/>
      <c r="I22" s="268"/>
      <c r="J22" s="266"/>
      <c r="K22" s="266"/>
      <c r="L22" s="266"/>
      <c r="M22" s="266"/>
      <c r="N22" s="266"/>
      <c r="R22" s="264"/>
    </row>
    <row r="23" spans="1:18" hidden="1">
      <c r="D23" s="267">
        <f>+((((((($C$8*10.21))*47.59%)/30)*24)/13)*12)</f>
        <v>6282491.5124640008</v>
      </c>
      <c r="E23" s="267"/>
      <c r="F23" s="267"/>
      <c r="G23" s="267"/>
    </row>
    <row r="24" spans="1:18" ht="14.45" thickBot="1"/>
    <row r="25" spans="1:18">
      <c r="A25" s="629" t="s">
        <v>131</v>
      </c>
      <c r="B25" s="630"/>
      <c r="C25" s="630"/>
      <c r="D25" s="630"/>
      <c r="E25" s="630"/>
      <c r="F25" s="630"/>
      <c r="G25" s="630"/>
      <c r="H25" s="630"/>
      <c r="I25" s="630"/>
      <c r="J25" s="630"/>
      <c r="K25" s="630"/>
      <c r="L25" s="630"/>
      <c r="M25" s="630"/>
      <c r="N25" s="630"/>
      <c r="O25" s="630"/>
      <c r="P25" s="630"/>
      <c r="Q25" s="631"/>
      <c r="R25" s="269"/>
    </row>
    <row r="26" spans="1:18" ht="14.45" thickBot="1">
      <c r="A26" s="632"/>
      <c r="B26" s="633"/>
      <c r="C26" s="633"/>
      <c r="D26" s="633"/>
      <c r="E26" s="633"/>
      <c r="F26" s="633"/>
      <c r="G26" s="633"/>
      <c r="H26" s="633"/>
      <c r="I26" s="633"/>
      <c r="J26" s="633"/>
      <c r="K26" s="633"/>
      <c r="L26" s="633"/>
      <c r="M26" s="633"/>
      <c r="N26" s="633"/>
      <c r="O26" s="633"/>
      <c r="P26" s="633"/>
      <c r="Q26" s="634"/>
      <c r="R26" s="269"/>
    </row>
    <row r="27" spans="1:18" ht="23.25" customHeight="1">
      <c r="B27" s="625" t="s">
        <v>132</v>
      </c>
      <c r="C27" s="625"/>
      <c r="D27" s="625"/>
      <c r="E27" s="625"/>
      <c r="F27" s="625"/>
      <c r="G27" s="625"/>
      <c r="H27" s="625"/>
      <c r="I27" s="625"/>
      <c r="J27" s="625"/>
      <c r="K27" s="625"/>
      <c r="L27" s="625"/>
      <c r="M27" s="625"/>
      <c r="N27" s="625"/>
    </row>
    <row r="28" spans="1:18">
      <c r="B28" s="626"/>
      <c r="C28" s="626"/>
      <c r="D28" s="626"/>
      <c r="E28" s="626"/>
      <c r="F28" s="626"/>
      <c r="G28" s="626"/>
      <c r="H28" s="626"/>
      <c r="I28" s="626"/>
      <c r="J28" s="626"/>
      <c r="K28" s="626"/>
      <c r="L28" s="626"/>
      <c r="M28" s="626"/>
      <c r="N28" s="626"/>
    </row>
    <row r="29" spans="1:18" ht="18">
      <c r="B29" s="627" t="s">
        <v>133</v>
      </c>
      <c r="C29" s="627"/>
      <c r="D29" s="627"/>
      <c r="E29" s="627"/>
      <c r="F29" s="627"/>
      <c r="G29" s="627"/>
      <c r="H29" s="627"/>
      <c r="I29" s="627"/>
      <c r="J29" s="627"/>
      <c r="K29" s="627"/>
      <c r="L29" s="627"/>
      <c r="M29" s="627"/>
      <c r="N29" s="627"/>
    </row>
    <row r="31" spans="1:18">
      <c r="B31" s="270" t="s">
        <v>116</v>
      </c>
      <c r="C31" s="255">
        <f>+C8*$C$52+C8</f>
        <v>1998412.9308</v>
      </c>
      <c r="I31" s="628"/>
      <c r="J31" s="628"/>
      <c r="K31" s="628"/>
      <c r="L31" s="628"/>
      <c r="M31" s="628"/>
      <c r="N31" s="628"/>
    </row>
    <row r="32" spans="1:18">
      <c r="B32" s="270" t="s">
        <v>117</v>
      </c>
      <c r="C32" s="294">
        <f>+C9</f>
        <v>10.210000000000001</v>
      </c>
      <c r="I32" s="628"/>
      <c r="J32" s="628"/>
      <c r="K32" s="628"/>
      <c r="L32" s="628"/>
      <c r="M32" s="628"/>
      <c r="N32" s="628"/>
    </row>
    <row r="33" spans="2:14">
      <c r="B33" s="270" t="s">
        <v>118</v>
      </c>
      <c r="C33" s="257">
        <f>C31*C32</f>
        <v>20403796.023468003</v>
      </c>
      <c r="I33" s="628"/>
      <c r="J33" s="628"/>
      <c r="K33" s="628"/>
      <c r="L33" s="628"/>
      <c r="M33" s="628"/>
      <c r="N33" s="628"/>
    </row>
    <row r="36" spans="2:14" ht="27.6">
      <c r="B36" s="271" t="s">
        <v>119</v>
      </c>
      <c r="C36" s="271" t="s">
        <v>120</v>
      </c>
      <c r="D36" s="271" t="s">
        <v>121</v>
      </c>
      <c r="E36" s="271"/>
      <c r="F36" s="271"/>
      <c r="G36" s="271"/>
      <c r="H36" s="271" t="s">
        <v>134</v>
      </c>
      <c r="I36" s="271" t="s">
        <v>135</v>
      </c>
      <c r="J36" s="271" t="s">
        <v>126</v>
      </c>
      <c r="K36" s="271" t="s">
        <v>127</v>
      </c>
      <c r="L36" s="271" t="s">
        <v>128</v>
      </c>
      <c r="M36" s="271" t="s">
        <v>129</v>
      </c>
    </row>
    <row r="37" spans="2:14" ht="41.45">
      <c r="B37" s="260" t="s">
        <v>18</v>
      </c>
      <c r="C37" s="261">
        <f>+$C$33</f>
        <v>20403796.023468003</v>
      </c>
      <c r="D37" s="261">
        <v>5000</v>
      </c>
      <c r="E37" s="261"/>
      <c r="F37" s="261"/>
      <c r="G37" s="261"/>
      <c r="H37" s="262">
        <v>0.08</v>
      </c>
      <c r="I37" s="289">
        <f>+(C37+D37)*H37</f>
        <v>1632703.6818774403</v>
      </c>
      <c r="J37" s="261">
        <f>+C37+D37+I37</f>
        <v>22041499.705345444</v>
      </c>
      <c r="K37" s="261">
        <f>+J37*10%</f>
        <v>2204149.9705345444</v>
      </c>
      <c r="L37" s="261">
        <f>+K37*19%</f>
        <v>418788.49440156342</v>
      </c>
      <c r="M37" s="255">
        <f>+J37+L37+K37</f>
        <v>24664438.170281552</v>
      </c>
      <c r="N37" s="293">
        <f t="shared" ref="N37:N41" si="10">+C37/C14-1</f>
        <v>0.14136000000000015</v>
      </c>
    </row>
    <row r="38" spans="2:14" ht="41.45">
      <c r="B38" s="260" t="s">
        <v>20</v>
      </c>
      <c r="C38" s="261">
        <f>+$C$33</f>
        <v>20403796.023468003</v>
      </c>
      <c r="D38" s="261">
        <v>5000</v>
      </c>
      <c r="E38" s="261"/>
      <c r="F38" s="261"/>
      <c r="G38" s="261"/>
      <c r="H38" s="262">
        <v>0.1</v>
      </c>
      <c r="I38" s="289">
        <f>+(C38+D38)*H38</f>
        <v>2040879.6023468003</v>
      </c>
      <c r="J38" s="261">
        <f t="shared" ref="J38:J41" si="11">+C38+D38+I38</f>
        <v>22449675.625814803</v>
      </c>
      <c r="K38" s="261">
        <f t="shared" ref="K38:K41" si="12">+J38*10%</f>
        <v>2244967.5625814805</v>
      </c>
      <c r="L38" s="261">
        <f t="shared" ref="L38:L41" si="13">+K38*19%</f>
        <v>426543.8368904813</v>
      </c>
      <c r="M38" s="255">
        <f t="shared" ref="M38:M41" si="14">+J38+L38+K38</f>
        <v>25121187.025286764</v>
      </c>
      <c r="N38" s="293">
        <f t="shared" si="10"/>
        <v>0.14136000000000015</v>
      </c>
    </row>
    <row r="39" spans="2:14" ht="41.45">
      <c r="B39" s="260" t="s">
        <v>21</v>
      </c>
      <c r="C39" s="261">
        <f>+$C$33</f>
        <v>20403796.023468003</v>
      </c>
      <c r="D39" s="261">
        <v>5000</v>
      </c>
      <c r="E39" s="261"/>
      <c r="F39" s="261"/>
      <c r="G39" s="261"/>
      <c r="H39" s="262">
        <v>0.11</v>
      </c>
      <c r="I39" s="289">
        <f>+(C39+D39)*H39</f>
        <v>2244967.5625814805</v>
      </c>
      <c r="J39" s="261">
        <f t="shared" si="11"/>
        <v>22653763.586049482</v>
      </c>
      <c r="K39" s="261">
        <f t="shared" si="12"/>
        <v>2265376.3586049485</v>
      </c>
      <c r="L39" s="261">
        <f t="shared" si="13"/>
        <v>430421.50813494023</v>
      </c>
      <c r="M39" s="255">
        <f t="shared" si="14"/>
        <v>25349561.45278937</v>
      </c>
      <c r="N39" s="293">
        <f t="shared" si="10"/>
        <v>0.14136000000000015</v>
      </c>
    </row>
    <row r="40" spans="2:14" ht="27.6">
      <c r="B40" s="260" t="s">
        <v>22</v>
      </c>
      <c r="C40" s="261">
        <f>+((((((($C$31*10.21))*47.59%)/30)*20)/13)*12)</f>
        <v>5975487.0938882604</v>
      </c>
      <c r="D40" s="261">
        <v>3000</v>
      </c>
      <c r="E40" s="261"/>
      <c r="F40" s="261"/>
      <c r="G40" s="261"/>
      <c r="H40" s="262">
        <v>0.08</v>
      </c>
      <c r="I40" s="289">
        <f>+(C40+D40)*H40</f>
        <v>478278.96751106082</v>
      </c>
      <c r="J40" s="261">
        <f t="shared" si="11"/>
        <v>6456766.0613993211</v>
      </c>
      <c r="K40" s="261">
        <f t="shared" si="12"/>
        <v>645676.60613993218</v>
      </c>
      <c r="L40" s="261">
        <f t="shared" si="13"/>
        <v>122678.55516658712</v>
      </c>
      <c r="M40" s="255">
        <f t="shared" si="14"/>
        <v>7225121.2227058401</v>
      </c>
      <c r="N40" s="293">
        <f t="shared" si="10"/>
        <v>0.14136000000000015</v>
      </c>
    </row>
    <row r="41" spans="2:14" ht="27.6">
      <c r="B41" s="260" t="s">
        <v>23</v>
      </c>
      <c r="C41" s="261">
        <f>+((((((($C$31*10.21))*47.59%)/30)*24)/13)*12)</f>
        <v>7170584.5126659125</v>
      </c>
      <c r="D41" s="261">
        <v>3000</v>
      </c>
      <c r="E41" s="261"/>
      <c r="F41" s="261"/>
      <c r="G41" s="261"/>
      <c r="H41" s="262">
        <v>0.08</v>
      </c>
      <c r="I41" s="289">
        <f>+(C41+D41)*H41</f>
        <v>573886.76101327303</v>
      </c>
      <c r="J41" s="261">
        <f t="shared" si="11"/>
        <v>7747471.2736791857</v>
      </c>
      <c r="K41" s="261">
        <f t="shared" si="12"/>
        <v>774747.12736791861</v>
      </c>
      <c r="L41" s="261">
        <f t="shared" si="13"/>
        <v>147201.95419990455</v>
      </c>
      <c r="M41" s="255">
        <f t="shared" si="14"/>
        <v>8669420.3552470095</v>
      </c>
      <c r="N41" s="293">
        <f t="shared" si="10"/>
        <v>0.14136000000000015</v>
      </c>
    </row>
    <row r="42" spans="2:14">
      <c r="D42" s="267"/>
      <c r="E42" s="267"/>
      <c r="F42" s="267"/>
      <c r="G42" s="267"/>
    </row>
    <row r="43" spans="2:14">
      <c r="D43" s="267"/>
      <c r="E43" s="267"/>
      <c r="F43" s="267"/>
      <c r="G43" s="267"/>
    </row>
    <row r="45" spans="2:14" ht="14.45" thickBot="1"/>
    <row r="46" spans="2:14" ht="14.25" customHeight="1" thickBot="1">
      <c r="B46" s="272" t="s">
        <v>136</v>
      </c>
      <c r="C46" s="273" t="s">
        <v>137</v>
      </c>
      <c r="D46" s="273" t="s">
        <v>138</v>
      </c>
      <c r="E46" s="304"/>
      <c r="F46" s="304"/>
      <c r="G46" s="304"/>
      <c r="H46" s="274"/>
    </row>
    <row r="47" spans="2:14" ht="14.25" customHeight="1">
      <c r="B47" s="275">
        <v>2026</v>
      </c>
      <c r="C47" s="276">
        <v>0.23</v>
      </c>
      <c r="D47" s="277">
        <f>+C47*D48+D48</f>
        <v>1750905</v>
      </c>
      <c r="E47" s="283"/>
      <c r="F47" s="283"/>
      <c r="G47" s="283"/>
      <c r="H47" s="274"/>
    </row>
    <row r="48" spans="2:14" ht="14.25" customHeight="1">
      <c r="B48" s="278">
        <v>2025</v>
      </c>
      <c r="C48" s="279">
        <v>9.5399999999999999E-2</v>
      </c>
      <c r="D48" s="280">
        <v>1423500</v>
      </c>
      <c r="E48" s="283"/>
      <c r="F48" s="283"/>
      <c r="G48" s="283"/>
      <c r="H48" s="274"/>
      <c r="I48" s="281"/>
      <c r="J48" s="282"/>
    </row>
    <row r="49" spans="2:8">
      <c r="B49" s="278">
        <v>2024</v>
      </c>
      <c r="C49" s="279">
        <v>0.1207</v>
      </c>
      <c r="D49" s="280">
        <v>1300000</v>
      </c>
      <c r="E49" s="283"/>
      <c r="F49" s="283"/>
      <c r="G49" s="283"/>
      <c r="H49" s="283"/>
    </row>
    <row r="50" spans="2:8">
      <c r="B50" s="278">
        <v>2023</v>
      </c>
      <c r="C50" s="279">
        <v>0.16</v>
      </c>
      <c r="D50" s="280">
        <v>1160000</v>
      </c>
      <c r="E50" s="283"/>
      <c r="F50" s="283"/>
      <c r="G50" s="283"/>
      <c r="H50" s="283"/>
    </row>
    <row r="51" spans="2:8" ht="14.45" thickBot="1">
      <c r="B51" s="284">
        <v>2022</v>
      </c>
      <c r="C51" s="285">
        <v>0.1007</v>
      </c>
      <c r="D51" s="286">
        <v>1000000</v>
      </c>
      <c r="E51" s="283"/>
      <c r="F51" s="283"/>
      <c r="G51" s="283"/>
      <c r="H51" s="283"/>
    </row>
    <row r="52" spans="2:8" ht="14.45" thickBot="1">
      <c r="B52" s="287" t="s">
        <v>139</v>
      </c>
      <c r="C52" s="296">
        <f>AVERAGE(C47:C51)</f>
        <v>0.14136000000000001</v>
      </c>
      <c r="D52" s="288"/>
      <c r="E52" s="305"/>
      <c r="F52" s="305"/>
      <c r="G52" s="305"/>
    </row>
  </sheetData>
  <mergeCells count="9">
    <mergeCell ref="B27:N28"/>
    <mergeCell ref="B29:N29"/>
    <mergeCell ref="I31:N33"/>
    <mergeCell ref="A1:Q2"/>
    <mergeCell ref="B3:N4"/>
    <mergeCell ref="B5:N5"/>
    <mergeCell ref="I8:N10"/>
    <mergeCell ref="A14:A16"/>
    <mergeCell ref="A25:Q26"/>
  </mergeCells>
  <dataValidations count="1">
    <dataValidation type="list" allowBlank="1" showInputMessage="1" showErrorMessage="1" sqref="I19:I22" xr:uid="{1CCDEF6F-708B-43A0-81CB-CA86E340195C}">
      <formula1>$C$18:$C$24</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B94A9-DE32-43A5-A4EE-BB96BBA66DF1}">
  <dimension ref="A1:K43"/>
  <sheetViews>
    <sheetView topLeftCell="A9" zoomScale="80" zoomScaleNormal="80" workbookViewId="0">
      <selection activeCell="A21" sqref="A21:K21"/>
    </sheetView>
  </sheetViews>
  <sheetFormatPr defaultColWidth="11.42578125" defaultRowHeight="14.45"/>
  <cols>
    <col min="1" max="1" width="11.42578125" style="364"/>
    <col min="2" max="2" width="31.42578125" style="364" customWidth="1"/>
    <col min="3" max="3" width="122.7109375" style="363" customWidth="1"/>
    <col min="4" max="4" width="18.85546875" style="365" bestFit="1" customWidth="1"/>
    <col min="5" max="5" width="18.85546875" style="365" customWidth="1"/>
    <col min="6" max="6" width="15.42578125" style="366" customWidth="1"/>
    <col min="7" max="9" width="38.42578125" style="363" customWidth="1"/>
    <col min="10" max="10" width="38.42578125" style="363" hidden="1" customWidth="1"/>
    <col min="11" max="11" width="48.7109375" style="363" hidden="1" customWidth="1"/>
    <col min="12" max="12" width="33.28515625" style="306" customWidth="1"/>
    <col min="13" max="16384" width="11.42578125" style="306"/>
  </cols>
  <sheetData>
    <row r="1" spans="1:11" ht="84.6" customHeight="1" thickBot="1">
      <c r="A1" s="646" t="s">
        <v>140</v>
      </c>
      <c r="B1" s="647"/>
      <c r="C1" s="647"/>
      <c r="D1" s="647"/>
      <c r="E1" s="647"/>
      <c r="F1" s="647"/>
      <c r="G1" s="647"/>
      <c r="H1" s="647"/>
      <c r="I1" s="647"/>
      <c r="J1" s="648"/>
      <c r="K1" s="649"/>
    </row>
    <row r="2" spans="1:11" ht="40.9" customHeight="1" thickBot="1">
      <c r="A2" s="650" t="s">
        <v>141</v>
      </c>
      <c r="B2" s="651"/>
      <c r="C2" s="651"/>
      <c r="D2" s="651"/>
      <c r="E2" s="651"/>
      <c r="F2" s="652"/>
      <c r="G2" s="653" t="s">
        <v>142</v>
      </c>
      <c r="H2" s="653"/>
      <c r="I2" s="653"/>
      <c r="J2" s="653"/>
      <c r="K2" s="654"/>
    </row>
    <row r="3" spans="1:11" s="315" customFormat="1" ht="90" customHeight="1" thickBot="1">
      <c r="A3" s="307" t="s">
        <v>143</v>
      </c>
      <c r="B3" s="307" t="s">
        <v>81</v>
      </c>
      <c r="C3" s="308" t="s">
        <v>82</v>
      </c>
      <c r="D3" s="309" t="s">
        <v>83</v>
      </c>
      <c r="E3" s="310" t="s">
        <v>84</v>
      </c>
      <c r="F3" s="310" t="s">
        <v>85</v>
      </c>
      <c r="G3" s="311" t="s">
        <v>144</v>
      </c>
      <c r="H3" s="312" t="s">
        <v>145</v>
      </c>
      <c r="I3" s="313" t="s">
        <v>146</v>
      </c>
      <c r="J3" s="314" t="s">
        <v>147</v>
      </c>
      <c r="K3" s="314" t="s">
        <v>148</v>
      </c>
    </row>
    <row r="4" spans="1:11" s="315" customFormat="1" ht="32.450000000000003" customHeight="1" thickBot="1">
      <c r="A4" s="655" t="s">
        <v>90</v>
      </c>
      <c r="B4" s="656"/>
      <c r="C4" s="656"/>
      <c r="D4" s="656"/>
      <c r="E4" s="656"/>
      <c r="F4" s="656"/>
      <c r="G4" s="656"/>
      <c r="H4" s="656"/>
      <c r="I4" s="656"/>
      <c r="J4" s="656"/>
      <c r="K4" s="657"/>
    </row>
    <row r="5" spans="1:11" s="315" customFormat="1" ht="409.6" customHeight="1">
      <c r="A5" s="370">
        <v>1</v>
      </c>
      <c r="B5" s="371" t="s">
        <v>91</v>
      </c>
      <c r="C5" s="372" t="s">
        <v>149</v>
      </c>
      <c r="D5" s="373">
        <v>7.5</v>
      </c>
      <c r="E5" s="373" t="s">
        <v>93</v>
      </c>
      <c r="F5" s="399">
        <v>140</v>
      </c>
      <c r="G5" s="375">
        <v>20000</v>
      </c>
      <c r="H5" s="375">
        <f>+G5*19%</f>
        <v>3800</v>
      </c>
      <c r="I5" s="376">
        <f>+G5+H5</f>
        <v>23800</v>
      </c>
      <c r="J5" s="376">
        <f>+I5*F5</f>
        <v>3332000</v>
      </c>
      <c r="K5" s="377">
        <f>+D5*J5</f>
        <v>24990000</v>
      </c>
    </row>
    <row r="6" spans="1:11" s="315" customFormat="1" ht="73.5" customHeight="1">
      <c r="A6" s="378">
        <v>2</v>
      </c>
      <c r="B6" s="379" t="s">
        <v>94</v>
      </c>
      <c r="C6" s="380" t="s">
        <v>95</v>
      </c>
      <c r="D6" s="381">
        <v>7.5</v>
      </c>
      <c r="E6" s="381" t="s">
        <v>93</v>
      </c>
      <c r="F6" s="419">
        <v>2</v>
      </c>
      <c r="G6" s="383">
        <v>35000</v>
      </c>
      <c r="H6" s="383">
        <f>+G6*19%</f>
        <v>6650</v>
      </c>
      <c r="I6" s="384">
        <f>+G6+H6</f>
        <v>41650</v>
      </c>
      <c r="J6" s="384">
        <f>+I6*F6</f>
        <v>83300</v>
      </c>
      <c r="K6" s="385">
        <f>+D6*J6</f>
        <v>624750</v>
      </c>
    </row>
    <row r="7" spans="1:11" s="315" customFormat="1" ht="408.75" customHeight="1">
      <c r="A7" s="378">
        <v>3</v>
      </c>
      <c r="B7" s="386" t="s">
        <v>150</v>
      </c>
      <c r="C7" s="387" t="s">
        <v>151</v>
      </c>
      <c r="D7" s="381">
        <v>7.5</v>
      </c>
      <c r="E7" s="381" t="s">
        <v>93</v>
      </c>
      <c r="F7" s="419">
        <v>5</v>
      </c>
      <c r="G7" s="383">
        <v>125000</v>
      </c>
      <c r="H7" s="383">
        <f t="shared" ref="H7:H8" si="0">+G7*19%</f>
        <v>23750</v>
      </c>
      <c r="I7" s="384">
        <f t="shared" ref="I7:I8" si="1">+G7+H7</f>
        <v>148750</v>
      </c>
      <c r="J7" s="384">
        <f>+I7*F7</f>
        <v>743750</v>
      </c>
      <c r="K7" s="385">
        <f>+D7*J7</f>
        <v>5578125</v>
      </c>
    </row>
    <row r="8" spans="1:11" s="315" customFormat="1" ht="409.5" customHeight="1">
      <c r="A8" s="378">
        <v>4</v>
      </c>
      <c r="B8" s="386" t="s">
        <v>152</v>
      </c>
      <c r="C8" s="387" t="s">
        <v>99</v>
      </c>
      <c r="D8" s="381">
        <v>7.5</v>
      </c>
      <c r="E8" s="381" t="s">
        <v>93</v>
      </c>
      <c r="F8" s="419">
        <v>2</v>
      </c>
      <c r="G8" s="383">
        <v>66000</v>
      </c>
      <c r="H8" s="383">
        <f t="shared" si="0"/>
        <v>12540</v>
      </c>
      <c r="I8" s="384">
        <f t="shared" si="1"/>
        <v>78540</v>
      </c>
      <c r="J8" s="384">
        <f t="shared" ref="J8" si="2">+I8*F8</f>
        <v>157080</v>
      </c>
      <c r="K8" s="385">
        <f t="shared" ref="K8" si="3">+D8*J8</f>
        <v>1178100</v>
      </c>
    </row>
    <row r="9" spans="1:11" s="315" customFormat="1" ht="163.9" customHeight="1" thickBot="1">
      <c r="A9" s="388">
        <v>5</v>
      </c>
      <c r="B9" s="389" t="s">
        <v>100</v>
      </c>
      <c r="C9" s="390" t="s">
        <v>101</v>
      </c>
      <c r="D9" s="391">
        <v>7.5</v>
      </c>
      <c r="E9" s="391" t="s">
        <v>93</v>
      </c>
      <c r="F9" s="403">
        <v>6</v>
      </c>
      <c r="G9" s="393">
        <v>38000</v>
      </c>
      <c r="H9" s="393">
        <f>+G9*19%</f>
        <v>7220</v>
      </c>
      <c r="I9" s="394">
        <f>+G9+H9</f>
        <v>45220</v>
      </c>
      <c r="J9" s="394">
        <f>+I9*F9</f>
        <v>271320</v>
      </c>
      <c r="K9" s="395">
        <f>+D9*J9</f>
        <v>2034900</v>
      </c>
    </row>
    <row r="10" spans="1:11" s="315" customFormat="1" ht="40.15" customHeight="1" thickBot="1">
      <c r="A10" s="658" t="s">
        <v>153</v>
      </c>
      <c r="B10" s="659"/>
      <c r="C10" s="659"/>
      <c r="D10" s="659"/>
      <c r="E10" s="659"/>
      <c r="F10" s="659"/>
      <c r="G10" s="659"/>
      <c r="H10" s="659"/>
      <c r="I10" s="342">
        <f>SUM(I5:I9)</f>
        <v>337960</v>
      </c>
      <c r="J10" s="343"/>
      <c r="K10" s="344">
        <f>SUM(K5:K9)</f>
        <v>34405875</v>
      </c>
    </row>
    <row r="11" spans="1:11" s="315" customFormat="1" ht="41.45" customHeight="1" thickBot="1">
      <c r="A11" s="660" t="s">
        <v>154</v>
      </c>
      <c r="B11" s="661"/>
      <c r="C11" s="661"/>
      <c r="D11" s="661"/>
      <c r="E11" s="661"/>
      <c r="F11" s="661"/>
      <c r="G11" s="661"/>
      <c r="H11" s="661"/>
      <c r="I11" s="661"/>
      <c r="J11" s="661"/>
      <c r="K11" s="662"/>
    </row>
    <row r="12" spans="1:11" s="315" customFormat="1" ht="252" customHeight="1">
      <c r="A12" s="370">
        <v>6</v>
      </c>
      <c r="B12" s="396" t="s">
        <v>155</v>
      </c>
      <c r="C12" s="397" t="s">
        <v>156</v>
      </c>
      <c r="D12" s="398">
        <v>7.5</v>
      </c>
      <c r="E12" s="398" t="s">
        <v>93</v>
      </c>
      <c r="F12" s="399">
        <v>6</v>
      </c>
      <c r="G12" s="375">
        <v>163000</v>
      </c>
      <c r="H12" s="375">
        <f>+G12*19%</f>
        <v>30970</v>
      </c>
      <c r="I12" s="376">
        <f>+G12+H12</f>
        <v>193970</v>
      </c>
      <c r="J12" s="376">
        <f>+I12*F12</f>
        <v>1163820</v>
      </c>
      <c r="K12" s="377">
        <f>+D12*J12</f>
        <v>8728650</v>
      </c>
    </row>
    <row r="13" spans="1:11" s="315" customFormat="1" ht="354.6" customHeight="1" thickBot="1">
      <c r="A13" s="388">
        <v>7</v>
      </c>
      <c r="B13" s="400" t="s">
        <v>157</v>
      </c>
      <c r="C13" s="401" t="s">
        <v>158</v>
      </c>
      <c r="D13" s="402">
        <v>7.5</v>
      </c>
      <c r="E13" s="402" t="s">
        <v>93</v>
      </c>
      <c r="F13" s="403">
        <v>1</v>
      </c>
      <c r="G13" s="393">
        <v>1000000</v>
      </c>
      <c r="H13" s="393">
        <f>+G13*19%</f>
        <v>190000</v>
      </c>
      <c r="I13" s="394">
        <f>+G13+H13</f>
        <v>1190000</v>
      </c>
      <c r="J13" s="394">
        <f>+I13*F13</f>
        <v>1190000</v>
      </c>
      <c r="K13" s="395">
        <f>+D13*J13</f>
        <v>8925000</v>
      </c>
    </row>
    <row r="14" spans="1:11" s="315" customFormat="1" ht="34.9" customHeight="1" thickBot="1">
      <c r="A14" s="658" t="s">
        <v>153</v>
      </c>
      <c r="B14" s="659"/>
      <c r="C14" s="659"/>
      <c r="D14" s="659"/>
      <c r="E14" s="659"/>
      <c r="F14" s="659"/>
      <c r="G14" s="659"/>
      <c r="H14" s="659"/>
      <c r="I14" s="342">
        <f>+I12+I13</f>
        <v>1383970</v>
      </c>
      <c r="J14" s="343"/>
      <c r="K14" s="344">
        <f>K13</f>
        <v>8925000</v>
      </c>
    </row>
    <row r="15" spans="1:11" s="315" customFormat="1" ht="33.6" customHeight="1" thickBot="1">
      <c r="A15" s="655" t="s">
        <v>102</v>
      </c>
      <c r="B15" s="656"/>
      <c r="C15" s="656"/>
      <c r="D15" s="656"/>
      <c r="E15" s="656"/>
      <c r="F15" s="656"/>
      <c r="G15" s="656"/>
      <c r="H15" s="656"/>
      <c r="I15" s="656"/>
      <c r="J15" s="656"/>
      <c r="K15" s="657"/>
    </row>
    <row r="16" spans="1:11" s="315" customFormat="1" ht="276.75" customHeight="1">
      <c r="A16" s="370">
        <v>8</v>
      </c>
      <c r="B16" s="396" t="s">
        <v>103</v>
      </c>
      <c r="C16" s="404" t="s">
        <v>104</v>
      </c>
      <c r="D16" s="373">
        <v>7.5</v>
      </c>
      <c r="E16" s="373" t="s">
        <v>93</v>
      </c>
      <c r="F16" s="399">
        <v>2</v>
      </c>
      <c r="G16" s="375">
        <v>530000</v>
      </c>
      <c r="H16" s="375">
        <f>+G16*19%</f>
        <v>100700</v>
      </c>
      <c r="I16" s="376">
        <f>+G16+H16</f>
        <v>630700</v>
      </c>
      <c r="J16" s="376">
        <f>+I16*F16</f>
        <v>1261400</v>
      </c>
      <c r="K16" s="377">
        <f>+D16*J16</f>
        <v>9460500</v>
      </c>
    </row>
    <row r="17" spans="1:11" s="315" customFormat="1" ht="183.75" customHeight="1">
      <c r="A17" s="378">
        <v>9</v>
      </c>
      <c r="B17" s="379" t="s">
        <v>105</v>
      </c>
      <c r="C17" s="380" t="s">
        <v>106</v>
      </c>
      <c r="D17" s="381">
        <v>7.5</v>
      </c>
      <c r="E17" s="381" t="s">
        <v>93</v>
      </c>
      <c r="F17" s="419">
        <v>2</v>
      </c>
      <c r="G17" s="383">
        <v>105000</v>
      </c>
      <c r="H17" s="383">
        <f>+G17*19%</f>
        <v>19950</v>
      </c>
      <c r="I17" s="384">
        <f>+G17+H17</f>
        <v>124950</v>
      </c>
      <c r="J17" s="384">
        <f>+I17*F17</f>
        <v>249900</v>
      </c>
      <c r="K17" s="385">
        <f>+D17*J17</f>
        <v>1874250</v>
      </c>
    </row>
    <row r="18" spans="1:11" s="315" customFormat="1" ht="87" customHeight="1">
      <c r="A18" s="378">
        <v>10</v>
      </c>
      <c r="B18" s="379" t="s">
        <v>107</v>
      </c>
      <c r="C18" s="380" t="s">
        <v>108</v>
      </c>
      <c r="D18" s="381">
        <v>7.5</v>
      </c>
      <c r="E18" s="381" t="s">
        <v>93</v>
      </c>
      <c r="F18" s="419">
        <v>2</v>
      </c>
      <c r="G18" s="383">
        <v>85000</v>
      </c>
      <c r="H18" s="383">
        <f>+G18*19%</f>
        <v>16150</v>
      </c>
      <c r="I18" s="384">
        <f>+G18+H18</f>
        <v>101150</v>
      </c>
      <c r="J18" s="384">
        <f>+I18*F18</f>
        <v>202300</v>
      </c>
      <c r="K18" s="385">
        <f>+D18*J18</f>
        <v>1517250</v>
      </c>
    </row>
    <row r="19" spans="1:11" s="315" customFormat="1" ht="141.6" customHeight="1" thickBot="1">
      <c r="A19" s="388">
        <v>11</v>
      </c>
      <c r="B19" s="389" t="s">
        <v>109</v>
      </c>
      <c r="C19" s="390" t="s">
        <v>110</v>
      </c>
      <c r="D19" s="391">
        <v>7.5</v>
      </c>
      <c r="E19" s="391" t="s">
        <v>93</v>
      </c>
      <c r="F19" s="403">
        <v>2</v>
      </c>
      <c r="G19" s="393">
        <v>92000</v>
      </c>
      <c r="H19" s="393">
        <f>+G19*19%</f>
        <v>17480</v>
      </c>
      <c r="I19" s="394">
        <f>+G19+H19</f>
        <v>109480</v>
      </c>
      <c r="J19" s="394">
        <f>+I19*F19</f>
        <v>218960</v>
      </c>
      <c r="K19" s="395">
        <f>+D19*J19</f>
        <v>1642200</v>
      </c>
    </row>
    <row r="20" spans="1:11" s="315" customFormat="1" ht="37.15" customHeight="1" thickBot="1">
      <c r="A20" s="658" t="s">
        <v>153</v>
      </c>
      <c r="B20" s="659"/>
      <c r="C20" s="659"/>
      <c r="D20" s="659"/>
      <c r="E20" s="659"/>
      <c r="F20" s="659"/>
      <c r="G20" s="659"/>
      <c r="H20" s="659"/>
      <c r="I20" s="342">
        <f>SUM(I16,I17,I18,I19)</f>
        <v>966280</v>
      </c>
      <c r="J20" s="343"/>
      <c r="K20" s="344">
        <f>SUM(K16,K17,K18,K19)</f>
        <v>14494200</v>
      </c>
    </row>
    <row r="21" spans="1:11" s="315" customFormat="1" ht="34.15" customHeight="1" thickBot="1">
      <c r="A21" s="655" t="s">
        <v>159</v>
      </c>
      <c r="B21" s="656"/>
      <c r="C21" s="656"/>
      <c r="D21" s="656"/>
      <c r="E21" s="656"/>
      <c r="F21" s="656"/>
      <c r="G21" s="656"/>
      <c r="H21" s="656"/>
      <c r="I21" s="656"/>
      <c r="J21" s="656"/>
      <c r="K21" s="657"/>
    </row>
    <row r="22" spans="1:11" s="315" customFormat="1" ht="163.9" customHeight="1" thickBot="1">
      <c r="A22" s="408">
        <v>12</v>
      </c>
      <c r="B22" s="409" t="s">
        <v>160</v>
      </c>
      <c r="C22" s="410" t="s">
        <v>161</v>
      </c>
      <c r="D22" s="411">
        <v>7.5</v>
      </c>
      <c r="E22" s="411" t="s">
        <v>93</v>
      </c>
      <c r="F22" s="412">
        <v>1</v>
      </c>
      <c r="G22" s="413">
        <v>2160000</v>
      </c>
      <c r="H22" s="413">
        <f>+G22*19%</f>
        <v>410400</v>
      </c>
      <c r="I22" s="414">
        <f>+G22+H22</f>
        <v>2570400</v>
      </c>
      <c r="J22" s="414">
        <f>+I22*F22</f>
        <v>2570400</v>
      </c>
      <c r="K22" s="415">
        <f>+D22*J22</f>
        <v>19278000</v>
      </c>
    </row>
    <row r="23" spans="1:11" s="315" customFormat="1" ht="48" customHeight="1" thickBot="1">
      <c r="A23" s="658" t="s">
        <v>153</v>
      </c>
      <c r="B23" s="659"/>
      <c r="C23" s="659"/>
      <c r="D23" s="659"/>
      <c r="E23" s="659"/>
      <c r="F23" s="659"/>
      <c r="G23" s="659"/>
      <c r="H23" s="659"/>
      <c r="I23" s="342">
        <f>I22</f>
        <v>2570400</v>
      </c>
      <c r="J23" s="343"/>
      <c r="K23" s="344">
        <f>K22</f>
        <v>19278000</v>
      </c>
    </row>
    <row r="24" spans="1:11" ht="79.900000000000006" customHeight="1">
      <c r="A24" s="644" t="s">
        <v>162</v>
      </c>
      <c r="B24" s="645"/>
      <c r="C24" s="645"/>
      <c r="D24" s="645"/>
      <c r="E24" s="645"/>
      <c r="F24" s="645"/>
      <c r="G24" s="645"/>
      <c r="H24" s="645"/>
      <c r="I24" s="416"/>
      <c r="J24" s="416"/>
      <c r="K24" s="417">
        <f>SUM(K10,K14,K20,K23)</f>
        <v>77103075</v>
      </c>
    </row>
    <row r="25" spans="1:11" ht="40.9" customHeight="1">
      <c r="A25" s="642" t="s">
        <v>163</v>
      </c>
      <c r="B25" s="642"/>
      <c r="C25" s="642"/>
      <c r="D25" s="642"/>
      <c r="E25" s="642"/>
      <c r="F25" s="642"/>
      <c r="G25" s="642"/>
      <c r="H25" s="642"/>
      <c r="I25" s="642"/>
      <c r="J25" s="362"/>
      <c r="K25" s="362"/>
    </row>
    <row r="26" spans="1:11" ht="48" customHeight="1">
      <c r="A26" s="642" t="s">
        <v>164</v>
      </c>
      <c r="B26" s="642"/>
      <c r="C26" s="642"/>
      <c r="D26" s="642"/>
      <c r="E26" s="642"/>
      <c r="F26" s="642"/>
      <c r="G26" s="642"/>
      <c r="H26" s="642"/>
      <c r="I26" s="642"/>
      <c r="J26" s="362"/>
      <c r="K26" s="362"/>
    </row>
    <row r="27" spans="1:11" ht="75.599999999999994" customHeight="1">
      <c r="A27" s="643" t="s">
        <v>165</v>
      </c>
      <c r="B27" s="643"/>
      <c r="C27" s="643"/>
      <c r="D27" s="643"/>
      <c r="E27" s="643"/>
      <c r="F27" s="643"/>
      <c r="G27" s="643"/>
      <c r="H27" s="643"/>
      <c r="I27" s="424">
        <f>I23+I20+I14+I10</f>
        <v>5258610</v>
      </c>
    </row>
    <row r="29" spans="1:11" ht="50.25" customHeight="1">
      <c r="A29" s="637" t="s">
        <v>166</v>
      </c>
      <c r="B29" s="638"/>
      <c r="C29" s="639" t="s">
        <v>167</v>
      </c>
      <c r="D29" s="640"/>
      <c r="E29" s="640"/>
      <c r="F29" s="640"/>
      <c r="G29" s="641"/>
    </row>
    <row r="30" spans="1:11" ht="60.6" customHeight="1">
      <c r="A30" s="637" t="s">
        <v>168</v>
      </c>
      <c r="B30" s="638"/>
      <c r="C30" s="639" t="s">
        <v>169</v>
      </c>
      <c r="D30" s="640"/>
      <c r="E30" s="640"/>
      <c r="F30" s="640"/>
      <c r="G30" s="641"/>
    </row>
    <row r="31" spans="1:11" ht="60.6" customHeight="1">
      <c r="A31" s="637" t="s">
        <v>170</v>
      </c>
      <c r="B31" s="638"/>
      <c r="C31" s="639">
        <v>60406951</v>
      </c>
      <c r="D31" s="640"/>
      <c r="E31" s="640"/>
      <c r="F31" s="640"/>
      <c r="G31" s="641"/>
    </row>
    <row r="32" spans="1:11" ht="60.6" customHeight="1">
      <c r="A32" s="637" t="s">
        <v>171</v>
      </c>
      <c r="B32" s="638"/>
      <c r="C32" s="722"/>
      <c r="D32" s="723"/>
      <c r="E32" s="723"/>
      <c r="F32" s="723"/>
      <c r="G32" s="724"/>
    </row>
    <row r="41" spans="7:7">
      <c r="G41" s="367"/>
    </row>
    <row r="43" spans="7:7">
      <c r="G43" s="368"/>
    </row>
  </sheetData>
  <mergeCells count="23">
    <mergeCell ref="A24:H24"/>
    <mergeCell ref="A1:K1"/>
    <mergeCell ref="A2:F2"/>
    <mergeCell ref="G2:K2"/>
    <mergeCell ref="A4:K4"/>
    <mergeCell ref="A10:H10"/>
    <mergeCell ref="A11:K11"/>
    <mergeCell ref="A14:H14"/>
    <mergeCell ref="A15:K15"/>
    <mergeCell ref="A20:H20"/>
    <mergeCell ref="A21:K21"/>
    <mergeCell ref="A23:H23"/>
    <mergeCell ref="A31:B31"/>
    <mergeCell ref="C31:G31"/>
    <mergeCell ref="A32:B32"/>
    <mergeCell ref="C32:G32"/>
    <mergeCell ref="A25:I25"/>
    <mergeCell ref="A26:I26"/>
    <mergeCell ref="A27:H27"/>
    <mergeCell ref="A29:B29"/>
    <mergeCell ref="C29:G29"/>
    <mergeCell ref="A30:B30"/>
    <mergeCell ref="C30:G30"/>
  </mergeCells>
  <pageMargins left="0.7" right="0.7" top="0.75" bottom="0.75" header="0.3" footer="0.3"/>
  <pageSetup orientation="portrait" horizontalDpi="200" verticalDpi="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65E87-88C4-47A9-A809-DB373D1B2F24}">
  <dimension ref="A1:N43"/>
  <sheetViews>
    <sheetView topLeftCell="A2" zoomScale="50" zoomScaleNormal="50" workbookViewId="0">
      <selection activeCell="F5" sqref="F5"/>
    </sheetView>
  </sheetViews>
  <sheetFormatPr defaultColWidth="11.42578125" defaultRowHeight="14.45"/>
  <cols>
    <col min="1" max="1" width="11.42578125" style="364"/>
    <col min="2" max="2" width="31.42578125" style="364" customWidth="1"/>
    <col min="3" max="3" width="122.7109375" style="363" customWidth="1"/>
    <col min="4" max="4" width="18.85546875" style="365" bestFit="1" customWidth="1"/>
    <col min="5" max="5" width="18.85546875" style="365" customWidth="1"/>
    <col min="6" max="6" width="15.42578125" style="366" customWidth="1"/>
    <col min="7" max="10" width="38.42578125" style="363" customWidth="1"/>
    <col min="11" max="11" width="48.7109375" style="363" customWidth="1"/>
    <col min="12" max="12" width="33.28515625" style="306" customWidth="1"/>
    <col min="13" max="13" width="11.42578125" style="306"/>
    <col min="14" max="14" width="15.7109375" style="306" bestFit="1" customWidth="1"/>
    <col min="15" max="16384" width="11.42578125" style="306"/>
  </cols>
  <sheetData>
    <row r="1" spans="1:14" ht="84.6" customHeight="1" thickBot="1">
      <c r="A1" s="646" t="s">
        <v>140</v>
      </c>
      <c r="B1" s="647"/>
      <c r="C1" s="647"/>
      <c r="D1" s="647"/>
      <c r="E1" s="647"/>
      <c r="F1" s="647"/>
      <c r="G1" s="647"/>
      <c r="H1" s="647"/>
      <c r="I1" s="647"/>
      <c r="J1" s="648"/>
      <c r="K1" s="649"/>
      <c r="M1" s="306" t="s">
        <v>172</v>
      </c>
      <c r="N1" s="306" t="s">
        <v>172</v>
      </c>
    </row>
    <row r="2" spans="1:14" ht="40.9" customHeight="1" thickBot="1">
      <c r="A2" s="650" t="s">
        <v>141</v>
      </c>
      <c r="B2" s="651"/>
      <c r="C2" s="651"/>
      <c r="D2" s="651"/>
      <c r="E2" s="651"/>
      <c r="F2" s="652"/>
      <c r="G2" s="653" t="s">
        <v>142</v>
      </c>
      <c r="H2" s="653"/>
      <c r="I2" s="653"/>
      <c r="J2" s="653"/>
      <c r="K2" s="654"/>
    </row>
    <row r="3" spans="1:14" s="315" customFormat="1" ht="90" customHeight="1" thickBot="1">
      <c r="A3" s="307" t="s">
        <v>143</v>
      </c>
      <c r="B3" s="307" t="s">
        <v>81</v>
      </c>
      <c r="C3" s="308" t="s">
        <v>82</v>
      </c>
      <c r="D3" s="309" t="s">
        <v>83</v>
      </c>
      <c r="E3" s="310" t="s">
        <v>84</v>
      </c>
      <c r="F3" s="310" t="s">
        <v>85</v>
      </c>
      <c r="G3" s="311" t="s">
        <v>144</v>
      </c>
      <c r="H3" s="312" t="s">
        <v>145</v>
      </c>
      <c r="I3" s="313" t="s">
        <v>146</v>
      </c>
      <c r="J3" s="314" t="s">
        <v>147</v>
      </c>
      <c r="K3" s="314" t="s">
        <v>148</v>
      </c>
      <c r="M3" s="315" t="s">
        <v>172</v>
      </c>
    </row>
    <row r="4" spans="1:14" s="315" customFormat="1" ht="32.450000000000003" customHeight="1" thickBot="1">
      <c r="A4" s="655" t="s">
        <v>90</v>
      </c>
      <c r="B4" s="656"/>
      <c r="C4" s="656"/>
      <c r="D4" s="656"/>
      <c r="E4" s="656"/>
      <c r="F4" s="656"/>
      <c r="G4" s="656"/>
      <c r="H4" s="656"/>
      <c r="I4" s="656"/>
      <c r="J4" s="656"/>
      <c r="K4" s="657"/>
    </row>
    <row r="5" spans="1:14" s="315" customFormat="1" ht="409.6" customHeight="1" thickBot="1">
      <c r="A5" s="316">
        <v>1</v>
      </c>
      <c r="B5" s="317" t="s">
        <v>91</v>
      </c>
      <c r="C5" s="318" t="s">
        <v>149</v>
      </c>
      <c r="D5" s="319">
        <v>5.5</v>
      </c>
      <c r="E5" s="319" t="s">
        <v>93</v>
      </c>
      <c r="F5" s="320">
        <v>140</v>
      </c>
      <c r="G5" s="321">
        <f>(650000)/12</f>
        <v>54166.666666666664</v>
      </c>
      <c r="H5" s="321">
        <f>+G5*19%</f>
        <v>10291.666666666666</v>
      </c>
      <c r="I5" s="322">
        <f>+G5+H5</f>
        <v>64458.333333333328</v>
      </c>
      <c r="J5" s="322">
        <f>+I5*F5</f>
        <v>9024166.666666666</v>
      </c>
      <c r="K5" s="323">
        <f>+D5*J5</f>
        <v>49632916.666666664</v>
      </c>
    </row>
    <row r="6" spans="1:14" s="315" customFormat="1" ht="73.5" customHeight="1" thickBot="1">
      <c r="A6" s="324">
        <v>2</v>
      </c>
      <c r="B6" s="325" t="s">
        <v>94</v>
      </c>
      <c r="C6" s="326" t="s">
        <v>95</v>
      </c>
      <c r="D6" s="319">
        <v>5.5</v>
      </c>
      <c r="E6" s="327" t="s">
        <v>93</v>
      </c>
      <c r="F6" s="328">
        <v>2</v>
      </c>
      <c r="G6" s="329">
        <f>(70000)/12</f>
        <v>5833.333333333333</v>
      </c>
      <c r="H6" s="329">
        <f>+G6*19%</f>
        <v>1108.3333333333333</v>
      </c>
      <c r="I6" s="330">
        <f>+G6+H6</f>
        <v>6941.6666666666661</v>
      </c>
      <c r="J6" s="330">
        <f>+I6*F6</f>
        <v>13883.333333333332</v>
      </c>
      <c r="K6" s="331">
        <f>+D6*J6</f>
        <v>76358.333333333328</v>
      </c>
    </row>
    <row r="7" spans="1:14" s="315" customFormat="1" ht="408.75" customHeight="1" thickBot="1">
      <c r="A7" s="324">
        <v>3</v>
      </c>
      <c r="B7" s="332" t="s">
        <v>150</v>
      </c>
      <c r="C7" s="333" t="s">
        <v>151</v>
      </c>
      <c r="D7" s="319">
        <v>5.5</v>
      </c>
      <c r="E7" s="327" t="s">
        <v>93</v>
      </c>
      <c r="F7" s="328">
        <v>5</v>
      </c>
      <c r="G7" s="329">
        <f>(1200000)/24</f>
        <v>50000</v>
      </c>
      <c r="H7" s="329">
        <f t="shared" ref="H7:H8" si="0">+G7*19%</f>
        <v>9500</v>
      </c>
      <c r="I7" s="330">
        <f t="shared" ref="I7:I8" si="1">+G7+H7</f>
        <v>59500</v>
      </c>
      <c r="J7" s="330">
        <f t="shared" ref="J7:J8" si="2">+I7*F7</f>
        <v>297500</v>
      </c>
      <c r="K7" s="331">
        <f t="shared" ref="K7:K8" si="3">+D7*J7</f>
        <v>1636250</v>
      </c>
    </row>
    <row r="8" spans="1:14" s="315" customFormat="1" ht="409.5" customHeight="1" thickBot="1">
      <c r="A8" s="324">
        <v>4</v>
      </c>
      <c r="B8" s="332" t="s">
        <v>152</v>
      </c>
      <c r="C8" s="333" t="s">
        <v>99</v>
      </c>
      <c r="D8" s="319">
        <v>5.5</v>
      </c>
      <c r="E8" s="327" t="s">
        <v>93</v>
      </c>
      <c r="F8" s="328">
        <v>2</v>
      </c>
      <c r="G8" s="329">
        <f>(500000)/12</f>
        <v>41666.666666666664</v>
      </c>
      <c r="H8" s="329">
        <f t="shared" si="0"/>
        <v>7916.6666666666661</v>
      </c>
      <c r="I8" s="330">
        <f t="shared" si="1"/>
        <v>49583.333333333328</v>
      </c>
      <c r="J8" s="330">
        <f t="shared" si="2"/>
        <v>99166.666666666657</v>
      </c>
      <c r="K8" s="331">
        <f t="shared" si="3"/>
        <v>545416.66666666663</v>
      </c>
    </row>
    <row r="9" spans="1:14" s="315" customFormat="1" ht="163.9" customHeight="1" thickBot="1">
      <c r="A9" s="334">
        <v>5</v>
      </c>
      <c r="B9" s="335" t="s">
        <v>100</v>
      </c>
      <c r="C9" s="336" t="s">
        <v>101</v>
      </c>
      <c r="D9" s="319">
        <v>5.5</v>
      </c>
      <c r="E9" s="337" t="s">
        <v>93</v>
      </c>
      <c r="F9" s="338">
        <v>6</v>
      </c>
      <c r="G9" s="339">
        <f>(2500000)/12</f>
        <v>208333.33333333334</v>
      </c>
      <c r="H9" s="339">
        <f>+G9*19%</f>
        <v>39583.333333333336</v>
      </c>
      <c r="I9" s="340">
        <f>+G9+H9</f>
        <v>247916.66666666669</v>
      </c>
      <c r="J9" s="340">
        <f>+I9*F9</f>
        <v>1487500</v>
      </c>
      <c r="K9" s="341">
        <f>+D9*J9</f>
        <v>8181250</v>
      </c>
    </row>
    <row r="10" spans="1:14" s="315" customFormat="1" ht="40.15" customHeight="1" thickBot="1">
      <c r="A10" s="658" t="s">
        <v>153</v>
      </c>
      <c r="B10" s="659"/>
      <c r="C10" s="659"/>
      <c r="D10" s="659"/>
      <c r="E10" s="659"/>
      <c r="F10" s="659"/>
      <c r="G10" s="659"/>
      <c r="H10" s="659"/>
      <c r="I10" s="342">
        <f>SUM(I5:I9)</f>
        <v>428400</v>
      </c>
      <c r="J10" s="343"/>
      <c r="K10" s="344">
        <f>SUM(K5:K9)</f>
        <v>60072191.666666664</v>
      </c>
    </row>
    <row r="11" spans="1:14" s="315" customFormat="1" ht="41.45" customHeight="1" thickBot="1">
      <c r="A11" s="660" t="s">
        <v>154</v>
      </c>
      <c r="B11" s="661"/>
      <c r="C11" s="661"/>
      <c r="D11" s="661"/>
      <c r="E11" s="661"/>
      <c r="F11" s="661"/>
      <c r="G11" s="661"/>
      <c r="H11" s="661"/>
      <c r="I11" s="661"/>
      <c r="J11" s="661"/>
      <c r="K11" s="666"/>
    </row>
    <row r="12" spans="1:14" s="315" customFormat="1" ht="252" customHeight="1" thickBot="1">
      <c r="A12" s="316">
        <v>6</v>
      </c>
      <c r="B12" s="345" t="s">
        <v>155</v>
      </c>
      <c r="C12" s="346" t="s">
        <v>156</v>
      </c>
      <c r="D12" s="319">
        <v>5.5</v>
      </c>
      <c r="E12" s="347" t="s">
        <v>93</v>
      </c>
      <c r="F12" s="320">
        <v>6</v>
      </c>
      <c r="G12" s="321">
        <f>(1200000)/12</f>
        <v>100000</v>
      </c>
      <c r="H12" s="321">
        <f>+G12*19%</f>
        <v>19000</v>
      </c>
      <c r="I12" s="322">
        <f>+G12+H12</f>
        <v>119000</v>
      </c>
      <c r="J12" s="322">
        <f>+I12*F12</f>
        <v>714000</v>
      </c>
      <c r="K12" s="323">
        <f>+D12*J12</f>
        <v>3927000</v>
      </c>
    </row>
    <row r="13" spans="1:14" s="315" customFormat="1" ht="354.6" customHeight="1" thickBot="1">
      <c r="A13" s="334">
        <v>7</v>
      </c>
      <c r="B13" s="348" t="s">
        <v>157</v>
      </c>
      <c r="C13" s="349" t="s">
        <v>158</v>
      </c>
      <c r="D13" s="319">
        <v>5.5</v>
      </c>
      <c r="E13" s="350" t="s">
        <v>93</v>
      </c>
      <c r="F13" s="338">
        <v>1</v>
      </c>
      <c r="G13" s="339">
        <f>(10000000)/12</f>
        <v>833333.33333333337</v>
      </c>
      <c r="H13" s="339">
        <f>+G13*19%</f>
        <v>158333.33333333334</v>
      </c>
      <c r="I13" s="340">
        <f>+G13+H13</f>
        <v>991666.66666666674</v>
      </c>
      <c r="J13" s="340">
        <f>+I13*F13</f>
        <v>991666.66666666674</v>
      </c>
      <c r="K13" s="341">
        <f>+D13*J13</f>
        <v>5454166.666666667</v>
      </c>
    </row>
    <row r="14" spans="1:14" s="315" customFormat="1" ht="34.9" customHeight="1" thickBot="1">
      <c r="A14" s="658" t="s">
        <v>153</v>
      </c>
      <c r="B14" s="659"/>
      <c r="C14" s="659"/>
      <c r="D14" s="659"/>
      <c r="E14" s="659"/>
      <c r="F14" s="659"/>
      <c r="G14" s="659"/>
      <c r="H14" s="659"/>
      <c r="I14" s="342">
        <f>I13+I12</f>
        <v>1110666.6666666667</v>
      </c>
      <c r="J14" s="343"/>
      <c r="K14" s="344">
        <f>K13</f>
        <v>5454166.666666667</v>
      </c>
    </row>
    <row r="15" spans="1:14" s="315" customFormat="1" ht="33.6" customHeight="1" thickBot="1">
      <c r="A15" s="655" t="s">
        <v>102</v>
      </c>
      <c r="B15" s="656"/>
      <c r="C15" s="656"/>
      <c r="D15" s="656"/>
      <c r="E15" s="656"/>
      <c r="F15" s="656"/>
      <c r="G15" s="656"/>
      <c r="H15" s="656"/>
      <c r="I15" s="656"/>
      <c r="J15" s="656"/>
      <c r="K15" s="657"/>
    </row>
    <row r="16" spans="1:14" s="315" customFormat="1" ht="276.75" customHeight="1" thickBot="1">
      <c r="A16" s="316">
        <v>8</v>
      </c>
      <c r="B16" s="345" t="s">
        <v>103</v>
      </c>
      <c r="C16" s="351" t="s">
        <v>104</v>
      </c>
      <c r="D16" s="319">
        <v>5.5</v>
      </c>
      <c r="E16" s="319" t="s">
        <v>93</v>
      </c>
      <c r="F16" s="320">
        <v>2</v>
      </c>
      <c r="G16" s="321">
        <f>(2000000)/12</f>
        <v>166666.66666666666</v>
      </c>
      <c r="H16" s="321">
        <f>+G16*19%</f>
        <v>31666.666666666664</v>
      </c>
      <c r="I16" s="322">
        <f>+G16+H16</f>
        <v>198333.33333333331</v>
      </c>
      <c r="J16" s="322">
        <f>+I16*F16</f>
        <v>396666.66666666663</v>
      </c>
      <c r="K16" s="323">
        <f>+D16*J16</f>
        <v>2181666.6666666665</v>
      </c>
    </row>
    <row r="17" spans="1:11" s="315" customFormat="1" ht="183.75" customHeight="1" thickBot="1">
      <c r="A17" s="324">
        <v>9</v>
      </c>
      <c r="B17" s="325" t="s">
        <v>105</v>
      </c>
      <c r="C17" s="326" t="s">
        <v>106</v>
      </c>
      <c r="D17" s="319">
        <v>5.5</v>
      </c>
      <c r="E17" s="327" t="s">
        <v>93</v>
      </c>
      <c r="F17" s="328">
        <v>2</v>
      </c>
      <c r="G17" s="329">
        <f>(480000)/12</f>
        <v>40000</v>
      </c>
      <c r="H17" s="329">
        <f>+G17*19%</f>
        <v>7600</v>
      </c>
      <c r="I17" s="330">
        <f>+G17+H17</f>
        <v>47600</v>
      </c>
      <c r="J17" s="330">
        <f>+I17*F17</f>
        <v>95200</v>
      </c>
      <c r="K17" s="331">
        <f>+D17*J17</f>
        <v>523600</v>
      </c>
    </row>
    <row r="18" spans="1:11" s="315" customFormat="1" ht="87" customHeight="1" thickBot="1">
      <c r="A18" s="324">
        <v>10</v>
      </c>
      <c r="B18" s="325" t="s">
        <v>107</v>
      </c>
      <c r="C18" s="326" t="s">
        <v>108</v>
      </c>
      <c r="D18" s="319">
        <v>5.5</v>
      </c>
      <c r="E18" s="327" t="s">
        <v>93</v>
      </c>
      <c r="F18" s="328">
        <v>2</v>
      </c>
      <c r="G18" s="329">
        <f>(350000)/12</f>
        <v>29166.666666666668</v>
      </c>
      <c r="H18" s="329">
        <f>+G18*19%</f>
        <v>5541.666666666667</v>
      </c>
      <c r="I18" s="330">
        <f>+G18+H18</f>
        <v>34708.333333333336</v>
      </c>
      <c r="J18" s="330">
        <f>+I18*F18</f>
        <v>69416.666666666672</v>
      </c>
      <c r="K18" s="331">
        <f>+D18*J18</f>
        <v>381791.66666666669</v>
      </c>
    </row>
    <row r="19" spans="1:11" s="315" customFormat="1" ht="141.6" customHeight="1" thickBot="1">
      <c r="A19" s="334">
        <v>11</v>
      </c>
      <c r="B19" s="335" t="s">
        <v>109</v>
      </c>
      <c r="C19" s="336" t="s">
        <v>110</v>
      </c>
      <c r="D19" s="319">
        <v>5.5</v>
      </c>
      <c r="E19" s="337" t="s">
        <v>93</v>
      </c>
      <c r="F19" s="338">
        <v>2</v>
      </c>
      <c r="G19" s="339">
        <f>(5000000)/12</f>
        <v>416666.66666666669</v>
      </c>
      <c r="H19" s="339">
        <f>+G19*19%</f>
        <v>79166.666666666672</v>
      </c>
      <c r="I19" s="340">
        <f>+G19+H19</f>
        <v>495833.33333333337</v>
      </c>
      <c r="J19" s="340">
        <f>+I19*F19</f>
        <v>991666.66666666674</v>
      </c>
      <c r="K19" s="341">
        <f>+D19*J19</f>
        <v>5454166.666666667</v>
      </c>
    </row>
    <row r="20" spans="1:11" s="315" customFormat="1" ht="37.15" customHeight="1" thickBot="1">
      <c r="A20" s="658" t="s">
        <v>153</v>
      </c>
      <c r="B20" s="659"/>
      <c r="C20" s="659"/>
      <c r="D20" s="659"/>
      <c r="E20" s="659"/>
      <c r="F20" s="659"/>
      <c r="G20" s="659"/>
      <c r="H20" s="659"/>
      <c r="I20" s="342">
        <f>SUM(I16,I17,I18,I19)</f>
        <v>776475</v>
      </c>
      <c r="J20" s="343"/>
      <c r="K20" s="344">
        <f>SUM(K16,K17,K18,K19)</f>
        <v>8541225</v>
      </c>
    </row>
    <row r="21" spans="1:11" s="315" customFormat="1" ht="34.15" customHeight="1" thickBot="1">
      <c r="A21" s="655" t="s">
        <v>159</v>
      </c>
      <c r="B21" s="656"/>
      <c r="C21" s="656"/>
      <c r="D21" s="656"/>
      <c r="E21" s="656"/>
      <c r="F21" s="656"/>
      <c r="G21" s="656"/>
      <c r="H21" s="656"/>
      <c r="I21" s="656"/>
      <c r="J21" s="656"/>
      <c r="K21" s="657"/>
    </row>
    <row r="22" spans="1:11" s="315" customFormat="1" ht="163.9" customHeight="1" thickBot="1">
      <c r="A22" s="352">
        <v>12</v>
      </c>
      <c r="B22" s="353" t="s">
        <v>160</v>
      </c>
      <c r="C22" s="354" t="s">
        <v>161</v>
      </c>
      <c r="D22" s="319">
        <v>5.5</v>
      </c>
      <c r="E22" s="355" t="s">
        <v>93</v>
      </c>
      <c r="F22" s="356">
        <v>1</v>
      </c>
      <c r="G22" s="357">
        <f>(1000000)/12</f>
        <v>83333.333333333328</v>
      </c>
      <c r="H22" s="357">
        <f>+G22*19%</f>
        <v>15833.333333333332</v>
      </c>
      <c r="I22" s="358">
        <f>+G22+H22</f>
        <v>99166.666666666657</v>
      </c>
      <c r="J22" s="358">
        <f>+I22*F22</f>
        <v>99166.666666666657</v>
      </c>
      <c r="K22" s="359">
        <f>+D22*J22</f>
        <v>545416.66666666663</v>
      </c>
    </row>
    <row r="23" spans="1:11" s="315" customFormat="1" ht="48" customHeight="1" thickBot="1">
      <c r="A23" s="658" t="s">
        <v>153</v>
      </c>
      <c r="B23" s="659"/>
      <c r="C23" s="659"/>
      <c r="D23" s="659"/>
      <c r="E23" s="659"/>
      <c r="F23" s="659"/>
      <c r="G23" s="659"/>
      <c r="H23" s="659"/>
      <c r="I23" s="342">
        <f>I22</f>
        <v>99166.666666666657</v>
      </c>
      <c r="J23" s="343"/>
      <c r="K23" s="344">
        <f>K22</f>
        <v>545416.66666666663</v>
      </c>
    </row>
    <row r="24" spans="1:11" ht="79.900000000000006" customHeight="1" thickBot="1">
      <c r="A24" s="664" t="s">
        <v>162</v>
      </c>
      <c r="B24" s="665"/>
      <c r="C24" s="665"/>
      <c r="D24" s="665"/>
      <c r="E24" s="665"/>
      <c r="F24" s="665"/>
      <c r="G24" s="665"/>
      <c r="H24" s="665"/>
      <c r="I24" s="360"/>
      <c r="J24" s="360"/>
      <c r="K24" s="361">
        <f>SUM(K5,K6,K7,K8,K9,K12,K13,K16,K17,K18,K19,K22)</f>
        <v>78540000.000000015</v>
      </c>
    </row>
    <row r="25" spans="1:11" ht="40.9" customHeight="1">
      <c r="A25" s="642" t="s">
        <v>163</v>
      </c>
      <c r="B25" s="642"/>
      <c r="C25" s="642"/>
      <c r="D25" s="642"/>
      <c r="E25" s="642"/>
      <c r="F25" s="642"/>
      <c r="G25" s="642"/>
      <c r="H25" s="642"/>
      <c r="I25" s="642"/>
      <c r="J25" s="369">
        <f>I10+I14+I20+I23</f>
        <v>2414708.3333333335</v>
      </c>
      <c r="K25" s="362">
        <v>78540000</v>
      </c>
    </row>
    <row r="26" spans="1:11" ht="48" customHeight="1">
      <c r="A26" s="642" t="s">
        <v>164</v>
      </c>
      <c r="B26" s="642"/>
      <c r="C26" s="642"/>
      <c r="D26" s="642"/>
      <c r="E26" s="642"/>
      <c r="F26" s="642"/>
      <c r="G26" s="642"/>
      <c r="H26" s="642"/>
      <c r="I26" s="642"/>
      <c r="J26" s="362"/>
      <c r="K26" s="362"/>
    </row>
    <row r="27" spans="1:11" ht="75.599999999999994" customHeight="1">
      <c r="A27" s="643" t="s">
        <v>165</v>
      </c>
      <c r="B27" s="643"/>
      <c r="C27" s="643"/>
      <c r="D27" s="643"/>
      <c r="E27" s="643"/>
      <c r="F27" s="643"/>
      <c r="G27" s="643"/>
      <c r="H27" s="643"/>
    </row>
    <row r="29" spans="1:11" ht="50.25" customHeight="1">
      <c r="A29" s="637" t="s">
        <v>166</v>
      </c>
      <c r="B29" s="638"/>
      <c r="C29" s="639" t="s">
        <v>173</v>
      </c>
      <c r="D29" s="640"/>
      <c r="E29" s="640"/>
      <c r="F29" s="640"/>
      <c r="G29" s="641"/>
    </row>
    <row r="30" spans="1:11" ht="60.6" customHeight="1">
      <c r="A30" s="637" t="s">
        <v>168</v>
      </c>
      <c r="B30" s="638"/>
      <c r="C30" s="639" t="s">
        <v>174</v>
      </c>
      <c r="D30" s="640"/>
      <c r="E30" s="640"/>
      <c r="F30" s="640"/>
      <c r="G30" s="641"/>
    </row>
    <row r="31" spans="1:11" ht="60.6" customHeight="1">
      <c r="A31" s="637" t="s">
        <v>170</v>
      </c>
      <c r="B31" s="638"/>
      <c r="C31" s="663">
        <v>80875292</v>
      </c>
      <c r="D31" s="640"/>
      <c r="E31" s="640"/>
      <c r="F31" s="640"/>
      <c r="G31" s="641"/>
    </row>
    <row r="32" spans="1:11" ht="60.6" customHeight="1">
      <c r="A32" s="637" t="s">
        <v>171</v>
      </c>
      <c r="B32" s="638"/>
      <c r="C32" s="639" t="s">
        <v>175</v>
      </c>
      <c r="D32" s="640"/>
      <c r="E32" s="640"/>
      <c r="F32" s="640"/>
      <c r="G32" s="641"/>
    </row>
    <row r="41" spans="7:7">
      <c r="G41" s="367"/>
    </row>
    <row r="43" spans="7:7">
      <c r="G43" s="368"/>
    </row>
  </sheetData>
  <mergeCells count="23">
    <mergeCell ref="A24:H24"/>
    <mergeCell ref="A1:K1"/>
    <mergeCell ref="A2:F2"/>
    <mergeCell ref="G2:K2"/>
    <mergeCell ref="A4:K4"/>
    <mergeCell ref="A10:H10"/>
    <mergeCell ref="A11:K11"/>
    <mergeCell ref="A14:H14"/>
    <mergeCell ref="A15:K15"/>
    <mergeCell ref="A20:H20"/>
    <mergeCell ref="A21:K21"/>
    <mergeCell ref="A23:H23"/>
    <mergeCell ref="A31:B31"/>
    <mergeCell ref="C31:G31"/>
    <mergeCell ref="A32:B32"/>
    <mergeCell ref="C32:G32"/>
    <mergeCell ref="A25:I25"/>
    <mergeCell ref="A26:I26"/>
    <mergeCell ref="A27:H27"/>
    <mergeCell ref="A29:B29"/>
    <mergeCell ref="C29:G29"/>
    <mergeCell ref="A30:B30"/>
    <mergeCell ref="C30:G3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7F098-3284-4CAE-80C9-5D8B24E1081F}">
  <dimension ref="A1:N43"/>
  <sheetViews>
    <sheetView topLeftCell="C20" zoomScale="80" zoomScaleNormal="80" workbookViewId="0">
      <selection activeCell="G13" sqref="G13"/>
    </sheetView>
  </sheetViews>
  <sheetFormatPr defaultColWidth="11.42578125" defaultRowHeight="14.45"/>
  <cols>
    <col min="1" max="1" width="11.42578125" style="493"/>
    <col min="2" max="2" width="31.42578125" style="493" customWidth="1"/>
    <col min="3" max="3" width="122.7109375" style="492" customWidth="1"/>
    <col min="4" max="5" width="18.7109375" style="494" customWidth="1"/>
    <col min="6" max="6" width="15.42578125" style="495" customWidth="1"/>
    <col min="7" max="8" width="38.42578125" style="492" customWidth="1"/>
    <col min="9" max="10" width="38.42578125" style="492" hidden="1" customWidth="1"/>
    <col min="11" max="11" width="48.7109375" style="492" hidden="1" customWidth="1"/>
    <col min="12" max="12" width="33.28515625" style="435" hidden="1" customWidth="1"/>
    <col min="13" max="13" width="11.42578125" style="435"/>
    <col min="14" max="14" width="15.7109375" style="435" customWidth="1"/>
    <col min="15" max="16384" width="11.42578125" style="435"/>
  </cols>
  <sheetData>
    <row r="1" spans="1:14" ht="84" customHeight="1" thickBot="1">
      <c r="A1" s="671" t="s">
        <v>140</v>
      </c>
      <c r="B1" s="671"/>
      <c r="C1" s="671"/>
      <c r="D1" s="671"/>
      <c r="E1" s="671"/>
      <c r="F1" s="671"/>
      <c r="G1" s="671"/>
      <c r="H1" s="671"/>
      <c r="I1" s="671"/>
      <c r="J1" s="671"/>
      <c r="K1" s="671"/>
      <c r="M1" s="435" t="s">
        <v>172</v>
      </c>
      <c r="N1" s="435" t="s">
        <v>172</v>
      </c>
    </row>
    <row r="2" spans="1:14" ht="40.5" customHeight="1" thickBot="1">
      <c r="A2" s="672" t="s">
        <v>141</v>
      </c>
      <c r="B2" s="672"/>
      <c r="C2" s="672"/>
      <c r="D2" s="672"/>
      <c r="E2" s="672"/>
      <c r="F2" s="672"/>
      <c r="G2" s="673" t="s">
        <v>142</v>
      </c>
      <c r="H2" s="673"/>
      <c r="I2" s="673"/>
      <c r="J2" s="673"/>
      <c r="K2" s="673"/>
    </row>
    <row r="3" spans="1:14" s="444" customFormat="1" ht="90" customHeight="1" thickBot="1">
      <c r="A3" s="436" t="s">
        <v>143</v>
      </c>
      <c r="B3" s="436" t="s">
        <v>81</v>
      </c>
      <c r="C3" s="437" t="s">
        <v>82</v>
      </c>
      <c r="D3" s="438" t="s">
        <v>83</v>
      </c>
      <c r="E3" s="439" t="s">
        <v>84</v>
      </c>
      <c r="F3" s="439" t="s">
        <v>85</v>
      </c>
      <c r="G3" s="440" t="s">
        <v>144</v>
      </c>
      <c r="H3" s="441" t="s">
        <v>145</v>
      </c>
      <c r="I3" s="442" t="s">
        <v>146</v>
      </c>
      <c r="J3" s="443" t="s">
        <v>147</v>
      </c>
      <c r="K3" s="443" t="s">
        <v>148</v>
      </c>
      <c r="M3" s="444" t="s">
        <v>172</v>
      </c>
    </row>
    <row r="4" spans="1:14" s="444" customFormat="1" ht="32.25" customHeight="1" thickBot="1">
      <c r="A4" s="674" t="s">
        <v>90</v>
      </c>
      <c r="B4" s="674"/>
      <c r="C4" s="674"/>
      <c r="D4" s="674"/>
      <c r="E4" s="674"/>
      <c r="F4" s="674"/>
      <c r="G4" s="674"/>
      <c r="H4" s="674"/>
      <c r="I4" s="674"/>
      <c r="J4" s="674"/>
      <c r="K4" s="674"/>
    </row>
    <row r="5" spans="1:14" s="444" customFormat="1" ht="409.5" customHeight="1" thickBot="1">
      <c r="A5" s="445">
        <v>1</v>
      </c>
      <c r="B5" s="446" t="s">
        <v>91</v>
      </c>
      <c r="C5" s="447" t="s">
        <v>149</v>
      </c>
      <c r="D5" s="448">
        <v>5.5</v>
      </c>
      <c r="E5" s="448" t="s">
        <v>93</v>
      </c>
      <c r="F5" s="449">
        <v>140</v>
      </c>
      <c r="G5" s="450">
        <v>29042</v>
      </c>
      <c r="H5" s="450">
        <f>+G5*19%</f>
        <v>5517.9800000000005</v>
      </c>
      <c r="I5" s="451">
        <f>+G5+H5</f>
        <v>34559.980000000003</v>
      </c>
      <c r="J5" s="451">
        <f>+I5*F5</f>
        <v>4838397.2</v>
      </c>
      <c r="K5" s="452">
        <f>+D5*J5</f>
        <v>26611184.600000001</v>
      </c>
    </row>
    <row r="6" spans="1:14" s="444" customFormat="1" ht="73.5" customHeight="1" thickBot="1">
      <c r="A6" s="453">
        <v>2</v>
      </c>
      <c r="B6" s="454" t="s">
        <v>94</v>
      </c>
      <c r="C6" s="455" t="s">
        <v>95</v>
      </c>
      <c r="D6" s="448">
        <v>5.5</v>
      </c>
      <c r="E6" s="456" t="s">
        <v>93</v>
      </c>
      <c r="F6" s="457">
        <v>2</v>
      </c>
      <c r="G6" s="458">
        <v>28000</v>
      </c>
      <c r="H6" s="458">
        <f>+G6*19%</f>
        <v>5320</v>
      </c>
      <c r="I6" s="459">
        <f>+G6+H6</f>
        <v>33320</v>
      </c>
      <c r="J6" s="459">
        <f>+I6*F6</f>
        <v>66640</v>
      </c>
      <c r="K6" s="460">
        <f>+D6*J6</f>
        <v>366520</v>
      </c>
    </row>
    <row r="7" spans="1:14" s="444" customFormat="1" ht="408.75" customHeight="1" thickBot="1">
      <c r="A7" s="453">
        <v>3</v>
      </c>
      <c r="B7" s="461" t="s">
        <v>150</v>
      </c>
      <c r="C7" s="462" t="s">
        <v>151</v>
      </c>
      <c r="D7" s="448">
        <v>5.5</v>
      </c>
      <c r="E7" s="456" t="s">
        <v>93</v>
      </c>
      <c r="F7" s="457">
        <v>5</v>
      </c>
      <c r="G7" s="458">
        <v>100800</v>
      </c>
      <c r="H7" s="458">
        <f>+G7*19%</f>
        <v>19152</v>
      </c>
      <c r="I7" s="459">
        <f>+G7+H7</f>
        <v>119952</v>
      </c>
      <c r="J7" s="459">
        <f>+I7*F7</f>
        <v>599760</v>
      </c>
      <c r="K7" s="460">
        <f>+D7*J7</f>
        <v>3298680</v>
      </c>
    </row>
    <row r="8" spans="1:14" s="444" customFormat="1" ht="409.5" customHeight="1" thickBot="1">
      <c r="A8" s="453">
        <v>4</v>
      </c>
      <c r="B8" s="461" t="s">
        <v>152</v>
      </c>
      <c r="C8" s="462" t="s">
        <v>99</v>
      </c>
      <c r="D8" s="448">
        <v>5.5</v>
      </c>
      <c r="E8" s="456" t="s">
        <v>93</v>
      </c>
      <c r="F8" s="457">
        <v>2</v>
      </c>
      <c r="G8" s="458">
        <v>56000</v>
      </c>
      <c r="H8" s="458">
        <f>+G8*19%</f>
        <v>10640</v>
      </c>
      <c r="I8" s="459">
        <f>+G8+H8</f>
        <v>66640</v>
      </c>
      <c r="J8" s="459">
        <f>+I8*F8</f>
        <v>133280</v>
      </c>
      <c r="K8" s="460">
        <f>+D8*J8</f>
        <v>733040</v>
      </c>
    </row>
    <row r="9" spans="1:14" s="444" customFormat="1" ht="163.5" customHeight="1" thickBot="1">
      <c r="A9" s="463">
        <v>5</v>
      </c>
      <c r="B9" s="464" t="s">
        <v>100</v>
      </c>
      <c r="C9" s="465" t="s">
        <v>101</v>
      </c>
      <c r="D9" s="448">
        <v>5.5</v>
      </c>
      <c r="E9" s="466" t="s">
        <v>93</v>
      </c>
      <c r="F9" s="467">
        <v>6</v>
      </c>
      <c r="G9" s="468">
        <v>52267</v>
      </c>
      <c r="H9" s="468">
        <f>+G9*19%</f>
        <v>9930.73</v>
      </c>
      <c r="I9" s="469">
        <f>+G9+H9</f>
        <v>62197.729999999996</v>
      </c>
      <c r="J9" s="469">
        <f>+I9*F9</f>
        <v>373186.38</v>
      </c>
      <c r="K9" s="470">
        <f>+D9*J9</f>
        <v>2052525.09</v>
      </c>
    </row>
    <row r="10" spans="1:14" s="444" customFormat="1" ht="39.75" customHeight="1" thickBot="1">
      <c r="A10" s="675" t="s">
        <v>153</v>
      </c>
      <c r="B10" s="675"/>
      <c r="C10" s="675"/>
      <c r="D10" s="675"/>
      <c r="E10" s="675"/>
      <c r="F10" s="675"/>
      <c r="G10" s="675"/>
      <c r="H10" s="675"/>
      <c r="I10" s="471">
        <f>SUM(I5:I9)</f>
        <v>316669.71000000002</v>
      </c>
      <c r="J10" s="472"/>
      <c r="K10" s="473">
        <f>SUM(K5:K9)</f>
        <v>33061949.690000001</v>
      </c>
    </row>
    <row r="11" spans="1:14" s="444" customFormat="1" ht="41.25" customHeight="1" thickBot="1">
      <c r="A11" s="676" t="s">
        <v>154</v>
      </c>
      <c r="B11" s="676"/>
      <c r="C11" s="676"/>
      <c r="D11" s="676"/>
      <c r="E11" s="676"/>
      <c r="F11" s="676"/>
      <c r="G11" s="676"/>
      <c r="H11" s="676"/>
      <c r="I11" s="676"/>
      <c r="J11" s="676"/>
      <c r="K11" s="676"/>
    </row>
    <row r="12" spans="1:14" s="444" customFormat="1" ht="252" customHeight="1" thickBot="1">
      <c r="A12" s="445">
        <v>6</v>
      </c>
      <c r="B12" s="474" t="s">
        <v>155</v>
      </c>
      <c r="C12" s="475" t="s">
        <v>156</v>
      </c>
      <c r="D12" s="448">
        <v>5.5</v>
      </c>
      <c r="E12" s="476" t="s">
        <v>93</v>
      </c>
      <c r="F12" s="449">
        <v>6</v>
      </c>
      <c r="G12" s="450">
        <v>140000</v>
      </c>
      <c r="H12" s="450">
        <f>+G12*19%</f>
        <v>26600</v>
      </c>
      <c r="I12" s="451">
        <f>+G12+H12</f>
        <v>166600</v>
      </c>
      <c r="J12" s="451">
        <f>+I12*F12</f>
        <v>999600</v>
      </c>
      <c r="K12" s="452">
        <f>+D12*J12</f>
        <v>5497800</v>
      </c>
    </row>
    <row r="13" spans="1:14" s="444" customFormat="1" ht="354" customHeight="1" thickBot="1">
      <c r="A13" s="463">
        <v>7</v>
      </c>
      <c r="B13" s="477" t="s">
        <v>157</v>
      </c>
      <c r="C13" s="478" t="s">
        <v>158</v>
      </c>
      <c r="D13" s="448">
        <v>5.5</v>
      </c>
      <c r="E13" s="479" t="s">
        <v>93</v>
      </c>
      <c r="F13" s="467">
        <v>1</v>
      </c>
      <c r="G13" s="468">
        <v>918667</v>
      </c>
      <c r="H13" s="468">
        <f>+G13*19%</f>
        <v>174546.73</v>
      </c>
      <c r="I13" s="469">
        <f>+G13+H13</f>
        <v>1093213.73</v>
      </c>
      <c r="J13" s="469">
        <f>+I13*F13</f>
        <v>1093213.73</v>
      </c>
      <c r="K13" s="470">
        <f>+D13*J13</f>
        <v>6012675.5149999997</v>
      </c>
    </row>
    <row r="14" spans="1:14" s="444" customFormat="1" ht="34.5" customHeight="1" thickBot="1">
      <c r="A14" s="675" t="s">
        <v>153</v>
      </c>
      <c r="B14" s="675"/>
      <c r="C14" s="675"/>
      <c r="D14" s="675"/>
      <c r="E14" s="675"/>
      <c r="F14" s="675"/>
      <c r="G14" s="675"/>
      <c r="H14" s="675"/>
      <c r="I14" s="471">
        <f>SUM(I12:I13)</f>
        <v>1259813.73</v>
      </c>
      <c r="J14" s="472"/>
      <c r="K14" s="473">
        <f>SUM(K12:K13)</f>
        <v>11510475.515000001</v>
      </c>
    </row>
    <row r="15" spans="1:14" s="444" customFormat="1" ht="33" customHeight="1" thickBot="1">
      <c r="A15" s="674" t="s">
        <v>102</v>
      </c>
      <c r="B15" s="674"/>
      <c r="C15" s="674"/>
      <c r="D15" s="674"/>
      <c r="E15" s="674"/>
      <c r="F15" s="674"/>
      <c r="G15" s="674"/>
      <c r="H15" s="674"/>
      <c r="I15" s="674"/>
      <c r="J15" s="674"/>
      <c r="K15" s="674"/>
    </row>
    <row r="16" spans="1:14" s="444" customFormat="1" ht="276.75" customHeight="1" thickBot="1">
      <c r="A16" s="445">
        <v>8</v>
      </c>
      <c r="B16" s="474" t="s">
        <v>103</v>
      </c>
      <c r="C16" s="480" t="s">
        <v>104</v>
      </c>
      <c r="D16" s="448">
        <v>5.5</v>
      </c>
      <c r="E16" s="448" t="s">
        <v>93</v>
      </c>
      <c r="F16" s="449">
        <v>2</v>
      </c>
      <c r="G16" s="450">
        <v>448000</v>
      </c>
      <c r="H16" s="450">
        <f>+G16*19%</f>
        <v>85120</v>
      </c>
      <c r="I16" s="451">
        <f>+G16+H16</f>
        <v>533120</v>
      </c>
      <c r="J16" s="451">
        <f>+I16*F16</f>
        <v>1066240</v>
      </c>
      <c r="K16" s="452">
        <f>+D16*J16</f>
        <v>5864320</v>
      </c>
    </row>
    <row r="17" spans="1:11" s="444" customFormat="1" ht="183.75" customHeight="1" thickBot="1">
      <c r="A17" s="453">
        <v>9</v>
      </c>
      <c r="B17" s="454" t="s">
        <v>105</v>
      </c>
      <c r="C17" s="455" t="s">
        <v>106</v>
      </c>
      <c r="D17" s="448">
        <v>5.5</v>
      </c>
      <c r="E17" s="456" t="s">
        <v>93</v>
      </c>
      <c r="F17" s="457">
        <v>2</v>
      </c>
      <c r="G17" s="458">
        <v>95200</v>
      </c>
      <c r="H17" s="458">
        <f>+G17*19%</f>
        <v>18088</v>
      </c>
      <c r="I17" s="459">
        <f>+G17+H17</f>
        <v>113288</v>
      </c>
      <c r="J17" s="459">
        <f>+I17*F17</f>
        <v>226576</v>
      </c>
      <c r="K17" s="460">
        <f>+D17*J17</f>
        <v>1246168</v>
      </c>
    </row>
    <row r="18" spans="1:11" s="444" customFormat="1" ht="87" customHeight="1" thickBot="1">
      <c r="A18" s="453">
        <v>10</v>
      </c>
      <c r="B18" s="454" t="s">
        <v>107</v>
      </c>
      <c r="C18" s="455" t="s">
        <v>108</v>
      </c>
      <c r="D18" s="448">
        <v>5.5</v>
      </c>
      <c r="E18" s="456" t="s">
        <v>93</v>
      </c>
      <c r="F18" s="457">
        <v>2</v>
      </c>
      <c r="G18" s="458">
        <v>78400</v>
      </c>
      <c r="H18" s="458">
        <f>+G18*19%</f>
        <v>14896</v>
      </c>
      <c r="I18" s="459">
        <f>+G18+H18</f>
        <v>93296</v>
      </c>
      <c r="J18" s="459">
        <f>+I18*F18</f>
        <v>186592</v>
      </c>
      <c r="K18" s="460">
        <f>+D18*J18</f>
        <v>1026256</v>
      </c>
    </row>
    <row r="19" spans="1:11" s="444" customFormat="1" ht="141" customHeight="1" thickBot="1">
      <c r="A19" s="463">
        <v>11</v>
      </c>
      <c r="B19" s="464" t="s">
        <v>109</v>
      </c>
      <c r="C19" s="465" t="s">
        <v>110</v>
      </c>
      <c r="D19" s="448">
        <v>5.5</v>
      </c>
      <c r="E19" s="466" t="s">
        <v>93</v>
      </c>
      <c r="F19" s="467">
        <v>2</v>
      </c>
      <c r="G19" s="468">
        <v>84000</v>
      </c>
      <c r="H19" s="468">
        <f>+G19*19%</f>
        <v>15960</v>
      </c>
      <c r="I19" s="469">
        <f>+G19+H19</f>
        <v>99960</v>
      </c>
      <c r="J19" s="469">
        <f>+I19*F19</f>
        <v>199920</v>
      </c>
      <c r="K19" s="470">
        <f>+D19*J19</f>
        <v>1099560</v>
      </c>
    </row>
    <row r="20" spans="1:11" s="444" customFormat="1" ht="36.75" customHeight="1" thickBot="1">
      <c r="A20" s="675" t="s">
        <v>153</v>
      </c>
      <c r="B20" s="675"/>
      <c r="C20" s="675"/>
      <c r="D20" s="675"/>
      <c r="E20" s="675"/>
      <c r="F20" s="675"/>
      <c r="G20" s="675"/>
      <c r="H20" s="675"/>
      <c r="I20" s="471">
        <f>SUM(I16,I17,I18,I19)</f>
        <v>839664</v>
      </c>
      <c r="J20" s="472"/>
      <c r="K20" s="473">
        <f>SUM(K16,K17,K18,K19)</f>
        <v>9236304</v>
      </c>
    </row>
    <row r="21" spans="1:11" s="444" customFormat="1" ht="33.75" customHeight="1" thickBot="1">
      <c r="A21" s="674" t="s">
        <v>159</v>
      </c>
      <c r="B21" s="674"/>
      <c r="C21" s="674"/>
      <c r="D21" s="674"/>
      <c r="E21" s="674"/>
      <c r="F21" s="674"/>
      <c r="G21" s="674"/>
      <c r="H21" s="674"/>
      <c r="I21" s="674"/>
      <c r="J21" s="674"/>
      <c r="K21" s="674"/>
    </row>
    <row r="22" spans="1:11" s="444" customFormat="1" ht="163.5" customHeight="1" thickBot="1">
      <c r="A22" s="481">
        <v>12</v>
      </c>
      <c r="B22" s="482" t="s">
        <v>160</v>
      </c>
      <c r="C22" s="483" t="s">
        <v>161</v>
      </c>
      <c r="D22" s="448">
        <v>5.5</v>
      </c>
      <c r="E22" s="484" t="s">
        <v>93</v>
      </c>
      <c r="F22" s="485">
        <v>1</v>
      </c>
      <c r="G22" s="486">
        <v>1792000</v>
      </c>
      <c r="H22" s="486">
        <f>+G22*19%</f>
        <v>340480</v>
      </c>
      <c r="I22" s="487">
        <f>+G22+H22</f>
        <v>2132480</v>
      </c>
      <c r="J22" s="487">
        <f>+I22*F22</f>
        <v>2132480</v>
      </c>
      <c r="K22" s="488">
        <f>+D22*J22</f>
        <v>11728640</v>
      </c>
    </row>
    <row r="23" spans="1:11" s="444" customFormat="1" ht="48" customHeight="1" thickBot="1">
      <c r="A23" s="675" t="s">
        <v>153</v>
      </c>
      <c r="B23" s="675"/>
      <c r="C23" s="675"/>
      <c r="D23" s="675"/>
      <c r="E23" s="675"/>
      <c r="F23" s="675"/>
      <c r="G23" s="675"/>
      <c r="H23" s="675"/>
      <c r="I23" s="471">
        <f>I22</f>
        <v>2132480</v>
      </c>
      <c r="J23" s="472"/>
      <c r="K23" s="473">
        <f>K22</f>
        <v>11728640</v>
      </c>
    </row>
    <row r="24" spans="1:11" ht="79.5" customHeight="1">
      <c r="A24" s="670" t="s">
        <v>162</v>
      </c>
      <c r="B24" s="670"/>
      <c r="C24" s="670"/>
      <c r="D24" s="670"/>
      <c r="E24" s="670"/>
      <c r="F24" s="670"/>
      <c r="G24" s="670"/>
      <c r="H24" s="670"/>
      <c r="I24" s="489"/>
      <c r="J24" s="489"/>
      <c r="K24" s="490">
        <f>SUM(K10,K14,K20,K23)</f>
        <v>65537369.204999998</v>
      </c>
    </row>
    <row r="25" spans="1:11" ht="40.5" customHeight="1">
      <c r="A25" s="668" t="s">
        <v>163</v>
      </c>
      <c r="B25" s="668"/>
      <c r="C25" s="668"/>
      <c r="D25" s="668"/>
      <c r="E25" s="668"/>
      <c r="F25" s="668"/>
      <c r="G25" s="668"/>
      <c r="H25" s="668"/>
      <c r="I25" s="668"/>
      <c r="J25" s="491"/>
      <c r="K25" s="491">
        <v>65537369</v>
      </c>
    </row>
    <row r="26" spans="1:11" ht="48" customHeight="1">
      <c r="A26" s="668" t="s">
        <v>164</v>
      </c>
      <c r="B26" s="668"/>
      <c r="C26" s="668"/>
      <c r="D26" s="668"/>
      <c r="E26" s="668"/>
      <c r="F26" s="668"/>
      <c r="G26" s="668"/>
      <c r="H26" s="668"/>
      <c r="I26" s="668"/>
      <c r="J26" s="491"/>
      <c r="K26" s="491"/>
    </row>
    <row r="27" spans="1:11" ht="75" customHeight="1">
      <c r="A27" s="669" t="s">
        <v>165</v>
      </c>
      <c r="B27" s="669"/>
      <c r="C27" s="669"/>
      <c r="D27" s="669"/>
      <c r="E27" s="669"/>
      <c r="F27" s="669"/>
      <c r="G27" s="669"/>
      <c r="H27" s="669"/>
    </row>
    <row r="29" spans="1:11" ht="50.25" customHeight="1">
      <c r="A29" s="667" t="s">
        <v>166</v>
      </c>
      <c r="B29" s="667"/>
      <c r="C29" s="725" t="s">
        <v>176</v>
      </c>
      <c r="D29" s="725"/>
      <c r="E29" s="725"/>
      <c r="F29" s="725"/>
      <c r="G29" s="725"/>
    </row>
    <row r="30" spans="1:11" ht="60" customHeight="1">
      <c r="A30" s="667" t="s">
        <v>168</v>
      </c>
      <c r="B30" s="667"/>
      <c r="C30" s="725" t="s">
        <v>177</v>
      </c>
      <c r="D30" s="725"/>
      <c r="E30" s="725"/>
      <c r="F30" s="725"/>
      <c r="G30" s="725"/>
    </row>
    <row r="31" spans="1:11" ht="60" customHeight="1">
      <c r="A31" s="667" t="s">
        <v>170</v>
      </c>
      <c r="B31" s="667"/>
      <c r="C31" s="725" t="s">
        <v>178</v>
      </c>
      <c r="D31" s="725"/>
      <c r="E31" s="725"/>
      <c r="F31" s="725"/>
      <c r="G31" s="725"/>
    </row>
    <row r="32" spans="1:11" ht="60" customHeight="1">
      <c r="A32" s="667" t="s">
        <v>171</v>
      </c>
      <c r="B32" s="667"/>
      <c r="C32" s="725" t="s">
        <v>175</v>
      </c>
      <c r="D32" s="725"/>
      <c r="E32" s="725"/>
      <c r="F32" s="725"/>
      <c r="G32" s="725"/>
    </row>
    <row r="41" spans="7:7">
      <c r="G41" s="496"/>
    </row>
    <row r="43" spans="7:7">
      <c r="G43" s="497"/>
    </row>
  </sheetData>
  <mergeCells count="23">
    <mergeCell ref="A24:H24"/>
    <mergeCell ref="A1:K1"/>
    <mergeCell ref="A2:F2"/>
    <mergeCell ref="G2:K2"/>
    <mergeCell ref="A4:K4"/>
    <mergeCell ref="A10:H10"/>
    <mergeCell ref="A11:K11"/>
    <mergeCell ref="A14:H14"/>
    <mergeCell ref="A15:K15"/>
    <mergeCell ref="A20:H20"/>
    <mergeCell ref="A21:K21"/>
    <mergeCell ref="A23:H23"/>
    <mergeCell ref="A31:B31"/>
    <mergeCell ref="C31:G31"/>
    <mergeCell ref="A32:B32"/>
    <mergeCell ref="C32:G32"/>
    <mergeCell ref="A25:I25"/>
    <mergeCell ref="A26:I26"/>
    <mergeCell ref="A27:H27"/>
    <mergeCell ref="A29:B29"/>
    <mergeCell ref="C29:G29"/>
    <mergeCell ref="A30:B30"/>
    <mergeCell ref="C30:G30"/>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0A812-14F5-46AD-9A74-5CB2628427B2}">
  <dimension ref="A1:N43"/>
  <sheetViews>
    <sheetView topLeftCell="D18" zoomScale="60" zoomScaleNormal="60" workbookViewId="0">
      <selection activeCell="J28" sqref="J28"/>
    </sheetView>
  </sheetViews>
  <sheetFormatPr defaultColWidth="11.42578125" defaultRowHeight="14.45"/>
  <cols>
    <col min="1" max="1" width="11.42578125" style="364"/>
    <col min="2" max="2" width="31.42578125" style="364" customWidth="1"/>
    <col min="3" max="3" width="122.7109375" style="363" customWidth="1"/>
    <col min="4" max="4" width="18.85546875" style="365" bestFit="1" customWidth="1"/>
    <col min="5" max="5" width="18.85546875" style="365" customWidth="1"/>
    <col min="6" max="6" width="15.42578125" style="366" customWidth="1"/>
    <col min="7" max="10" width="38.42578125" style="363" customWidth="1"/>
    <col min="11" max="11" width="48.7109375" style="363" customWidth="1"/>
    <col min="12" max="12" width="33.28515625" style="306" customWidth="1"/>
    <col min="13" max="13" width="11.42578125" style="306"/>
    <col min="14" max="14" width="15.7109375" style="306" bestFit="1" customWidth="1"/>
    <col min="15" max="16384" width="11.42578125" style="306"/>
  </cols>
  <sheetData>
    <row r="1" spans="1:14" ht="84.6" customHeight="1" thickBot="1">
      <c r="A1" s="646" t="s">
        <v>140</v>
      </c>
      <c r="B1" s="647"/>
      <c r="C1" s="647"/>
      <c r="D1" s="647"/>
      <c r="E1" s="647"/>
      <c r="F1" s="647"/>
      <c r="G1" s="647"/>
      <c r="H1" s="647"/>
      <c r="I1" s="647"/>
      <c r="J1" s="648"/>
      <c r="K1" s="649"/>
      <c r="M1" s="306" t="s">
        <v>172</v>
      </c>
      <c r="N1" s="306" t="s">
        <v>172</v>
      </c>
    </row>
    <row r="2" spans="1:14" ht="40.9" customHeight="1" thickBot="1">
      <c r="A2" s="650" t="s">
        <v>141</v>
      </c>
      <c r="B2" s="651"/>
      <c r="C2" s="651"/>
      <c r="D2" s="651"/>
      <c r="E2" s="651"/>
      <c r="F2" s="652"/>
      <c r="G2" s="653" t="s">
        <v>142</v>
      </c>
      <c r="H2" s="653"/>
      <c r="I2" s="653"/>
      <c r="J2" s="653"/>
      <c r="K2" s="654"/>
    </row>
    <row r="3" spans="1:14" s="315" customFormat="1" ht="90" customHeight="1" thickBot="1">
      <c r="A3" s="307" t="s">
        <v>143</v>
      </c>
      <c r="B3" s="307" t="s">
        <v>81</v>
      </c>
      <c r="C3" s="308" t="s">
        <v>82</v>
      </c>
      <c r="D3" s="309" t="s">
        <v>83</v>
      </c>
      <c r="E3" s="310" t="s">
        <v>84</v>
      </c>
      <c r="F3" s="310" t="s">
        <v>85</v>
      </c>
      <c r="G3" s="311" t="s">
        <v>144</v>
      </c>
      <c r="H3" s="312" t="s">
        <v>145</v>
      </c>
      <c r="I3" s="313" t="s">
        <v>146</v>
      </c>
      <c r="J3" s="314" t="s">
        <v>147</v>
      </c>
      <c r="K3" s="314" t="s">
        <v>179</v>
      </c>
      <c r="M3" s="315" t="s">
        <v>172</v>
      </c>
    </row>
    <row r="4" spans="1:14" s="315" customFormat="1" ht="32.450000000000003" customHeight="1" thickBot="1">
      <c r="A4" s="655" t="s">
        <v>90</v>
      </c>
      <c r="B4" s="656"/>
      <c r="C4" s="656"/>
      <c r="D4" s="656"/>
      <c r="E4" s="656"/>
      <c r="F4" s="656"/>
      <c r="G4" s="656"/>
      <c r="H4" s="656"/>
      <c r="I4" s="656"/>
      <c r="J4" s="656"/>
      <c r="K4" s="657"/>
    </row>
    <row r="5" spans="1:14" s="315" customFormat="1" ht="409.6" customHeight="1" thickBot="1">
      <c r="A5" s="370">
        <v>1</v>
      </c>
      <c r="B5" s="371" t="s">
        <v>91</v>
      </c>
      <c r="C5" s="372" t="s">
        <v>149</v>
      </c>
      <c r="D5" s="373">
        <v>5.5</v>
      </c>
      <c r="E5" s="373" t="s">
        <v>93</v>
      </c>
      <c r="F5" s="374">
        <v>140</v>
      </c>
      <c r="G5" s="375">
        <v>40000</v>
      </c>
      <c r="H5" s="375">
        <f>+G5*19%</f>
        <v>7600</v>
      </c>
      <c r="I5" s="376">
        <f>+G5+H5</f>
        <v>47600</v>
      </c>
      <c r="J5" s="376">
        <f>+I5*F5</f>
        <v>6664000</v>
      </c>
      <c r="K5" s="377">
        <f>+D5*J5</f>
        <v>36652000</v>
      </c>
    </row>
    <row r="6" spans="1:14" s="315" customFormat="1" ht="73.5" customHeight="1" thickBot="1">
      <c r="A6" s="378">
        <v>2</v>
      </c>
      <c r="B6" s="379" t="s">
        <v>94</v>
      </c>
      <c r="C6" s="380" t="s">
        <v>95</v>
      </c>
      <c r="D6" s="373">
        <v>5.5</v>
      </c>
      <c r="E6" s="381" t="s">
        <v>93</v>
      </c>
      <c r="F6" s="382">
        <v>2</v>
      </c>
      <c r="G6" s="383">
        <v>20000</v>
      </c>
      <c r="H6" s="383">
        <f>+G6*19%</f>
        <v>3800</v>
      </c>
      <c r="I6" s="384">
        <f>+G6+H6</f>
        <v>23800</v>
      </c>
      <c r="J6" s="384">
        <f>+I6*F6</f>
        <v>47600</v>
      </c>
      <c r="K6" s="385">
        <f>+D6*J6</f>
        <v>261800</v>
      </c>
    </row>
    <row r="7" spans="1:14" s="315" customFormat="1" ht="408.75" customHeight="1" thickBot="1">
      <c r="A7" s="378">
        <v>3</v>
      </c>
      <c r="B7" s="386" t="s">
        <v>150</v>
      </c>
      <c r="C7" s="387" t="s">
        <v>151</v>
      </c>
      <c r="D7" s="373">
        <v>5.5</v>
      </c>
      <c r="E7" s="381" t="s">
        <v>93</v>
      </c>
      <c r="F7" s="382">
        <v>5</v>
      </c>
      <c r="G7" s="383">
        <v>40000</v>
      </c>
      <c r="H7" s="383">
        <f t="shared" ref="H7:H8" si="0">+G7*19%</f>
        <v>7600</v>
      </c>
      <c r="I7" s="384">
        <f t="shared" ref="I7:I8" si="1">+G7+H7</f>
        <v>47600</v>
      </c>
      <c r="J7" s="384">
        <f t="shared" ref="J7:J8" si="2">+I7*F7</f>
        <v>238000</v>
      </c>
      <c r="K7" s="385">
        <f t="shared" ref="K7:K8" si="3">+D7*J7</f>
        <v>1309000</v>
      </c>
    </row>
    <row r="8" spans="1:14" s="315" customFormat="1" ht="409.5" customHeight="1" thickBot="1">
      <c r="A8" s="378">
        <v>4</v>
      </c>
      <c r="B8" s="386" t="s">
        <v>152</v>
      </c>
      <c r="C8" s="387" t="s">
        <v>99</v>
      </c>
      <c r="D8" s="373">
        <v>5.5</v>
      </c>
      <c r="E8" s="381" t="s">
        <v>93</v>
      </c>
      <c r="F8" s="382">
        <v>2</v>
      </c>
      <c r="G8" s="383">
        <v>45000</v>
      </c>
      <c r="H8" s="383">
        <f t="shared" si="0"/>
        <v>8550</v>
      </c>
      <c r="I8" s="384">
        <f t="shared" si="1"/>
        <v>53550</v>
      </c>
      <c r="J8" s="384">
        <f t="shared" si="2"/>
        <v>107100</v>
      </c>
      <c r="K8" s="385">
        <f t="shared" si="3"/>
        <v>589050</v>
      </c>
    </row>
    <row r="9" spans="1:14" s="315" customFormat="1" ht="163.9" customHeight="1" thickBot="1">
      <c r="A9" s="388">
        <v>5</v>
      </c>
      <c r="B9" s="389" t="s">
        <v>100</v>
      </c>
      <c r="C9" s="390" t="s">
        <v>101</v>
      </c>
      <c r="D9" s="373">
        <v>5.5</v>
      </c>
      <c r="E9" s="391" t="s">
        <v>93</v>
      </c>
      <c r="F9" s="392">
        <v>6</v>
      </c>
      <c r="G9" s="393">
        <v>40000</v>
      </c>
      <c r="H9" s="393">
        <f>+G9*19%</f>
        <v>7600</v>
      </c>
      <c r="I9" s="394">
        <f>+G9+H9</f>
        <v>47600</v>
      </c>
      <c r="J9" s="394">
        <f>+I9*F9</f>
        <v>285600</v>
      </c>
      <c r="K9" s="395">
        <f>+D9*J9</f>
        <v>1570800</v>
      </c>
    </row>
    <row r="10" spans="1:14" s="315" customFormat="1" ht="40.15" customHeight="1" thickBot="1">
      <c r="A10" s="658" t="s">
        <v>153</v>
      </c>
      <c r="B10" s="659"/>
      <c r="C10" s="659"/>
      <c r="D10" s="659"/>
      <c r="E10" s="659"/>
      <c r="F10" s="659"/>
      <c r="G10" s="659"/>
      <c r="H10" s="659"/>
      <c r="I10" s="342">
        <f>SUM(I5:I9)</f>
        <v>220150</v>
      </c>
      <c r="J10" s="343"/>
      <c r="K10" s="344">
        <f>SUM(K5:K9)</f>
        <v>40382650</v>
      </c>
    </row>
    <row r="11" spans="1:14" s="315" customFormat="1" ht="41.45" customHeight="1" thickBot="1">
      <c r="A11" s="660" t="s">
        <v>154</v>
      </c>
      <c r="B11" s="661"/>
      <c r="C11" s="661"/>
      <c r="D11" s="661"/>
      <c r="E11" s="661"/>
      <c r="F11" s="661"/>
      <c r="G11" s="661"/>
      <c r="H11" s="661"/>
      <c r="I11" s="661"/>
      <c r="J11" s="661"/>
      <c r="K11" s="662"/>
    </row>
    <row r="12" spans="1:14" s="315" customFormat="1" ht="252" customHeight="1" thickBot="1">
      <c r="A12" s="370">
        <v>6</v>
      </c>
      <c r="B12" s="396" t="s">
        <v>155</v>
      </c>
      <c r="C12" s="397" t="s">
        <v>156</v>
      </c>
      <c r="D12" s="373">
        <v>5.5</v>
      </c>
      <c r="E12" s="398" t="s">
        <v>93</v>
      </c>
      <c r="F12" s="399">
        <v>6</v>
      </c>
      <c r="G12" s="375">
        <v>25000</v>
      </c>
      <c r="H12" s="375">
        <f>+G12*19%</f>
        <v>4750</v>
      </c>
      <c r="I12" s="376">
        <f>+G12+H12</f>
        <v>29750</v>
      </c>
      <c r="J12" s="376">
        <f>+I12*F12</f>
        <v>178500</v>
      </c>
      <c r="K12" s="377">
        <f>+D12*J12</f>
        <v>981750</v>
      </c>
    </row>
    <row r="13" spans="1:14" s="315" customFormat="1" ht="354.6" customHeight="1" thickBot="1">
      <c r="A13" s="388">
        <v>7</v>
      </c>
      <c r="B13" s="400" t="s">
        <v>157</v>
      </c>
      <c r="C13" s="401" t="s">
        <v>158</v>
      </c>
      <c r="D13" s="373">
        <v>5.5</v>
      </c>
      <c r="E13" s="402" t="s">
        <v>93</v>
      </c>
      <c r="F13" s="403">
        <v>1</v>
      </c>
      <c r="G13" s="393">
        <v>25000</v>
      </c>
      <c r="H13" s="393">
        <f>+G13*19%</f>
        <v>4750</v>
      </c>
      <c r="I13" s="394">
        <f>+G13+H13</f>
        <v>29750</v>
      </c>
      <c r="J13" s="394">
        <f>+I13*F13</f>
        <v>29750</v>
      </c>
      <c r="K13" s="395">
        <f>+D13*J13</f>
        <v>163625</v>
      </c>
    </row>
    <row r="14" spans="1:14" s="315" customFormat="1" ht="34.9" customHeight="1" thickBot="1">
      <c r="A14" s="658" t="s">
        <v>153</v>
      </c>
      <c r="B14" s="659"/>
      <c r="C14" s="659"/>
      <c r="D14" s="659"/>
      <c r="E14" s="659"/>
      <c r="F14" s="659"/>
      <c r="G14" s="659"/>
      <c r="H14" s="659"/>
      <c r="I14" s="342">
        <f>+I13+I12</f>
        <v>59500</v>
      </c>
      <c r="J14" s="343"/>
      <c r="K14" s="344">
        <f>K13</f>
        <v>163625</v>
      </c>
    </row>
    <row r="15" spans="1:14" s="315" customFormat="1" ht="33.6" customHeight="1" thickBot="1">
      <c r="A15" s="655" t="s">
        <v>102</v>
      </c>
      <c r="B15" s="656"/>
      <c r="C15" s="656"/>
      <c r="D15" s="656"/>
      <c r="E15" s="656"/>
      <c r="F15" s="656"/>
      <c r="G15" s="656"/>
      <c r="H15" s="656"/>
      <c r="I15" s="656"/>
      <c r="J15" s="656"/>
      <c r="K15" s="657"/>
    </row>
    <row r="16" spans="1:14" s="315" customFormat="1" ht="276.75" customHeight="1" thickBot="1">
      <c r="A16" s="370">
        <v>8</v>
      </c>
      <c r="B16" s="396" t="s">
        <v>103</v>
      </c>
      <c r="C16" s="404" t="s">
        <v>104</v>
      </c>
      <c r="D16" s="373">
        <v>5.5</v>
      </c>
      <c r="E16" s="373" t="s">
        <v>93</v>
      </c>
      <c r="F16" s="405">
        <v>2</v>
      </c>
      <c r="G16" s="375">
        <v>420000</v>
      </c>
      <c r="H16" s="375">
        <f>+G16*19%</f>
        <v>79800</v>
      </c>
      <c r="I16" s="376">
        <f>+G16+H16</f>
        <v>499800</v>
      </c>
      <c r="J16" s="376">
        <f>+I16*F16</f>
        <v>999600</v>
      </c>
      <c r="K16" s="377">
        <f>+D16*J16</f>
        <v>5497800</v>
      </c>
    </row>
    <row r="17" spans="1:11" s="315" customFormat="1" ht="183.75" customHeight="1" thickBot="1">
      <c r="A17" s="378">
        <v>9</v>
      </c>
      <c r="B17" s="379" t="s">
        <v>105</v>
      </c>
      <c r="C17" s="380" t="s">
        <v>106</v>
      </c>
      <c r="D17" s="373">
        <v>5.5</v>
      </c>
      <c r="E17" s="381" t="s">
        <v>93</v>
      </c>
      <c r="F17" s="406">
        <v>2</v>
      </c>
      <c r="G17" s="383">
        <v>550000</v>
      </c>
      <c r="H17" s="383">
        <f>+G17*19%</f>
        <v>104500</v>
      </c>
      <c r="I17" s="384">
        <f>+G17+H17</f>
        <v>654500</v>
      </c>
      <c r="J17" s="384">
        <f>+I17*F17</f>
        <v>1309000</v>
      </c>
      <c r="K17" s="385">
        <f>+D17*J17</f>
        <v>7199500</v>
      </c>
    </row>
    <row r="18" spans="1:11" s="315" customFormat="1" ht="87" customHeight="1" thickBot="1">
      <c r="A18" s="378">
        <v>10</v>
      </c>
      <c r="B18" s="379" t="s">
        <v>107</v>
      </c>
      <c r="C18" s="380" t="s">
        <v>108</v>
      </c>
      <c r="D18" s="373">
        <v>5.5</v>
      </c>
      <c r="E18" s="381" t="s">
        <v>93</v>
      </c>
      <c r="F18" s="406">
        <v>2</v>
      </c>
      <c r="G18" s="383">
        <v>25000</v>
      </c>
      <c r="H18" s="383">
        <f>+G18*19%</f>
        <v>4750</v>
      </c>
      <c r="I18" s="384">
        <f>+G18+H18</f>
        <v>29750</v>
      </c>
      <c r="J18" s="384">
        <f>+I18*F18</f>
        <v>59500</v>
      </c>
      <c r="K18" s="385">
        <f>+D18*J18</f>
        <v>327250</v>
      </c>
    </row>
    <row r="19" spans="1:11" s="315" customFormat="1" ht="141.6" customHeight="1" thickBot="1">
      <c r="A19" s="388">
        <v>11</v>
      </c>
      <c r="B19" s="389" t="s">
        <v>109</v>
      </c>
      <c r="C19" s="390" t="s">
        <v>110</v>
      </c>
      <c r="D19" s="373">
        <v>5.5</v>
      </c>
      <c r="E19" s="391" t="s">
        <v>93</v>
      </c>
      <c r="F19" s="407">
        <v>2</v>
      </c>
      <c r="G19" s="393">
        <v>85000</v>
      </c>
      <c r="H19" s="393">
        <f>+G19*19%</f>
        <v>16150</v>
      </c>
      <c r="I19" s="394">
        <f>+G19+H19</f>
        <v>101150</v>
      </c>
      <c r="J19" s="394">
        <f>+I19*F19</f>
        <v>202300</v>
      </c>
      <c r="K19" s="395">
        <f>+D19*J19</f>
        <v>1112650</v>
      </c>
    </row>
    <row r="20" spans="1:11" s="315" customFormat="1" ht="37.15" customHeight="1" thickBot="1">
      <c r="A20" s="658" t="s">
        <v>153</v>
      </c>
      <c r="B20" s="659"/>
      <c r="C20" s="659"/>
      <c r="D20" s="659"/>
      <c r="E20" s="659"/>
      <c r="F20" s="659"/>
      <c r="G20" s="659"/>
      <c r="H20" s="659"/>
      <c r="I20" s="342">
        <f>SUM(I16,I17,I18,I19)</f>
        <v>1285200</v>
      </c>
      <c r="J20" s="343"/>
      <c r="K20" s="344">
        <f>SUM(K16,K17,K18,K19)</f>
        <v>14137200</v>
      </c>
    </row>
    <row r="21" spans="1:11" s="315" customFormat="1" ht="34.15" customHeight="1" thickBot="1">
      <c r="A21" s="655" t="s">
        <v>159</v>
      </c>
      <c r="B21" s="656"/>
      <c r="C21" s="656"/>
      <c r="D21" s="656"/>
      <c r="E21" s="656"/>
      <c r="F21" s="656"/>
      <c r="G21" s="656"/>
      <c r="H21" s="656"/>
      <c r="I21" s="656"/>
      <c r="J21" s="656"/>
      <c r="K21" s="657"/>
    </row>
    <row r="22" spans="1:11" s="315" customFormat="1" ht="163.9" customHeight="1" thickBot="1">
      <c r="A22" s="408">
        <v>12</v>
      </c>
      <c r="B22" s="409" t="s">
        <v>160</v>
      </c>
      <c r="C22" s="410" t="s">
        <v>161</v>
      </c>
      <c r="D22" s="373">
        <v>5.5</v>
      </c>
      <c r="E22" s="411" t="s">
        <v>93</v>
      </c>
      <c r="F22" s="412">
        <v>1</v>
      </c>
      <c r="G22" s="413">
        <v>600000</v>
      </c>
      <c r="H22" s="413">
        <f>+G22*19%</f>
        <v>114000</v>
      </c>
      <c r="I22" s="414">
        <f>+G22+H22</f>
        <v>714000</v>
      </c>
      <c r="J22" s="414">
        <f>+I22*F22</f>
        <v>714000</v>
      </c>
      <c r="K22" s="415">
        <f>+D22*J22</f>
        <v>3927000</v>
      </c>
    </row>
    <row r="23" spans="1:11" s="315" customFormat="1" ht="48" customHeight="1" thickBot="1">
      <c r="A23" s="658" t="s">
        <v>153</v>
      </c>
      <c r="B23" s="659"/>
      <c r="C23" s="659"/>
      <c r="D23" s="659"/>
      <c r="E23" s="659"/>
      <c r="F23" s="659"/>
      <c r="G23" s="659"/>
      <c r="H23" s="659"/>
      <c r="I23" s="342">
        <f>I22</f>
        <v>714000</v>
      </c>
      <c r="J23" s="343"/>
      <c r="K23" s="344">
        <f>K22</f>
        <v>3927000</v>
      </c>
    </row>
    <row r="24" spans="1:11" ht="79.900000000000006" customHeight="1">
      <c r="A24" s="644" t="s">
        <v>162</v>
      </c>
      <c r="B24" s="645"/>
      <c r="C24" s="645"/>
      <c r="D24" s="645"/>
      <c r="E24" s="645"/>
      <c r="F24" s="645"/>
      <c r="G24" s="645"/>
      <c r="H24" s="645"/>
      <c r="I24" s="416"/>
      <c r="J24" s="416"/>
      <c r="K24" s="417">
        <f>SUM(K5,K6,K7,K8,K9,K12,K13,K16,K17,K18,K19,K22)</f>
        <v>59592225</v>
      </c>
    </row>
    <row r="25" spans="1:11" ht="40.9" customHeight="1">
      <c r="A25" s="642" t="s">
        <v>163</v>
      </c>
      <c r="B25" s="642"/>
      <c r="C25" s="642"/>
      <c r="D25" s="642"/>
      <c r="E25" s="642"/>
      <c r="F25" s="642"/>
      <c r="G25" s="642"/>
      <c r="H25" s="642"/>
      <c r="I25" s="642"/>
      <c r="J25" s="369">
        <f>I23+I20+I14+I10</f>
        <v>2278850</v>
      </c>
      <c r="K25" s="362" t="s">
        <v>180</v>
      </c>
    </row>
    <row r="26" spans="1:11" ht="48" customHeight="1">
      <c r="A26" s="642" t="s">
        <v>164</v>
      </c>
      <c r="B26" s="642"/>
      <c r="C26" s="642"/>
      <c r="D26" s="642"/>
      <c r="E26" s="642"/>
      <c r="F26" s="642"/>
      <c r="G26" s="642"/>
      <c r="H26" s="642"/>
      <c r="I26" s="642"/>
      <c r="J26" s="362"/>
      <c r="K26" s="362"/>
    </row>
    <row r="27" spans="1:11" ht="75.599999999999994" customHeight="1">
      <c r="A27" s="643" t="s">
        <v>165</v>
      </c>
      <c r="B27" s="643"/>
      <c r="C27" s="643"/>
      <c r="D27" s="643"/>
      <c r="E27" s="643"/>
      <c r="F27" s="643"/>
      <c r="G27" s="643"/>
      <c r="H27" s="643"/>
    </row>
    <row r="29" spans="1:11" ht="50.25" customHeight="1">
      <c r="A29" s="637" t="s">
        <v>166</v>
      </c>
      <c r="B29" s="638"/>
      <c r="C29" s="722" t="s">
        <v>181</v>
      </c>
      <c r="D29" s="723"/>
      <c r="E29" s="723"/>
      <c r="F29" s="723"/>
      <c r="G29" s="724"/>
    </row>
    <row r="30" spans="1:11" ht="60.6" customHeight="1">
      <c r="A30" s="637" t="s">
        <v>168</v>
      </c>
      <c r="B30" s="638"/>
      <c r="C30" s="722" t="s">
        <v>182</v>
      </c>
      <c r="D30" s="723"/>
      <c r="E30" s="723"/>
      <c r="F30" s="723"/>
      <c r="G30" s="724"/>
    </row>
    <row r="31" spans="1:11" ht="60.6" customHeight="1">
      <c r="A31" s="637" t="s">
        <v>170</v>
      </c>
      <c r="B31" s="638"/>
      <c r="C31" s="722" t="s">
        <v>183</v>
      </c>
      <c r="D31" s="723"/>
      <c r="E31" s="723"/>
      <c r="F31" s="723"/>
      <c r="G31" s="724"/>
    </row>
    <row r="32" spans="1:11" ht="144.75" customHeight="1">
      <c r="A32" s="637" t="s">
        <v>171</v>
      </c>
      <c r="B32" s="638"/>
      <c r="C32" s="722"/>
      <c r="D32" s="723"/>
      <c r="E32" s="723"/>
      <c r="F32" s="723"/>
      <c r="G32" s="724"/>
    </row>
    <row r="41" spans="7:7">
      <c r="G41" s="367"/>
    </row>
    <row r="43" spans="7:7">
      <c r="G43" s="368"/>
    </row>
  </sheetData>
  <mergeCells count="23">
    <mergeCell ref="A24:H24"/>
    <mergeCell ref="A1:K1"/>
    <mergeCell ref="A2:F2"/>
    <mergeCell ref="G2:K2"/>
    <mergeCell ref="A4:K4"/>
    <mergeCell ref="A10:H10"/>
    <mergeCell ref="A11:K11"/>
    <mergeCell ref="A14:H14"/>
    <mergeCell ref="A15:K15"/>
    <mergeCell ref="A20:H20"/>
    <mergeCell ref="A21:K21"/>
    <mergeCell ref="A23:H23"/>
    <mergeCell ref="A31:B31"/>
    <mergeCell ref="C31:G31"/>
    <mergeCell ref="A32:B32"/>
    <mergeCell ref="C32:G32"/>
    <mergeCell ref="A25:I25"/>
    <mergeCell ref="A26:I26"/>
    <mergeCell ref="A27:H27"/>
    <mergeCell ref="A29:B29"/>
    <mergeCell ref="C29:G29"/>
    <mergeCell ref="A30:B30"/>
    <mergeCell ref="C30:G3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BAB95-7C54-4246-A464-A5A98017E650}">
  <dimension ref="A1:N43"/>
  <sheetViews>
    <sheetView topLeftCell="D16" zoomScale="60" zoomScaleNormal="60" workbookViewId="0">
      <selection activeCell="I27" sqref="I27"/>
    </sheetView>
  </sheetViews>
  <sheetFormatPr defaultColWidth="11.42578125" defaultRowHeight="14.45"/>
  <cols>
    <col min="1" max="1" width="11.42578125" style="364"/>
    <col min="2" max="2" width="31.42578125" style="364" customWidth="1"/>
    <col min="3" max="3" width="122.7109375" style="363" customWidth="1"/>
    <col min="4" max="4" width="18.85546875" style="365" bestFit="1" customWidth="1"/>
    <col min="5" max="5" width="18.85546875" style="365" customWidth="1"/>
    <col min="6" max="6" width="15.42578125" style="366" customWidth="1"/>
    <col min="7" max="10" width="38.42578125" style="363" customWidth="1"/>
    <col min="11" max="11" width="48.7109375" style="363" customWidth="1"/>
    <col min="12" max="12" width="33.28515625" style="306" customWidth="1"/>
    <col min="13" max="13" width="11.42578125" style="306"/>
    <col min="14" max="14" width="15.7109375" style="306" bestFit="1" customWidth="1"/>
    <col min="15" max="16384" width="11.42578125" style="306"/>
  </cols>
  <sheetData>
    <row r="1" spans="1:14" ht="16.149999999999999" thickBot="1">
      <c r="A1" s="646" t="s">
        <v>184</v>
      </c>
      <c r="B1" s="647"/>
      <c r="C1" s="647"/>
      <c r="D1" s="647"/>
      <c r="E1" s="647"/>
      <c r="F1" s="647"/>
      <c r="G1" s="647"/>
      <c r="H1" s="647"/>
      <c r="I1" s="647"/>
      <c r="J1" s="648"/>
      <c r="K1" s="649"/>
      <c r="M1" s="306" t="s">
        <v>172</v>
      </c>
      <c r="N1" s="306" t="s">
        <v>172</v>
      </c>
    </row>
    <row r="2" spans="1:14" ht="15" thickBot="1">
      <c r="A2" s="650" t="s">
        <v>141</v>
      </c>
      <c r="B2" s="651"/>
      <c r="C2" s="651"/>
      <c r="D2" s="651"/>
      <c r="E2" s="651"/>
      <c r="F2" s="652"/>
      <c r="G2" s="653" t="s">
        <v>142</v>
      </c>
      <c r="H2" s="653"/>
      <c r="I2" s="653"/>
      <c r="J2" s="653"/>
      <c r="K2" s="654"/>
    </row>
    <row r="3" spans="1:14" s="315" customFormat="1" ht="31.9" thickBot="1">
      <c r="A3" s="307" t="s">
        <v>143</v>
      </c>
      <c r="B3" s="307" t="s">
        <v>81</v>
      </c>
      <c r="C3" s="308" t="s">
        <v>82</v>
      </c>
      <c r="D3" s="309" t="s">
        <v>83</v>
      </c>
      <c r="E3" s="310" t="s">
        <v>84</v>
      </c>
      <c r="F3" s="310" t="s">
        <v>85</v>
      </c>
      <c r="G3" s="311" t="s">
        <v>144</v>
      </c>
      <c r="H3" s="312" t="s">
        <v>145</v>
      </c>
      <c r="I3" s="313" t="s">
        <v>146</v>
      </c>
      <c r="J3" s="314" t="s">
        <v>147</v>
      </c>
      <c r="K3" s="314" t="s">
        <v>179</v>
      </c>
      <c r="M3" s="315" t="s">
        <v>172</v>
      </c>
    </row>
    <row r="4" spans="1:14" s="315" customFormat="1" ht="16.149999999999999" thickBot="1">
      <c r="A4" s="655" t="s">
        <v>90</v>
      </c>
      <c r="B4" s="656"/>
      <c r="C4" s="656"/>
      <c r="D4" s="656"/>
      <c r="E4" s="656"/>
      <c r="F4" s="656"/>
      <c r="G4" s="656"/>
      <c r="H4" s="656"/>
      <c r="I4" s="656"/>
      <c r="J4" s="656"/>
      <c r="K4" s="657"/>
    </row>
    <row r="5" spans="1:14" s="315" customFormat="1" ht="346.15" thickBot="1">
      <c r="A5" s="370">
        <v>1</v>
      </c>
      <c r="B5" s="371" t="s">
        <v>91</v>
      </c>
      <c r="C5" s="372" t="s">
        <v>149</v>
      </c>
      <c r="D5" s="373">
        <v>5.5</v>
      </c>
      <c r="E5" s="373" t="s">
        <v>93</v>
      </c>
      <c r="F5" s="399">
        <v>140</v>
      </c>
      <c r="G5" s="418">
        <v>20000</v>
      </c>
      <c r="H5" s="375">
        <f>+G5*19%</f>
        <v>3800</v>
      </c>
      <c r="I5" s="376">
        <f>+G5+H5</f>
        <v>23800</v>
      </c>
      <c r="J5" s="376">
        <f>+I5*F5</f>
        <v>3332000</v>
      </c>
      <c r="K5" s="377">
        <f>+D5*J5</f>
        <v>18326000</v>
      </c>
    </row>
    <row r="6" spans="1:14" s="315" customFormat="1" ht="41.25" customHeight="1" thickBot="1">
      <c r="A6" s="378">
        <v>2</v>
      </c>
      <c r="B6" s="379" t="s">
        <v>94</v>
      </c>
      <c r="C6" s="380" t="s">
        <v>95</v>
      </c>
      <c r="D6" s="381">
        <v>5.5</v>
      </c>
      <c r="E6" s="381" t="s">
        <v>93</v>
      </c>
      <c r="F6" s="419">
        <v>2</v>
      </c>
      <c r="G6" s="420">
        <v>35000</v>
      </c>
      <c r="H6" s="383">
        <f>+G6*19%</f>
        <v>6650</v>
      </c>
      <c r="I6" s="384">
        <f>+G6+H6</f>
        <v>41650</v>
      </c>
      <c r="J6" s="384">
        <f>+I6*F6</f>
        <v>83300</v>
      </c>
      <c r="K6" s="385">
        <f>+D6*J6</f>
        <v>458150</v>
      </c>
    </row>
    <row r="7" spans="1:14" s="315" customFormat="1" ht="409.6" thickBot="1">
      <c r="A7" s="378">
        <v>3</v>
      </c>
      <c r="B7" s="386" t="s">
        <v>150</v>
      </c>
      <c r="C7" s="387" t="s">
        <v>151</v>
      </c>
      <c r="D7" s="381">
        <v>5.5</v>
      </c>
      <c r="E7" s="381" t="s">
        <v>93</v>
      </c>
      <c r="F7" s="419">
        <v>5</v>
      </c>
      <c r="G7" s="420">
        <v>125000</v>
      </c>
      <c r="H7" s="383">
        <f t="shared" ref="H7:H8" si="0">+G7*19%</f>
        <v>23750</v>
      </c>
      <c r="I7" s="384">
        <f t="shared" ref="I7:I8" si="1">+G7+H7</f>
        <v>148750</v>
      </c>
      <c r="J7" s="384">
        <f t="shared" ref="J7:J8" si="2">+I7*F7</f>
        <v>743750</v>
      </c>
      <c r="K7" s="385">
        <f t="shared" ref="K7:K8" si="3">+D7*J7</f>
        <v>4090625</v>
      </c>
    </row>
    <row r="8" spans="1:14" s="315" customFormat="1" ht="375" thickBot="1">
      <c r="A8" s="378">
        <v>4</v>
      </c>
      <c r="B8" s="386" t="s">
        <v>152</v>
      </c>
      <c r="C8" s="387" t="s">
        <v>99</v>
      </c>
      <c r="D8" s="381">
        <v>5.5</v>
      </c>
      <c r="E8" s="381" t="s">
        <v>93</v>
      </c>
      <c r="F8" s="419">
        <v>2</v>
      </c>
      <c r="G8" s="420">
        <v>66000</v>
      </c>
      <c r="H8" s="383">
        <f t="shared" si="0"/>
        <v>12540</v>
      </c>
      <c r="I8" s="384">
        <f t="shared" si="1"/>
        <v>78540</v>
      </c>
      <c r="J8" s="384">
        <f t="shared" si="2"/>
        <v>157080</v>
      </c>
      <c r="K8" s="385">
        <f t="shared" si="3"/>
        <v>863940</v>
      </c>
    </row>
    <row r="9" spans="1:14" s="315" customFormat="1" ht="63" thickBot="1">
      <c r="A9" s="388">
        <v>5</v>
      </c>
      <c r="B9" s="389" t="s">
        <v>100</v>
      </c>
      <c r="C9" s="390" t="s">
        <v>101</v>
      </c>
      <c r="D9" s="391">
        <v>5.5</v>
      </c>
      <c r="E9" s="391" t="s">
        <v>93</v>
      </c>
      <c r="F9" s="403">
        <v>6</v>
      </c>
      <c r="G9" s="421">
        <v>38000</v>
      </c>
      <c r="H9" s="393">
        <f>+G9*19%</f>
        <v>7220</v>
      </c>
      <c r="I9" s="394">
        <f>+G9+H9</f>
        <v>45220</v>
      </c>
      <c r="J9" s="394">
        <f>+I9*F9</f>
        <v>271320</v>
      </c>
      <c r="K9" s="395">
        <f>+D9*J9</f>
        <v>1492260</v>
      </c>
    </row>
    <row r="10" spans="1:14" s="315" customFormat="1" ht="20.45" thickBot="1">
      <c r="A10" s="658" t="s">
        <v>153</v>
      </c>
      <c r="B10" s="659"/>
      <c r="C10" s="659"/>
      <c r="D10" s="659"/>
      <c r="E10" s="659"/>
      <c r="F10" s="659"/>
      <c r="G10" s="659"/>
      <c r="H10" s="659"/>
      <c r="I10" s="342">
        <f>SUM(I5:I9)</f>
        <v>337960</v>
      </c>
      <c r="J10" s="343"/>
      <c r="K10" s="344">
        <f>SUM(K5:K9)</f>
        <v>25230975</v>
      </c>
    </row>
    <row r="11" spans="1:14" s="315" customFormat="1" ht="16.149999999999999" thickBot="1">
      <c r="A11" s="660" t="s">
        <v>154</v>
      </c>
      <c r="B11" s="661"/>
      <c r="C11" s="661"/>
      <c r="D11" s="661"/>
      <c r="E11" s="661"/>
      <c r="F11" s="661"/>
      <c r="G11" s="661"/>
      <c r="H11" s="661"/>
      <c r="I11" s="661"/>
      <c r="J11" s="661"/>
      <c r="K11" s="662"/>
    </row>
    <row r="12" spans="1:14" s="315" customFormat="1" ht="187.15">
      <c r="A12" s="370">
        <v>6</v>
      </c>
      <c r="B12" s="396" t="s">
        <v>155</v>
      </c>
      <c r="C12" s="397" t="s">
        <v>156</v>
      </c>
      <c r="D12" s="398">
        <v>5.5</v>
      </c>
      <c r="E12" s="398" t="s">
        <v>93</v>
      </c>
      <c r="F12" s="399">
        <v>6</v>
      </c>
      <c r="G12" s="375">
        <v>163000</v>
      </c>
      <c r="H12" s="375">
        <f>+G12*19%</f>
        <v>30970</v>
      </c>
      <c r="I12" s="376">
        <f>+G12+H12</f>
        <v>193970</v>
      </c>
      <c r="J12" s="376">
        <f>+I12*F12</f>
        <v>1163820</v>
      </c>
      <c r="K12" s="377">
        <f>+D12*J12</f>
        <v>6401010</v>
      </c>
    </row>
    <row r="13" spans="1:14" s="315" customFormat="1" ht="288.60000000000002" thickBot="1">
      <c r="A13" s="388">
        <v>7</v>
      </c>
      <c r="B13" s="400" t="s">
        <v>157</v>
      </c>
      <c r="C13" s="401" t="s">
        <v>158</v>
      </c>
      <c r="D13" s="402">
        <v>5.5</v>
      </c>
      <c r="E13" s="402" t="s">
        <v>93</v>
      </c>
      <c r="F13" s="403">
        <v>1</v>
      </c>
      <c r="G13" s="393">
        <v>840000</v>
      </c>
      <c r="H13" s="393">
        <f>+G13*19%</f>
        <v>159600</v>
      </c>
      <c r="I13" s="422">
        <f>+G13+H13</f>
        <v>999600</v>
      </c>
      <c r="J13" s="422">
        <f>+I13*F13</f>
        <v>999600</v>
      </c>
      <c r="K13" s="423">
        <f>+D13*J13</f>
        <v>5497800</v>
      </c>
    </row>
    <row r="14" spans="1:14" s="315" customFormat="1" ht="20.45" thickBot="1">
      <c r="A14" s="658" t="s">
        <v>153</v>
      </c>
      <c r="B14" s="659"/>
      <c r="C14" s="659"/>
      <c r="D14" s="659"/>
      <c r="E14" s="659"/>
      <c r="F14" s="659"/>
      <c r="G14" s="659"/>
      <c r="H14" s="659"/>
      <c r="I14" s="342">
        <f>+I12+I13</f>
        <v>1193570</v>
      </c>
      <c r="J14" s="343"/>
      <c r="K14" s="344">
        <f>SUM(K12,K13)</f>
        <v>11898810</v>
      </c>
    </row>
    <row r="15" spans="1:14" s="315" customFormat="1" ht="16.149999999999999" thickBot="1">
      <c r="A15" s="655" t="s">
        <v>102</v>
      </c>
      <c r="B15" s="656"/>
      <c r="C15" s="656"/>
      <c r="D15" s="656"/>
      <c r="E15" s="656"/>
      <c r="F15" s="656"/>
      <c r="G15" s="656"/>
      <c r="H15" s="656"/>
      <c r="I15" s="656"/>
      <c r="J15" s="656"/>
      <c r="K15" s="657"/>
    </row>
    <row r="16" spans="1:14" s="315" customFormat="1" ht="218.45">
      <c r="A16" s="370">
        <v>8</v>
      </c>
      <c r="B16" s="396" t="s">
        <v>103</v>
      </c>
      <c r="C16" s="404" t="s">
        <v>104</v>
      </c>
      <c r="D16" s="373">
        <v>5.5</v>
      </c>
      <c r="E16" s="373" t="s">
        <v>93</v>
      </c>
      <c r="F16" s="399">
        <v>2</v>
      </c>
      <c r="G16" s="329">
        <v>530000</v>
      </c>
      <c r="H16" s="375">
        <f>+G16*19%</f>
        <v>100700</v>
      </c>
      <c r="I16" s="376">
        <f>+G16+H16</f>
        <v>630700</v>
      </c>
      <c r="J16" s="376">
        <f>+I16*F16</f>
        <v>1261400</v>
      </c>
      <c r="K16" s="377">
        <f>+D16*J16</f>
        <v>6937700</v>
      </c>
    </row>
    <row r="17" spans="1:11" s="315" customFormat="1" ht="124.9">
      <c r="A17" s="378">
        <v>9</v>
      </c>
      <c r="B17" s="379" t="s">
        <v>105</v>
      </c>
      <c r="C17" s="380" t="s">
        <v>106</v>
      </c>
      <c r="D17" s="381">
        <v>5.5</v>
      </c>
      <c r="E17" s="381" t="s">
        <v>93</v>
      </c>
      <c r="F17" s="419">
        <v>2</v>
      </c>
      <c r="G17" s="329">
        <v>105000</v>
      </c>
      <c r="H17" s="383">
        <f>+G17*19%</f>
        <v>19950</v>
      </c>
      <c r="I17" s="384">
        <f>+G17+H17</f>
        <v>124950</v>
      </c>
      <c r="J17" s="384">
        <f>+I17*F17</f>
        <v>249900</v>
      </c>
      <c r="K17" s="385">
        <f>+D17*J17</f>
        <v>1374450</v>
      </c>
    </row>
    <row r="18" spans="1:11" s="315" customFormat="1" ht="31.15">
      <c r="A18" s="378">
        <v>10</v>
      </c>
      <c r="B18" s="379" t="s">
        <v>107</v>
      </c>
      <c r="C18" s="380" t="s">
        <v>108</v>
      </c>
      <c r="D18" s="381">
        <v>5.5</v>
      </c>
      <c r="E18" s="381" t="s">
        <v>93</v>
      </c>
      <c r="F18" s="419">
        <v>2</v>
      </c>
      <c r="G18" s="329">
        <v>85000</v>
      </c>
      <c r="H18" s="383">
        <f>+G18*19%</f>
        <v>16150</v>
      </c>
      <c r="I18" s="384">
        <f>+G18+H18</f>
        <v>101150</v>
      </c>
      <c r="J18" s="384">
        <f>+I18*F18</f>
        <v>202300</v>
      </c>
      <c r="K18" s="385">
        <f>+D18*J18</f>
        <v>1112650</v>
      </c>
    </row>
    <row r="19" spans="1:11" s="315" customFormat="1" ht="78.599999999999994" thickBot="1">
      <c r="A19" s="388">
        <v>11</v>
      </c>
      <c r="B19" s="389" t="s">
        <v>109</v>
      </c>
      <c r="C19" s="390" t="s">
        <v>110</v>
      </c>
      <c r="D19" s="391">
        <v>5.5</v>
      </c>
      <c r="E19" s="391" t="s">
        <v>93</v>
      </c>
      <c r="F19" s="403">
        <v>2</v>
      </c>
      <c r="G19" s="329">
        <v>92000</v>
      </c>
      <c r="H19" s="393">
        <f>+G19*19%</f>
        <v>17480</v>
      </c>
      <c r="I19" s="394">
        <f>+G19+H19</f>
        <v>109480</v>
      </c>
      <c r="J19" s="394">
        <f>+I19*F19</f>
        <v>218960</v>
      </c>
      <c r="K19" s="395">
        <f>+D19*J19</f>
        <v>1204280</v>
      </c>
    </row>
    <row r="20" spans="1:11" s="315" customFormat="1" ht="20.45" thickBot="1">
      <c r="A20" s="658" t="s">
        <v>153</v>
      </c>
      <c r="B20" s="659"/>
      <c r="C20" s="659"/>
      <c r="D20" s="659"/>
      <c r="E20" s="659"/>
      <c r="F20" s="659"/>
      <c r="G20" s="659"/>
      <c r="H20" s="659"/>
      <c r="I20" s="342">
        <f>SUM(I16,I17,I18,I19)</f>
        <v>966280</v>
      </c>
      <c r="J20" s="343"/>
      <c r="K20" s="344">
        <f>SUM(K16,K17,K18,K19)</f>
        <v>10629080</v>
      </c>
    </row>
    <row r="21" spans="1:11" s="315" customFormat="1" ht="16.149999999999999" thickBot="1">
      <c r="A21" s="655" t="s">
        <v>159</v>
      </c>
      <c r="B21" s="656"/>
      <c r="C21" s="656"/>
      <c r="D21" s="656"/>
      <c r="E21" s="656"/>
      <c r="F21" s="656"/>
      <c r="G21" s="656"/>
      <c r="H21" s="656"/>
      <c r="I21" s="656"/>
      <c r="J21" s="656"/>
      <c r="K21" s="657"/>
    </row>
    <row r="22" spans="1:11" s="315" customFormat="1" ht="109.9" thickBot="1">
      <c r="A22" s="408">
        <v>12</v>
      </c>
      <c r="B22" s="409" t="s">
        <v>160</v>
      </c>
      <c r="C22" s="410" t="s">
        <v>161</v>
      </c>
      <c r="D22" s="411">
        <v>5.5</v>
      </c>
      <c r="E22" s="411" t="s">
        <v>93</v>
      </c>
      <c r="F22" s="412">
        <v>1</v>
      </c>
      <c r="G22" s="413">
        <v>1060000</v>
      </c>
      <c r="H22" s="413">
        <f>+G22*19%</f>
        <v>201400</v>
      </c>
      <c r="I22" s="414">
        <f>+G22+H22</f>
        <v>1261400</v>
      </c>
      <c r="J22" s="414">
        <f>+I22*F22</f>
        <v>1261400</v>
      </c>
      <c r="K22" s="415">
        <f>+D22*J22</f>
        <v>6937700</v>
      </c>
    </row>
    <row r="23" spans="1:11" s="315" customFormat="1" ht="20.45" thickBot="1">
      <c r="A23" s="658" t="s">
        <v>153</v>
      </c>
      <c r="B23" s="659"/>
      <c r="C23" s="659"/>
      <c r="D23" s="659"/>
      <c r="E23" s="659"/>
      <c r="F23" s="659"/>
      <c r="G23" s="659"/>
      <c r="H23" s="659"/>
      <c r="I23" s="342">
        <f>I22</f>
        <v>1261400</v>
      </c>
      <c r="J23" s="343"/>
      <c r="K23" s="344">
        <f>K22</f>
        <v>6937700</v>
      </c>
    </row>
    <row r="24" spans="1:11" ht="28.9">
      <c r="A24" s="644" t="s">
        <v>162</v>
      </c>
      <c r="B24" s="645"/>
      <c r="C24" s="645"/>
      <c r="D24" s="645"/>
      <c r="E24" s="645"/>
      <c r="F24" s="645"/>
      <c r="G24" s="645"/>
      <c r="H24" s="645"/>
      <c r="I24" s="416"/>
      <c r="J24" s="416"/>
      <c r="K24" s="417">
        <f>SUM(K10,K14,K20,K23)</f>
        <v>54696565</v>
      </c>
    </row>
    <row r="25" spans="1:11" ht="15.6">
      <c r="A25" s="642" t="s">
        <v>163</v>
      </c>
      <c r="B25" s="642"/>
      <c r="C25" s="642"/>
      <c r="D25" s="642"/>
      <c r="E25" s="642"/>
      <c r="F25" s="642"/>
      <c r="G25" s="642"/>
      <c r="H25" s="642"/>
      <c r="I25" s="642"/>
      <c r="J25" s="362"/>
      <c r="K25" s="362" t="s">
        <v>185</v>
      </c>
    </row>
    <row r="26" spans="1:11" ht="15.6">
      <c r="A26" s="642" t="s">
        <v>164</v>
      </c>
      <c r="B26" s="642"/>
      <c r="C26" s="642"/>
      <c r="D26" s="642"/>
      <c r="E26" s="642"/>
      <c r="F26" s="642"/>
      <c r="G26" s="642"/>
      <c r="H26" s="642"/>
      <c r="I26" s="642"/>
      <c r="J26" s="362"/>
      <c r="K26" s="362"/>
    </row>
    <row r="27" spans="1:11">
      <c r="A27" s="643" t="s">
        <v>165</v>
      </c>
      <c r="B27" s="643"/>
      <c r="C27" s="643"/>
      <c r="D27" s="643"/>
      <c r="E27" s="643"/>
      <c r="F27" s="643"/>
      <c r="G27" s="643"/>
      <c r="H27" s="643"/>
      <c r="I27" s="424">
        <f>I23+I20+I14+I10</f>
        <v>3759210</v>
      </c>
    </row>
    <row r="29" spans="1:11" ht="15">
      <c r="A29" s="637" t="s">
        <v>166</v>
      </c>
      <c r="B29" s="638"/>
      <c r="C29" s="639" t="s">
        <v>186</v>
      </c>
      <c r="D29" s="640"/>
      <c r="E29" s="640"/>
      <c r="F29" s="640"/>
      <c r="G29" s="641"/>
    </row>
    <row r="30" spans="1:11" ht="15">
      <c r="A30" s="637" t="s">
        <v>168</v>
      </c>
      <c r="B30" s="638"/>
      <c r="C30" s="639" t="s">
        <v>187</v>
      </c>
      <c r="D30" s="640"/>
      <c r="E30" s="640"/>
      <c r="F30" s="640"/>
      <c r="G30" s="641"/>
    </row>
    <row r="31" spans="1:11" ht="15">
      <c r="A31" s="637" t="s">
        <v>170</v>
      </c>
      <c r="B31" s="638"/>
      <c r="C31" s="663">
        <v>19495236</v>
      </c>
      <c r="D31" s="640"/>
      <c r="E31" s="640"/>
      <c r="F31" s="640"/>
      <c r="G31" s="641"/>
    </row>
    <row r="32" spans="1:11" ht="15.6">
      <c r="A32" s="637" t="s">
        <v>171</v>
      </c>
      <c r="B32" s="638"/>
      <c r="C32" s="722"/>
      <c r="D32" s="723"/>
      <c r="E32" s="723"/>
      <c r="F32" s="723"/>
      <c r="G32" s="724"/>
    </row>
    <row r="41" spans="7:7">
      <c r="G41" s="367"/>
    </row>
    <row r="43" spans="7:7">
      <c r="G43" s="368"/>
    </row>
  </sheetData>
  <mergeCells count="23">
    <mergeCell ref="A24:H24"/>
    <mergeCell ref="A1:K1"/>
    <mergeCell ref="A2:F2"/>
    <mergeCell ref="G2:K2"/>
    <mergeCell ref="A4:K4"/>
    <mergeCell ref="A10:H10"/>
    <mergeCell ref="A11:K11"/>
    <mergeCell ref="A14:H14"/>
    <mergeCell ref="A15:K15"/>
    <mergeCell ref="A20:H20"/>
    <mergeCell ref="A21:K21"/>
    <mergeCell ref="A23:H23"/>
    <mergeCell ref="A31:B31"/>
    <mergeCell ref="C31:G31"/>
    <mergeCell ref="A32:B32"/>
    <mergeCell ref="C32:G32"/>
    <mergeCell ref="A25:I25"/>
    <mergeCell ref="A26:I26"/>
    <mergeCell ref="A27:H27"/>
    <mergeCell ref="A29:B29"/>
    <mergeCell ref="C29:G29"/>
    <mergeCell ref="A30:B30"/>
    <mergeCell ref="C30:G30"/>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A4A78-89E3-46A0-B95F-08218D2B34DE}">
  <dimension ref="A1:N43"/>
  <sheetViews>
    <sheetView topLeftCell="F23" zoomScale="80" zoomScaleNormal="80" workbookViewId="0">
      <selection activeCell="J27" sqref="J27"/>
    </sheetView>
  </sheetViews>
  <sheetFormatPr defaultColWidth="11.42578125" defaultRowHeight="14.45"/>
  <cols>
    <col min="1" max="1" width="11.42578125" style="364"/>
    <col min="2" max="2" width="31.42578125" style="364" customWidth="1"/>
    <col min="3" max="3" width="122.7109375" style="363" customWidth="1"/>
    <col min="4" max="4" width="18.85546875" style="365" bestFit="1" customWidth="1"/>
    <col min="5" max="5" width="18.85546875" style="365" customWidth="1"/>
    <col min="6" max="6" width="15.42578125" style="366" customWidth="1"/>
    <col min="7" max="10" width="38.42578125" style="363" customWidth="1"/>
    <col min="11" max="11" width="48.7109375" style="363" customWidth="1"/>
    <col min="12" max="12" width="33.28515625" style="306" customWidth="1"/>
    <col min="13" max="13" width="11.42578125" style="306"/>
    <col min="14" max="14" width="15.7109375" style="306" bestFit="1" customWidth="1"/>
    <col min="15" max="16384" width="11.42578125" style="306"/>
  </cols>
  <sheetData>
    <row r="1" spans="1:14" ht="93.75" customHeight="1" thickBot="1">
      <c r="A1" s="681" t="s">
        <v>184</v>
      </c>
      <c r="B1" s="682"/>
      <c r="C1" s="682"/>
      <c r="D1" s="682"/>
      <c r="E1" s="682"/>
      <c r="F1" s="682"/>
      <c r="G1" s="682"/>
      <c r="H1" s="682"/>
      <c r="I1" s="682"/>
      <c r="J1" s="683"/>
      <c r="K1" s="684"/>
      <c r="M1" s="306" t="s">
        <v>172</v>
      </c>
      <c r="N1" s="306" t="s">
        <v>172</v>
      </c>
    </row>
    <row r="2" spans="1:14" ht="40.9" customHeight="1" thickBot="1">
      <c r="A2" s="650" t="s">
        <v>141</v>
      </c>
      <c r="B2" s="651"/>
      <c r="C2" s="651"/>
      <c r="D2" s="651"/>
      <c r="E2" s="651"/>
      <c r="F2" s="652"/>
      <c r="G2" s="653" t="s">
        <v>142</v>
      </c>
      <c r="H2" s="653"/>
      <c r="I2" s="653"/>
      <c r="J2" s="653"/>
      <c r="K2" s="654"/>
    </row>
    <row r="3" spans="1:14" s="315" customFormat="1" ht="90" customHeight="1" thickBot="1">
      <c r="A3" s="307" t="s">
        <v>143</v>
      </c>
      <c r="B3" s="307" t="s">
        <v>81</v>
      </c>
      <c r="C3" s="308" t="s">
        <v>82</v>
      </c>
      <c r="D3" s="309" t="s">
        <v>83</v>
      </c>
      <c r="E3" s="310" t="s">
        <v>84</v>
      </c>
      <c r="F3" s="310" t="s">
        <v>85</v>
      </c>
      <c r="G3" s="311" t="s">
        <v>144</v>
      </c>
      <c r="H3" s="312" t="s">
        <v>145</v>
      </c>
      <c r="I3" s="313" t="s">
        <v>146</v>
      </c>
      <c r="J3" s="314" t="s">
        <v>147</v>
      </c>
      <c r="K3" s="314" t="s">
        <v>148</v>
      </c>
      <c r="M3" s="315" t="s">
        <v>172</v>
      </c>
    </row>
    <row r="4" spans="1:14" s="315" customFormat="1" ht="32.450000000000003" customHeight="1" thickBot="1">
      <c r="A4" s="655" t="s">
        <v>90</v>
      </c>
      <c r="B4" s="656"/>
      <c r="C4" s="656"/>
      <c r="D4" s="656"/>
      <c r="E4" s="656"/>
      <c r="F4" s="656"/>
      <c r="G4" s="656"/>
      <c r="H4" s="656"/>
      <c r="I4" s="656"/>
      <c r="J4" s="656"/>
      <c r="K4" s="657"/>
    </row>
    <row r="5" spans="1:14" s="315" customFormat="1" ht="409.6" customHeight="1" thickBot="1">
      <c r="A5" s="370">
        <v>1</v>
      </c>
      <c r="B5" s="371" t="s">
        <v>91</v>
      </c>
      <c r="C5" s="372" t="s">
        <v>149</v>
      </c>
      <c r="D5" s="411">
        <v>5.5</v>
      </c>
      <c r="E5" s="373" t="s">
        <v>93</v>
      </c>
      <c r="F5" s="425">
        <v>140</v>
      </c>
      <c r="G5" s="329">
        <v>180000</v>
      </c>
      <c r="H5" s="426">
        <f>+G5*19%</f>
        <v>34200</v>
      </c>
      <c r="I5" s="376">
        <f>+G5+H5</f>
        <v>214200</v>
      </c>
      <c r="J5" s="376">
        <f>+I5*F5</f>
        <v>29988000</v>
      </c>
      <c r="K5" s="377">
        <f>+D5*J5</f>
        <v>164934000</v>
      </c>
    </row>
    <row r="6" spans="1:14" s="315" customFormat="1" ht="73.5" customHeight="1" thickBot="1">
      <c r="A6" s="378">
        <v>2</v>
      </c>
      <c r="B6" s="379" t="s">
        <v>94</v>
      </c>
      <c r="C6" s="380" t="s">
        <v>95</v>
      </c>
      <c r="D6" s="411">
        <v>5.5</v>
      </c>
      <c r="E6" s="381" t="s">
        <v>93</v>
      </c>
      <c r="F6" s="419">
        <v>2</v>
      </c>
      <c r="G6" s="418">
        <v>230000</v>
      </c>
      <c r="H6" s="383">
        <f>+G6*19%</f>
        <v>43700</v>
      </c>
      <c r="I6" s="384">
        <f>+G6+H6</f>
        <v>273700</v>
      </c>
      <c r="J6" s="384">
        <f>+I6*F6</f>
        <v>547400</v>
      </c>
      <c r="K6" s="385">
        <f>+D6*J6</f>
        <v>3010700</v>
      </c>
    </row>
    <row r="7" spans="1:14" s="315" customFormat="1" ht="408.75" customHeight="1" thickBot="1">
      <c r="A7" s="378">
        <v>3</v>
      </c>
      <c r="B7" s="386" t="s">
        <v>150</v>
      </c>
      <c r="C7" s="387" t="s">
        <v>151</v>
      </c>
      <c r="D7" s="411">
        <v>5.5</v>
      </c>
      <c r="E7" s="381" t="s">
        <v>93</v>
      </c>
      <c r="F7" s="419">
        <v>5</v>
      </c>
      <c r="G7" s="420">
        <v>420000</v>
      </c>
      <c r="H7" s="383">
        <f t="shared" ref="H7:H8" si="0">+G7*19%</f>
        <v>79800</v>
      </c>
      <c r="I7" s="384">
        <f t="shared" ref="I7:I8" si="1">+G7+H7</f>
        <v>499800</v>
      </c>
      <c r="J7" s="384">
        <f t="shared" ref="J7:J8" si="2">+I7*F7</f>
        <v>2499000</v>
      </c>
      <c r="K7" s="385">
        <f t="shared" ref="K7:K8" si="3">+D7*J7</f>
        <v>13744500</v>
      </c>
    </row>
    <row r="8" spans="1:14" s="315" customFormat="1" ht="409.5" customHeight="1" thickBot="1">
      <c r="A8" s="378">
        <v>4</v>
      </c>
      <c r="B8" s="386" t="s">
        <v>152</v>
      </c>
      <c r="C8" s="387" t="s">
        <v>99</v>
      </c>
      <c r="D8" s="411">
        <v>5.5</v>
      </c>
      <c r="E8" s="381" t="s">
        <v>93</v>
      </c>
      <c r="F8" s="419">
        <v>2</v>
      </c>
      <c r="G8" s="420">
        <v>890750</v>
      </c>
      <c r="H8" s="383">
        <f t="shared" si="0"/>
        <v>169242.5</v>
      </c>
      <c r="I8" s="384">
        <f t="shared" si="1"/>
        <v>1059992.5</v>
      </c>
      <c r="J8" s="384">
        <f t="shared" si="2"/>
        <v>2119985</v>
      </c>
      <c r="K8" s="385">
        <f t="shared" si="3"/>
        <v>11659917.5</v>
      </c>
    </row>
    <row r="9" spans="1:14" s="315" customFormat="1" ht="163.9" customHeight="1" thickBot="1">
      <c r="A9" s="388">
        <v>5</v>
      </c>
      <c r="B9" s="389" t="s">
        <v>100</v>
      </c>
      <c r="C9" s="390" t="s">
        <v>101</v>
      </c>
      <c r="D9" s="411">
        <v>5.5</v>
      </c>
      <c r="E9" s="391" t="s">
        <v>93</v>
      </c>
      <c r="F9" s="403">
        <v>6</v>
      </c>
      <c r="G9" s="427">
        <v>470000</v>
      </c>
      <c r="H9" s="393">
        <f>+G9*19%</f>
        <v>89300</v>
      </c>
      <c r="I9" s="394">
        <f>+G9+H9</f>
        <v>559300</v>
      </c>
      <c r="J9" s="394">
        <f>+I9*F9</f>
        <v>3355800</v>
      </c>
      <c r="K9" s="395">
        <f>+D9*J9</f>
        <v>18456900</v>
      </c>
    </row>
    <row r="10" spans="1:14" s="315" customFormat="1" ht="40.15" customHeight="1" thickBot="1">
      <c r="A10" s="658" t="s">
        <v>153</v>
      </c>
      <c r="B10" s="659"/>
      <c r="C10" s="659"/>
      <c r="D10" s="659"/>
      <c r="E10" s="659"/>
      <c r="F10" s="659"/>
      <c r="G10" s="659"/>
      <c r="H10" s="659"/>
      <c r="I10" s="342">
        <f>SUM(I5:I9)</f>
        <v>2606992.5</v>
      </c>
      <c r="J10" s="343"/>
      <c r="K10" s="344">
        <f>SUM(K5:K9)</f>
        <v>211806017.5</v>
      </c>
    </row>
    <row r="11" spans="1:14" s="315" customFormat="1" ht="41.45" customHeight="1" thickBot="1">
      <c r="A11" s="660" t="s">
        <v>154</v>
      </c>
      <c r="B11" s="661"/>
      <c r="C11" s="661"/>
      <c r="D11" s="661"/>
      <c r="E11" s="661"/>
      <c r="F11" s="661"/>
      <c r="G11" s="661"/>
      <c r="H11" s="661"/>
      <c r="I11" s="661"/>
      <c r="J11" s="661"/>
      <c r="K11" s="662"/>
    </row>
    <row r="12" spans="1:14" s="315" customFormat="1" ht="252" customHeight="1" thickBot="1">
      <c r="A12" s="370">
        <v>6</v>
      </c>
      <c r="B12" s="396" t="s">
        <v>155</v>
      </c>
      <c r="C12" s="397" t="s">
        <v>156</v>
      </c>
      <c r="D12" s="398">
        <v>5.5</v>
      </c>
      <c r="E12" s="398" t="s">
        <v>93</v>
      </c>
      <c r="F12" s="399">
        <v>6</v>
      </c>
      <c r="G12" s="375">
        <v>540890</v>
      </c>
      <c r="H12" s="375">
        <f>+G12*19%</f>
        <v>102769.1</v>
      </c>
      <c r="I12" s="376">
        <f>+G12+H12</f>
        <v>643659.1</v>
      </c>
      <c r="J12" s="376">
        <f>+I12*F12</f>
        <v>3861954.5999999996</v>
      </c>
      <c r="K12" s="377">
        <f>+D12*J12</f>
        <v>21240750.299999997</v>
      </c>
    </row>
    <row r="13" spans="1:14" s="433" customFormat="1" ht="354.6" customHeight="1" thickBot="1">
      <c r="A13" s="428">
        <v>7</v>
      </c>
      <c r="B13" s="429" t="s">
        <v>157</v>
      </c>
      <c r="C13" s="430" t="s">
        <v>158</v>
      </c>
      <c r="D13" s="391">
        <v>5.5</v>
      </c>
      <c r="E13" s="391" t="s">
        <v>93</v>
      </c>
      <c r="F13" s="431">
        <v>1</v>
      </c>
      <c r="G13" s="432">
        <v>1200000</v>
      </c>
      <c r="H13" s="432">
        <f>+G13*19%</f>
        <v>228000</v>
      </c>
      <c r="I13" s="376">
        <f>+G13+H13</f>
        <v>1428000</v>
      </c>
      <c r="J13" s="376">
        <f>+I13*F13</f>
        <v>1428000</v>
      </c>
      <c r="K13" s="377">
        <f>+D13*J13</f>
        <v>7854000</v>
      </c>
    </row>
    <row r="14" spans="1:14" s="315" customFormat="1" ht="34.9" customHeight="1" thickBot="1">
      <c r="A14" s="658" t="s">
        <v>153</v>
      </c>
      <c r="B14" s="659"/>
      <c r="C14" s="659"/>
      <c r="D14" s="659"/>
      <c r="E14" s="659"/>
      <c r="F14" s="659"/>
      <c r="G14" s="659"/>
      <c r="H14" s="659"/>
      <c r="I14" s="342">
        <f>+I13+I12</f>
        <v>2071659.1</v>
      </c>
      <c r="J14" s="343"/>
      <c r="K14" s="344">
        <f>SUM(K12,K13)</f>
        <v>29094750.299999997</v>
      </c>
    </row>
    <row r="15" spans="1:14" s="315" customFormat="1" ht="33.6" customHeight="1" thickBot="1">
      <c r="A15" s="655" t="s">
        <v>102</v>
      </c>
      <c r="B15" s="656"/>
      <c r="C15" s="656"/>
      <c r="D15" s="656"/>
      <c r="E15" s="656"/>
      <c r="F15" s="656"/>
      <c r="G15" s="656"/>
      <c r="H15" s="656"/>
      <c r="I15" s="656"/>
      <c r="J15" s="656"/>
      <c r="K15" s="657"/>
    </row>
    <row r="16" spans="1:14" s="315" customFormat="1" ht="276.75" customHeight="1" thickBot="1">
      <c r="A16" s="370">
        <v>8</v>
      </c>
      <c r="B16" s="396" t="s">
        <v>103</v>
      </c>
      <c r="C16" s="404" t="s">
        <v>104</v>
      </c>
      <c r="D16" s="373">
        <v>5.5</v>
      </c>
      <c r="E16" s="373" t="s">
        <v>93</v>
      </c>
      <c r="F16" s="399">
        <v>2</v>
      </c>
      <c r="G16" s="329">
        <v>650450</v>
      </c>
      <c r="H16" s="375">
        <f>+G16*19%</f>
        <v>123585.5</v>
      </c>
      <c r="I16" s="376">
        <f>+G16+H16</f>
        <v>774035.5</v>
      </c>
      <c r="J16" s="376">
        <f>+I16*F16</f>
        <v>1548071</v>
      </c>
      <c r="K16" s="377">
        <f>+D16*J16</f>
        <v>8514390.5</v>
      </c>
    </row>
    <row r="17" spans="1:11" s="315" customFormat="1" ht="183.75" customHeight="1" thickBot="1">
      <c r="A17" s="378">
        <v>9</v>
      </c>
      <c r="B17" s="379" t="s">
        <v>105</v>
      </c>
      <c r="C17" s="380" t="s">
        <v>106</v>
      </c>
      <c r="D17" s="373">
        <v>5.5</v>
      </c>
      <c r="E17" s="381" t="s">
        <v>93</v>
      </c>
      <c r="F17" s="419">
        <v>2</v>
      </c>
      <c r="G17" s="329">
        <v>430890</v>
      </c>
      <c r="H17" s="383">
        <f>+G17*19%</f>
        <v>81869.100000000006</v>
      </c>
      <c r="I17" s="384">
        <f>+G17+H17</f>
        <v>512759.1</v>
      </c>
      <c r="J17" s="384">
        <f>+I17*F17</f>
        <v>1025518.2</v>
      </c>
      <c r="K17" s="385">
        <f>+D17*J17</f>
        <v>5640350.0999999996</v>
      </c>
    </row>
    <row r="18" spans="1:11" s="315" customFormat="1" ht="87" customHeight="1" thickBot="1">
      <c r="A18" s="378">
        <v>10</v>
      </c>
      <c r="B18" s="379" t="s">
        <v>107</v>
      </c>
      <c r="C18" s="380" t="s">
        <v>108</v>
      </c>
      <c r="D18" s="373">
        <v>5.5</v>
      </c>
      <c r="E18" s="381" t="s">
        <v>93</v>
      </c>
      <c r="F18" s="419">
        <v>2</v>
      </c>
      <c r="G18" s="329">
        <v>850540</v>
      </c>
      <c r="H18" s="383">
        <f>+G18*19%</f>
        <v>161602.6</v>
      </c>
      <c r="I18" s="384">
        <f>+G18+H18</f>
        <v>1012142.6</v>
      </c>
      <c r="J18" s="384">
        <f>+I18*F18</f>
        <v>2024285.2</v>
      </c>
      <c r="K18" s="385">
        <f>+D18*J18</f>
        <v>11133568.6</v>
      </c>
    </row>
    <row r="19" spans="1:11" s="315" customFormat="1" ht="141.6" customHeight="1" thickBot="1">
      <c r="A19" s="388">
        <v>11</v>
      </c>
      <c r="B19" s="389" t="s">
        <v>109</v>
      </c>
      <c r="C19" s="390" t="s">
        <v>110</v>
      </c>
      <c r="D19" s="373">
        <v>5.5</v>
      </c>
      <c r="E19" s="391" t="s">
        <v>93</v>
      </c>
      <c r="F19" s="403">
        <v>2</v>
      </c>
      <c r="G19" s="329">
        <v>1250800</v>
      </c>
      <c r="H19" s="393">
        <f>+G19*19%</f>
        <v>237652</v>
      </c>
      <c r="I19" s="394">
        <f>+G19+H19</f>
        <v>1488452</v>
      </c>
      <c r="J19" s="394">
        <f>+I19*F19</f>
        <v>2976904</v>
      </c>
      <c r="K19" s="395">
        <f>+D19*J19</f>
        <v>16372972</v>
      </c>
    </row>
    <row r="20" spans="1:11" s="315" customFormat="1" ht="37.15" customHeight="1" thickBot="1">
      <c r="A20" s="658" t="s">
        <v>153</v>
      </c>
      <c r="B20" s="659"/>
      <c r="C20" s="659"/>
      <c r="D20" s="659"/>
      <c r="E20" s="659"/>
      <c r="F20" s="659"/>
      <c r="G20" s="659"/>
      <c r="H20" s="659"/>
      <c r="I20" s="342">
        <f>SUM(I16,I17,I18,I19)</f>
        <v>3787389.2</v>
      </c>
      <c r="J20" s="343"/>
      <c r="K20" s="344">
        <f>SUM(K16,K17,K18,K19)</f>
        <v>41661281.200000003</v>
      </c>
    </row>
    <row r="21" spans="1:11" s="315" customFormat="1" ht="34.15" customHeight="1" thickBot="1">
      <c r="A21" s="655" t="s">
        <v>159</v>
      </c>
      <c r="B21" s="656"/>
      <c r="C21" s="656"/>
      <c r="D21" s="656"/>
      <c r="E21" s="656"/>
      <c r="F21" s="656"/>
      <c r="G21" s="656"/>
      <c r="H21" s="656"/>
      <c r="I21" s="656"/>
      <c r="J21" s="656"/>
      <c r="K21" s="657"/>
    </row>
    <row r="22" spans="1:11" s="315" customFormat="1" ht="163.9" customHeight="1" thickBot="1">
      <c r="A22" s="408">
        <v>12</v>
      </c>
      <c r="B22" s="409" t="s">
        <v>160</v>
      </c>
      <c r="C22" s="410" t="s">
        <v>161</v>
      </c>
      <c r="D22" s="411">
        <v>5.5</v>
      </c>
      <c r="E22" s="411" t="s">
        <v>93</v>
      </c>
      <c r="F22" s="412">
        <v>1</v>
      </c>
      <c r="G22" s="413">
        <v>1750000</v>
      </c>
      <c r="H22" s="413">
        <f>+G22*19%</f>
        <v>332500</v>
      </c>
      <c r="I22" s="414">
        <f>+G22+H22</f>
        <v>2082500</v>
      </c>
      <c r="J22" s="414">
        <f>+I22*F22</f>
        <v>2082500</v>
      </c>
      <c r="K22" s="415">
        <f>+D22*J22</f>
        <v>11453750</v>
      </c>
    </row>
    <row r="23" spans="1:11" s="315" customFormat="1" ht="48" customHeight="1" thickBot="1">
      <c r="A23" s="658" t="s">
        <v>153</v>
      </c>
      <c r="B23" s="659"/>
      <c r="C23" s="659"/>
      <c r="D23" s="659"/>
      <c r="E23" s="659"/>
      <c r="F23" s="659"/>
      <c r="G23" s="659"/>
      <c r="H23" s="659"/>
      <c r="I23" s="342">
        <f>I22</f>
        <v>2082500</v>
      </c>
      <c r="J23" s="343"/>
      <c r="K23" s="344">
        <f>K22</f>
        <v>11453750</v>
      </c>
    </row>
    <row r="24" spans="1:11" ht="79.900000000000006" customHeight="1">
      <c r="A24" s="644" t="s">
        <v>162</v>
      </c>
      <c r="B24" s="645"/>
      <c r="C24" s="645"/>
      <c r="D24" s="645"/>
      <c r="E24" s="645"/>
      <c r="F24" s="645"/>
      <c r="G24" s="645"/>
      <c r="H24" s="645"/>
      <c r="I24" s="416"/>
      <c r="J24" s="416"/>
      <c r="K24" s="417">
        <f>SUM(K10,K14,K20,K23)</f>
        <v>294015799</v>
      </c>
    </row>
    <row r="25" spans="1:11" ht="40.9" customHeight="1">
      <c r="A25" s="642" t="s">
        <v>163</v>
      </c>
      <c r="B25" s="642"/>
      <c r="C25" s="642"/>
      <c r="D25" s="642"/>
      <c r="E25" s="642"/>
      <c r="F25" s="642"/>
      <c r="G25" s="642"/>
      <c r="H25" s="642"/>
      <c r="I25" s="642"/>
      <c r="J25" s="362"/>
      <c r="K25" s="434">
        <v>294015799</v>
      </c>
    </row>
    <row r="26" spans="1:11" ht="48" customHeight="1">
      <c r="A26" s="642" t="s">
        <v>164</v>
      </c>
      <c r="B26" s="642"/>
      <c r="C26" s="642"/>
      <c r="D26" s="642"/>
      <c r="E26" s="642"/>
      <c r="F26" s="642"/>
      <c r="G26" s="642"/>
      <c r="H26" s="642"/>
      <c r="I26" s="642"/>
      <c r="J26" s="369">
        <f>I23+I20+I14+I10</f>
        <v>10548540.800000001</v>
      </c>
      <c r="K26" s="362"/>
    </row>
    <row r="27" spans="1:11" ht="75.599999999999994" customHeight="1">
      <c r="A27" s="643" t="s">
        <v>165</v>
      </c>
      <c r="B27" s="643"/>
      <c r="C27" s="643"/>
      <c r="D27" s="643"/>
      <c r="E27" s="643"/>
      <c r="F27" s="643"/>
      <c r="G27" s="643"/>
      <c r="H27" s="643"/>
    </row>
    <row r="29" spans="1:11" ht="50.25" customHeight="1">
      <c r="A29" s="637" t="s">
        <v>166</v>
      </c>
      <c r="B29" s="638"/>
      <c r="C29" s="680" t="s">
        <v>188</v>
      </c>
      <c r="D29" s="678"/>
      <c r="E29" s="678"/>
      <c r="F29" s="678"/>
      <c r="G29" s="679"/>
    </row>
    <row r="30" spans="1:11" ht="60.6" customHeight="1">
      <c r="A30" s="637" t="s">
        <v>168</v>
      </c>
      <c r="B30" s="638"/>
      <c r="C30" s="680" t="s">
        <v>189</v>
      </c>
      <c r="D30" s="678"/>
      <c r="E30" s="678"/>
      <c r="F30" s="678"/>
      <c r="G30" s="679"/>
    </row>
    <row r="31" spans="1:11" ht="60.6" customHeight="1">
      <c r="A31" s="637" t="s">
        <v>170</v>
      </c>
      <c r="B31" s="638"/>
      <c r="C31" s="677" t="s">
        <v>190</v>
      </c>
      <c r="D31" s="678"/>
      <c r="E31" s="678"/>
      <c r="F31" s="678"/>
      <c r="G31" s="679"/>
    </row>
    <row r="32" spans="1:11" ht="60.6" customHeight="1">
      <c r="A32" s="637" t="s">
        <v>171</v>
      </c>
      <c r="B32" s="638"/>
      <c r="C32" s="680"/>
      <c r="D32" s="678"/>
      <c r="E32" s="678"/>
      <c r="F32" s="678"/>
      <c r="G32" s="679"/>
    </row>
    <row r="41" spans="7:7">
      <c r="G41" s="367"/>
    </row>
    <row r="43" spans="7:7">
      <c r="G43" s="368"/>
    </row>
  </sheetData>
  <mergeCells count="23">
    <mergeCell ref="A24:H24"/>
    <mergeCell ref="A1:K1"/>
    <mergeCell ref="A2:F2"/>
    <mergeCell ref="G2:K2"/>
    <mergeCell ref="A4:K4"/>
    <mergeCell ref="A10:H10"/>
    <mergeCell ref="A11:K11"/>
    <mergeCell ref="A14:H14"/>
    <mergeCell ref="A15:K15"/>
    <mergeCell ref="A20:H20"/>
    <mergeCell ref="A21:K21"/>
    <mergeCell ref="A23:H23"/>
    <mergeCell ref="A31:B31"/>
    <mergeCell ref="C31:G31"/>
    <mergeCell ref="A32:B32"/>
    <mergeCell ref="C32:G32"/>
    <mergeCell ref="A25:I25"/>
    <mergeCell ref="A26:I26"/>
    <mergeCell ref="A27:H27"/>
    <mergeCell ref="A29:B29"/>
    <mergeCell ref="C29:G29"/>
    <mergeCell ref="A30:B30"/>
    <mergeCell ref="C30:G3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tabColor rgb="FF00B050"/>
  </sheetPr>
  <dimension ref="A2:B7"/>
  <sheetViews>
    <sheetView workbookViewId="0">
      <selection activeCell="A4" sqref="A4"/>
    </sheetView>
  </sheetViews>
  <sheetFormatPr defaultColWidth="11.42578125" defaultRowHeight="14.45"/>
  <cols>
    <col min="2" max="2" width="22.7109375" customWidth="1"/>
  </cols>
  <sheetData>
    <row r="2" spans="1:2">
      <c r="A2">
        <v>6</v>
      </c>
      <c r="B2" t="s">
        <v>191</v>
      </c>
    </row>
    <row r="3" spans="1:2">
      <c r="A3">
        <v>5</v>
      </c>
      <c r="B3" t="s">
        <v>192</v>
      </c>
    </row>
    <row r="4" spans="1:2">
      <c r="A4">
        <v>4</v>
      </c>
      <c r="B4" t="s">
        <v>193</v>
      </c>
    </row>
    <row r="5" spans="1:2">
      <c r="A5">
        <v>3</v>
      </c>
      <c r="B5" t="s">
        <v>194</v>
      </c>
    </row>
    <row r="6" spans="1:2">
      <c r="A6">
        <v>2</v>
      </c>
      <c r="B6" t="s">
        <v>195</v>
      </c>
    </row>
    <row r="7" spans="1:2">
      <c r="A7">
        <v>1</v>
      </c>
      <c r="B7" s="113" t="s">
        <v>196</v>
      </c>
    </row>
  </sheetData>
  <phoneticPr fontId="28"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tabColor rgb="FF00B050"/>
    <pageSetUpPr fitToPage="1"/>
  </sheetPr>
  <dimension ref="A2:Q41"/>
  <sheetViews>
    <sheetView showGridLines="0" zoomScale="70" zoomScaleNormal="70" workbookViewId="0">
      <pane ySplit="9" topLeftCell="A10" activePane="bottomLeft" state="frozenSplit"/>
      <selection pane="bottomLeft" activeCell="I11" sqref="I11"/>
      <selection activeCell="D40" sqref="D40:I42"/>
    </sheetView>
  </sheetViews>
  <sheetFormatPr defaultColWidth="0" defaultRowHeight="14.45"/>
  <cols>
    <col min="1" max="1" width="4.28515625" customWidth="1"/>
    <col min="2" max="2" width="6.5703125" customWidth="1"/>
    <col min="3" max="3" width="29.42578125" bestFit="1" customWidth="1"/>
    <col min="4" max="4" width="49.7109375" customWidth="1"/>
    <col min="5" max="5" width="32" customWidth="1"/>
    <col min="6" max="6" width="14.28515625" customWidth="1"/>
    <col min="7" max="7" width="14" customWidth="1"/>
    <col min="8" max="9" width="15" customWidth="1"/>
    <col min="10" max="10" width="8.7109375" bestFit="1" customWidth="1"/>
    <col min="11" max="14" width="15" customWidth="1"/>
    <col min="15" max="15" width="19.5703125" customWidth="1"/>
    <col min="16" max="16" width="11.42578125" customWidth="1"/>
    <col min="17" max="17" width="0" hidden="1" customWidth="1"/>
    <col min="18" max="16384" width="11.42578125" hidden="1"/>
  </cols>
  <sheetData>
    <row r="2" spans="1:15" ht="25.9">
      <c r="B2" s="700" t="s">
        <v>197</v>
      </c>
      <c r="C2" s="700"/>
      <c r="D2" s="700"/>
      <c r="E2" s="700"/>
      <c r="F2" s="700"/>
      <c r="G2" s="700"/>
      <c r="H2" s="700"/>
      <c r="I2" s="700"/>
      <c r="J2" s="700"/>
      <c r="K2" s="700"/>
      <c r="L2" s="700"/>
      <c r="M2" s="700"/>
      <c r="N2" s="700"/>
      <c r="O2" s="700"/>
    </row>
    <row r="3" spans="1:15" ht="21">
      <c r="B3" s="701" t="s">
        <v>198</v>
      </c>
      <c r="C3" s="701"/>
      <c r="D3" s="701"/>
      <c r="E3" s="701"/>
      <c r="F3" s="701"/>
      <c r="G3" s="701"/>
      <c r="H3" s="701"/>
      <c r="I3" s="701"/>
      <c r="J3" s="701"/>
      <c r="K3" s="701"/>
      <c r="L3" s="701"/>
      <c r="M3" s="701"/>
      <c r="N3" s="701"/>
      <c r="O3" s="701"/>
    </row>
    <row r="4" spans="1:15" ht="21">
      <c r="B4" s="82"/>
      <c r="C4" s="82"/>
      <c r="D4" s="82"/>
      <c r="E4" s="82"/>
      <c r="F4" s="82"/>
      <c r="G4" s="82"/>
      <c r="H4" s="82"/>
      <c r="I4" s="82"/>
      <c r="J4" s="82"/>
      <c r="K4" s="82"/>
      <c r="L4" s="82"/>
      <c r="M4" s="82"/>
      <c r="N4" s="82"/>
      <c r="O4" s="82"/>
    </row>
    <row r="6" spans="1:15" ht="45.6" customHeight="1">
      <c r="B6" s="702" t="s">
        <v>199</v>
      </c>
      <c r="C6" s="702"/>
      <c r="D6" s="702"/>
      <c r="E6" s="702"/>
      <c r="F6" s="702"/>
      <c r="G6" s="702"/>
      <c r="H6" s="702"/>
      <c r="I6" s="702"/>
      <c r="J6" s="702"/>
      <c r="K6" s="702"/>
      <c r="L6" s="702"/>
      <c r="M6" s="702"/>
      <c r="N6" s="702"/>
      <c r="O6" s="702"/>
    </row>
    <row r="7" spans="1:15">
      <c r="B7" s="703" t="s">
        <v>200</v>
      </c>
      <c r="C7" s="703"/>
    </row>
    <row r="9" spans="1:15" ht="39.6" customHeight="1">
      <c r="A9" s="84"/>
      <c r="B9" s="85" t="s">
        <v>1</v>
      </c>
      <c r="C9" s="86" t="s">
        <v>2</v>
      </c>
      <c r="D9" s="86" t="s">
        <v>201</v>
      </c>
      <c r="E9" s="86" t="s">
        <v>202</v>
      </c>
      <c r="F9" s="86" t="s">
        <v>4</v>
      </c>
      <c r="G9" s="86" t="s">
        <v>5</v>
      </c>
      <c r="H9" s="87" t="s">
        <v>120</v>
      </c>
      <c r="I9" s="87" t="s">
        <v>203</v>
      </c>
      <c r="J9" s="87" t="s">
        <v>134</v>
      </c>
      <c r="K9" s="87" t="s">
        <v>135</v>
      </c>
      <c r="L9" s="87" t="s">
        <v>126</v>
      </c>
      <c r="M9" s="87" t="s">
        <v>204</v>
      </c>
      <c r="N9" s="87" t="s">
        <v>205</v>
      </c>
      <c r="O9" s="87" t="s">
        <v>206</v>
      </c>
    </row>
    <row r="10" spans="1:15" s="88" customFormat="1" ht="46.9" customHeight="1">
      <c r="A10" s="694" t="s">
        <v>207</v>
      </c>
      <c r="B10" s="704" t="s">
        <v>208</v>
      </c>
      <c r="C10" s="704"/>
      <c r="D10" s="704"/>
      <c r="E10" s="704"/>
      <c r="F10" s="704"/>
      <c r="G10" s="704"/>
      <c r="H10" s="704"/>
      <c r="I10" s="704"/>
      <c r="J10" s="704"/>
      <c r="K10" s="704"/>
      <c r="L10" s="704"/>
      <c r="M10" s="704"/>
      <c r="N10" s="704"/>
      <c r="O10" s="704"/>
    </row>
    <row r="11" spans="1:15" ht="46.9" customHeight="1">
      <c r="A11" s="694"/>
      <c r="B11" s="89">
        <v>1</v>
      </c>
      <c r="C11" s="90" t="s">
        <v>209</v>
      </c>
      <c r="D11" s="90" t="s">
        <v>210</v>
      </c>
      <c r="E11" s="91"/>
      <c r="F11" s="92" t="s">
        <v>19</v>
      </c>
      <c r="G11" s="92">
        <v>1</v>
      </c>
      <c r="H11" s="93" t="e">
        <f>#REF!</f>
        <v>#REF!</v>
      </c>
      <c r="I11" s="94" t="e">
        <f>#REF!</f>
        <v>#REF!</v>
      </c>
      <c r="J11" s="95">
        <v>0.08</v>
      </c>
      <c r="K11" s="93" t="e">
        <f>(H11+I11)*J11</f>
        <v>#REF!</v>
      </c>
      <c r="L11" s="96" t="e">
        <f>H11+I11+K11</f>
        <v>#REF!</v>
      </c>
      <c r="M11" s="93" t="e">
        <f>L11*10%</f>
        <v>#REF!</v>
      </c>
      <c r="N11" s="93" t="e">
        <f>M11*19%</f>
        <v>#REF!</v>
      </c>
      <c r="O11" s="97" t="e">
        <f>ROUNDUP(L11+N11,-2)*G11</f>
        <v>#REF!</v>
      </c>
    </row>
    <row r="12" spans="1:15" ht="46.9" customHeight="1">
      <c r="A12" s="694"/>
      <c r="B12" s="89">
        <v>2</v>
      </c>
      <c r="C12" s="90" t="s">
        <v>211</v>
      </c>
      <c r="D12" s="90" t="s">
        <v>212</v>
      </c>
      <c r="E12" s="91"/>
      <c r="F12" s="98" t="s">
        <v>19</v>
      </c>
      <c r="G12" s="98">
        <v>1</v>
      </c>
      <c r="H12" s="93" t="e">
        <f>#REF!</f>
        <v>#REF!</v>
      </c>
      <c r="I12" s="94" t="e">
        <f>#REF!</f>
        <v>#REF!</v>
      </c>
      <c r="J12" s="95">
        <v>0.08</v>
      </c>
      <c r="K12" s="93" t="e">
        <f>(H12+I12)*J12</f>
        <v>#REF!</v>
      </c>
      <c r="L12" s="96" t="e">
        <f t="shared" ref="L12:L13" si="0">H12+I12+K12</f>
        <v>#REF!</v>
      </c>
      <c r="M12" s="93" t="e">
        <f t="shared" ref="M12:M13" si="1">L12*10%</f>
        <v>#REF!</v>
      </c>
      <c r="N12" s="93" t="e">
        <f t="shared" ref="N12:N13" si="2">M12*19%</f>
        <v>#REF!</v>
      </c>
      <c r="O12" s="97" t="e">
        <f t="shared" ref="O12:O17" si="3">ROUNDUP(L12+N12,-2)*G12</f>
        <v>#REF!</v>
      </c>
    </row>
    <row r="13" spans="1:15" ht="46.9" customHeight="1">
      <c r="A13" s="694"/>
      <c r="B13" s="89">
        <v>3</v>
      </c>
      <c r="C13" s="90" t="s">
        <v>213</v>
      </c>
      <c r="D13" s="90" t="s">
        <v>214</v>
      </c>
      <c r="E13" s="91"/>
      <c r="F13" s="98" t="s">
        <v>19</v>
      </c>
      <c r="G13" s="98">
        <v>1</v>
      </c>
      <c r="H13" s="93" t="e">
        <f>#REF!</f>
        <v>#REF!</v>
      </c>
      <c r="I13" s="94" t="e">
        <f>#REF!</f>
        <v>#REF!</v>
      </c>
      <c r="J13" s="95">
        <v>0.08</v>
      </c>
      <c r="K13" s="93" t="e">
        <f t="shared" ref="K13" si="4">(H13+I13)*J13</f>
        <v>#REF!</v>
      </c>
      <c r="L13" s="96" t="e">
        <f t="shared" si="0"/>
        <v>#REF!</v>
      </c>
      <c r="M13" s="93" t="e">
        <f t="shared" si="1"/>
        <v>#REF!</v>
      </c>
      <c r="N13" s="93" t="e">
        <f t="shared" si="2"/>
        <v>#REF!</v>
      </c>
      <c r="O13" s="97" t="e">
        <f t="shared" si="3"/>
        <v>#REF!</v>
      </c>
    </row>
    <row r="14" spans="1:15" ht="46.9" customHeight="1">
      <c r="A14" s="694" t="s">
        <v>215</v>
      </c>
      <c r="B14" s="695" t="s">
        <v>216</v>
      </c>
      <c r="C14" s="695"/>
      <c r="D14" s="695"/>
      <c r="E14" s="695"/>
      <c r="F14" s="695"/>
      <c r="G14" s="695"/>
      <c r="H14" s="695"/>
      <c r="I14" s="695"/>
      <c r="J14" s="695"/>
      <c r="K14" s="695"/>
      <c r="L14" s="695"/>
      <c r="M14" s="695"/>
      <c r="N14" s="695"/>
      <c r="O14" s="695"/>
    </row>
    <row r="15" spans="1:15" ht="46.9" customHeight="1">
      <c r="A15" s="694"/>
      <c r="B15" s="99">
        <v>1</v>
      </c>
      <c r="C15" s="100" t="s">
        <v>217</v>
      </c>
      <c r="D15" s="100" t="s">
        <v>210</v>
      </c>
      <c r="E15" s="101"/>
      <c r="F15" s="102" t="s">
        <v>19</v>
      </c>
      <c r="G15" s="102">
        <v>1</v>
      </c>
      <c r="H15" s="94" t="e">
        <f>#REF!</f>
        <v>#REF!</v>
      </c>
      <c r="I15" s="94" t="e">
        <f>#REF!</f>
        <v>#REF!</v>
      </c>
      <c r="J15" s="103">
        <v>0.08</v>
      </c>
      <c r="K15" s="104" t="e">
        <f>(H15+I15)*J15</f>
        <v>#REF!</v>
      </c>
      <c r="L15" s="96" t="e">
        <f>H15+I15+K15</f>
        <v>#REF!</v>
      </c>
      <c r="M15" s="104" t="e">
        <f>L15*10%</f>
        <v>#REF!</v>
      </c>
      <c r="N15" s="104" t="e">
        <f>M15*19%</f>
        <v>#REF!</v>
      </c>
      <c r="O15" s="105" t="e">
        <f>ROUNDUP(L15+N15,-2)*G15</f>
        <v>#REF!</v>
      </c>
    </row>
    <row r="16" spans="1:15" ht="46.9" customHeight="1">
      <c r="A16" s="694"/>
      <c r="B16" s="99">
        <v>2</v>
      </c>
      <c r="C16" s="100" t="s">
        <v>218</v>
      </c>
      <c r="D16" s="100" t="s">
        <v>212</v>
      </c>
      <c r="E16" s="101"/>
      <c r="F16" s="106" t="s">
        <v>19</v>
      </c>
      <c r="G16" s="106">
        <v>1</v>
      </c>
      <c r="H16" s="94" t="e">
        <f>#REF!</f>
        <v>#REF!</v>
      </c>
      <c r="I16" s="94" t="e">
        <f>#REF!</f>
        <v>#REF!</v>
      </c>
      <c r="J16" s="103">
        <v>0.08</v>
      </c>
      <c r="K16" s="104" t="e">
        <f>(H16+I16)*J16</f>
        <v>#REF!</v>
      </c>
      <c r="L16" s="96" t="e">
        <f t="shared" ref="L16:L17" si="5">H16+I16+K16</f>
        <v>#REF!</v>
      </c>
      <c r="M16" s="104" t="e">
        <f t="shared" ref="M16:M17" si="6">L16*10%</f>
        <v>#REF!</v>
      </c>
      <c r="N16" s="104" t="e">
        <f t="shared" ref="N16:N17" si="7">M16*19%</f>
        <v>#REF!</v>
      </c>
      <c r="O16" s="105" t="e">
        <f>ROUNDUP(L16+N16,-2)*G16</f>
        <v>#REF!</v>
      </c>
    </row>
    <row r="17" spans="1:15" ht="46.9" customHeight="1">
      <c r="A17" s="694"/>
      <c r="B17" s="99">
        <v>3</v>
      </c>
      <c r="C17" s="100" t="s">
        <v>219</v>
      </c>
      <c r="D17" s="100" t="s">
        <v>214</v>
      </c>
      <c r="E17" s="101"/>
      <c r="F17" s="106" t="s">
        <v>19</v>
      </c>
      <c r="G17" s="106">
        <v>1</v>
      </c>
      <c r="H17" s="94" t="e">
        <f>#REF!</f>
        <v>#REF!</v>
      </c>
      <c r="I17" s="94" t="e">
        <f>#REF!</f>
        <v>#REF!</v>
      </c>
      <c r="J17" s="103">
        <v>0.08</v>
      </c>
      <c r="K17" s="104" t="e">
        <f t="shared" ref="K17" si="8">(H17+I17)*J17</f>
        <v>#REF!</v>
      </c>
      <c r="L17" s="96" t="e">
        <f t="shared" si="5"/>
        <v>#REF!</v>
      </c>
      <c r="M17" s="104" t="e">
        <f t="shared" si="6"/>
        <v>#REF!</v>
      </c>
      <c r="N17" s="104" t="e">
        <f t="shared" si="7"/>
        <v>#REF!</v>
      </c>
      <c r="O17" s="105" t="e">
        <f t="shared" si="3"/>
        <v>#REF!</v>
      </c>
    </row>
    <row r="18" spans="1:15" ht="15.6">
      <c r="C18" s="107"/>
    </row>
    <row r="19" spans="1:15" ht="16.149999999999999" thickBot="1">
      <c r="C19" s="107"/>
    </row>
    <row r="20" spans="1:15" ht="14.45" customHeight="1">
      <c r="B20" s="696" t="s">
        <v>220</v>
      </c>
      <c r="C20" s="696"/>
      <c r="D20" s="696"/>
      <c r="E20" s="696"/>
      <c r="F20" s="696"/>
      <c r="G20" s="696"/>
      <c r="H20" s="696"/>
      <c r="I20" s="108"/>
      <c r="J20" s="108"/>
      <c r="K20" s="108"/>
      <c r="L20" s="108"/>
      <c r="M20" s="108"/>
      <c r="N20" s="108"/>
      <c r="O20" s="697" t="e">
        <f>SUM(O11:O17)</f>
        <v>#REF!</v>
      </c>
    </row>
    <row r="21" spans="1:15" ht="15" customHeight="1" thickBot="1">
      <c r="B21" s="696"/>
      <c r="C21" s="696"/>
      <c r="D21" s="696"/>
      <c r="E21" s="696"/>
      <c r="F21" s="696"/>
      <c r="G21" s="696"/>
      <c r="H21" s="696"/>
      <c r="I21" s="108"/>
      <c r="J21" s="108"/>
      <c r="K21" s="108"/>
      <c r="L21" s="108"/>
      <c r="M21" s="108"/>
      <c r="N21" s="108"/>
      <c r="O21" s="698"/>
    </row>
    <row r="22" spans="1:15" ht="14.45" customHeight="1">
      <c r="B22" s="696"/>
      <c r="C22" s="696"/>
      <c r="D22" s="696"/>
      <c r="E22" s="696"/>
      <c r="F22" s="696"/>
      <c r="G22" s="696"/>
      <c r="H22" s="696"/>
      <c r="I22" s="108"/>
      <c r="J22" s="108"/>
      <c r="K22" s="108"/>
      <c r="L22" s="108"/>
      <c r="M22" s="108"/>
      <c r="N22" s="108"/>
    </row>
    <row r="23" spans="1:15" ht="14.45" customHeight="1">
      <c r="B23" s="696"/>
      <c r="C23" s="696"/>
      <c r="D23" s="696"/>
      <c r="E23" s="696"/>
      <c r="F23" s="696"/>
      <c r="G23" s="696"/>
      <c r="H23" s="696"/>
      <c r="I23" s="108"/>
      <c r="J23" s="108"/>
      <c r="K23" s="108"/>
      <c r="L23" s="108"/>
      <c r="M23" s="108"/>
      <c r="N23" s="108"/>
    </row>
    <row r="25" spans="1:15" ht="15" thickBot="1">
      <c r="B25" s="699" t="s">
        <v>221</v>
      </c>
      <c r="C25" s="699"/>
    </row>
    <row r="26" spans="1:15">
      <c r="B26" s="685"/>
      <c r="C26" s="686"/>
      <c r="D26" s="686"/>
      <c r="E26" s="686"/>
      <c r="F26" s="686"/>
      <c r="G26" s="686"/>
      <c r="H26" s="686"/>
      <c r="I26" s="686"/>
      <c r="J26" s="686"/>
      <c r="K26" s="686"/>
      <c r="L26" s="686"/>
      <c r="M26" s="686"/>
      <c r="N26" s="686"/>
      <c r="O26" s="687"/>
    </row>
    <row r="27" spans="1:15">
      <c r="B27" s="688"/>
      <c r="C27" s="689"/>
      <c r="D27" s="689"/>
      <c r="E27" s="689"/>
      <c r="F27" s="689"/>
      <c r="G27" s="689"/>
      <c r="H27" s="689"/>
      <c r="I27" s="689"/>
      <c r="J27" s="689"/>
      <c r="K27" s="689"/>
      <c r="L27" s="689"/>
      <c r="M27" s="689"/>
      <c r="N27" s="689"/>
      <c r="O27" s="690"/>
    </row>
    <row r="28" spans="1:15">
      <c r="B28" s="688"/>
      <c r="C28" s="689"/>
      <c r="D28" s="689"/>
      <c r="E28" s="689"/>
      <c r="F28" s="689"/>
      <c r="G28" s="689"/>
      <c r="H28" s="689"/>
      <c r="I28" s="689"/>
      <c r="J28" s="689"/>
      <c r="K28" s="689"/>
      <c r="L28" s="689"/>
      <c r="M28" s="689"/>
      <c r="N28" s="689"/>
      <c r="O28" s="690"/>
    </row>
    <row r="29" spans="1:15">
      <c r="B29" s="688"/>
      <c r="C29" s="689"/>
      <c r="D29" s="689"/>
      <c r="E29" s="689"/>
      <c r="F29" s="689"/>
      <c r="G29" s="689"/>
      <c r="H29" s="689"/>
      <c r="I29" s="689"/>
      <c r="J29" s="689"/>
      <c r="K29" s="689"/>
      <c r="L29" s="689"/>
      <c r="M29" s="689"/>
      <c r="N29" s="689"/>
      <c r="O29" s="690"/>
    </row>
    <row r="30" spans="1:15">
      <c r="B30" s="688"/>
      <c r="C30" s="689"/>
      <c r="D30" s="689"/>
      <c r="E30" s="689"/>
      <c r="F30" s="689"/>
      <c r="G30" s="689"/>
      <c r="H30" s="689"/>
      <c r="I30" s="689"/>
      <c r="J30" s="689"/>
      <c r="K30" s="689"/>
      <c r="L30" s="689"/>
      <c r="M30" s="689"/>
      <c r="N30" s="689"/>
      <c r="O30" s="690"/>
    </row>
    <row r="31" spans="1:15">
      <c r="B31" s="688"/>
      <c r="C31" s="689"/>
      <c r="D31" s="689"/>
      <c r="E31" s="689"/>
      <c r="F31" s="689"/>
      <c r="G31" s="689"/>
      <c r="H31" s="689"/>
      <c r="I31" s="689"/>
      <c r="J31" s="689"/>
      <c r="K31" s="689"/>
      <c r="L31" s="689"/>
      <c r="M31" s="689"/>
      <c r="N31" s="689"/>
      <c r="O31" s="690"/>
    </row>
    <row r="32" spans="1:15" ht="15" thickBot="1">
      <c r="B32" s="691"/>
      <c r="C32" s="692"/>
      <c r="D32" s="692"/>
      <c r="E32" s="692"/>
      <c r="F32" s="692"/>
      <c r="G32" s="692"/>
      <c r="H32" s="692"/>
      <c r="I32" s="692"/>
      <c r="J32" s="692"/>
      <c r="K32" s="692"/>
      <c r="L32" s="692"/>
      <c r="M32" s="692"/>
      <c r="N32" s="692"/>
      <c r="O32" s="693"/>
    </row>
    <row r="37" spans="2:4" ht="15" thickBot="1">
      <c r="B37" s="692" t="s">
        <v>222</v>
      </c>
      <c r="C37" s="692"/>
      <c r="D37" s="109" t="s">
        <v>223</v>
      </c>
    </row>
    <row r="38" spans="2:4">
      <c r="B38" s="83"/>
      <c r="C38" s="83"/>
      <c r="D38" s="109" t="s">
        <v>224</v>
      </c>
    </row>
    <row r="39" spans="2:4">
      <c r="B39" s="83"/>
      <c r="C39" s="83"/>
      <c r="D39" s="109" t="s">
        <v>225</v>
      </c>
    </row>
    <row r="40" spans="2:4">
      <c r="B40" s="83"/>
      <c r="C40" s="83"/>
      <c r="D40" s="109"/>
    </row>
    <row r="41" spans="2:4">
      <c r="B41" s="83"/>
      <c r="C41" s="83"/>
      <c r="D41" s="109"/>
    </row>
  </sheetData>
  <mergeCells count="13">
    <mergeCell ref="B2:O2"/>
    <mergeCell ref="B3:O3"/>
    <mergeCell ref="B6:O6"/>
    <mergeCell ref="B7:C7"/>
    <mergeCell ref="A10:A13"/>
    <mergeCell ref="B10:O10"/>
    <mergeCell ref="B26:O32"/>
    <mergeCell ref="B37:C37"/>
    <mergeCell ref="A14:A17"/>
    <mergeCell ref="B14:O14"/>
    <mergeCell ref="B20:H23"/>
    <mergeCell ref="O20:O21"/>
    <mergeCell ref="B25:C25"/>
  </mergeCells>
  <dataValidations count="1">
    <dataValidation type="list" allowBlank="1" showInputMessage="1" showErrorMessage="1" sqref="J15:J17 J11:J13" xr:uid="{00000000-0002-0000-0600-000000000000}">
      <formula1>#REF!</formula1>
    </dataValidation>
  </dataValidations>
  <hyperlinks>
    <hyperlink ref="D37" r:id="rId1" xr:uid="{00000000-0004-0000-0600-000000000000}"/>
    <hyperlink ref="D38" r:id="rId2" xr:uid="{00000000-0004-0000-0600-000001000000}"/>
    <hyperlink ref="D39" r:id="rId3" xr:uid="{00000000-0004-0000-0600-000002000000}"/>
    <hyperlink ref="B7:C7" r:id="rId4" display="Ver Circular" xr:uid="{00000000-0004-0000-0600-000003000000}"/>
  </hyperlinks>
  <pageMargins left="0.7" right="0.7" top="0.75" bottom="0.75" header="0.3" footer="0.3"/>
  <pageSetup paperSize="9" scale="47" fitToHeight="0" orientation="landscape" r:id="rId5"/>
  <legacyDrawing r:id="rId6"/>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0"/>
  <dimension ref="A1:O35"/>
  <sheetViews>
    <sheetView topLeftCell="A7" zoomScale="55" zoomScaleNormal="55" workbookViewId="0">
      <selection activeCell="C18" sqref="C18"/>
    </sheetView>
  </sheetViews>
  <sheetFormatPr defaultColWidth="11.42578125" defaultRowHeight="14.45"/>
  <cols>
    <col min="1" max="1" width="32" customWidth="1"/>
    <col min="2" max="2" width="16.5703125" style="83" customWidth="1"/>
    <col min="3" max="3" width="66" customWidth="1"/>
    <col min="4" max="5" width="15.42578125" customWidth="1"/>
    <col min="6" max="6" width="15.42578125" bestFit="1" customWidth="1"/>
    <col min="7" max="7" width="15.42578125" customWidth="1"/>
    <col min="8" max="9" width="15.28515625" bestFit="1" customWidth="1"/>
    <col min="10" max="10" width="15.28515625" customWidth="1"/>
    <col min="11" max="11" width="18.5703125" customWidth="1"/>
    <col min="12" max="13" width="16.7109375" customWidth="1"/>
    <col min="14" max="14" width="16" customWidth="1"/>
    <col min="15" max="15" width="18.140625" customWidth="1"/>
  </cols>
  <sheetData>
    <row r="1" spans="1:15" ht="15" thickBot="1">
      <c r="A1" s="118" t="s">
        <v>226</v>
      </c>
      <c r="C1" s="119" t="s">
        <v>53</v>
      </c>
      <c r="D1" s="120" t="s">
        <v>226</v>
      </c>
      <c r="E1" s="121" t="s">
        <v>226</v>
      </c>
      <c r="F1" s="122" t="s">
        <v>227</v>
      </c>
      <c r="G1" s="123">
        <v>0.1</v>
      </c>
      <c r="H1" s="124"/>
      <c r="I1" s="125" t="s">
        <v>228</v>
      </c>
      <c r="J1" s="115"/>
      <c r="K1" s="124">
        <v>45790</v>
      </c>
      <c r="L1" s="125" t="s">
        <v>229</v>
      </c>
    </row>
    <row r="2" spans="1:15">
      <c r="A2" s="126">
        <v>14596078</v>
      </c>
      <c r="C2" s="127" t="s">
        <v>230</v>
      </c>
      <c r="D2" s="126">
        <v>14600838.324676892</v>
      </c>
      <c r="E2" s="128">
        <v>14840178.497176889</v>
      </c>
      <c r="F2" s="129">
        <v>16165394.981793046</v>
      </c>
      <c r="I2" s="110">
        <f>+(E2/30)*15</f>
        <v>7420089.2485884447</v>
      </c>
      <c r="K2" s="66">
        <f>(A2/30)*13</f>
        <v>6324967.1333333338</v>
      </c>
    </row>
    <row r="3" spans="1:15">
      <c r="A3" s="130">
        <v>2906823</v>
      </c>
      <c r="C3" s="131" t="s">
        <v>231</v>
      </c>
      <c r="D3" s="130">
        <v>2896998.2266674903</v>
      </c>
      <c r="E3" s="132">
        <v>2944450.5409415602</v>
      </c>
      <c r="F3" s="133">
        <v>3207303.5539256665</v>
      </c>
      <c r="I3" s="110">
        <f>+(E3/30)*15</f>
        <v>1472225.2704707801</v>
      </c>
      <c r="K3" s="66">
        <f>(A3/30)*13</f>
        <v>1259623.3</v>
      </c>
      <c r="M3" s="134" t="s">
        <v>232</v>
      </c>
    </row>
    <row r="4" spans="1:15" ht="15" thickBot="1">
      <c r="A4" s="135">
        <v>3487126</v>
      </c>
      <c r="C4" s="136" t="s">
        <v>233</v>
      </c>
      <c r="D4" s="135">
        <v>3477446.2035674904</v>
      </c>
      <c r="E4" s="137">
        <v>3534424.4693224132</v>
      </c>
      <c r="F4" s="138">
        <v>3849987.7471672422</v>
      </c>
      <c r="I4" s="110">
        <f>+(E4/30)*15</f>
        <v>1767212.2346612066</v>
      </c>
      <c r="K4" s="66">
        <f>(A4/30)*13</f>
        <v>1511087.9333333333</v>
      </c>
    </row>
    <row r="6" spans="1:15" ht="15" thickBot="1"/>
    <row r="7" spans="1:15" ht="29.45" thickBot="1">
      <c r="A7" s="139" t="s">
        <v>51</v>
      </c>
      <c r="B7" s="140" t="s">
        <v>234</v>
      </c>
      <c r="C7" s="141" t="s">
        <v>53</v>
      </c>
      <c r="D7" s="142" t="s">
        <v>235</v>
      </c>
      <c r="E7" s="142" t="s">
        <v>236</v>
      </c>
      <c r="F7" s="143" t="s">
        <v>237</v>
      </c>
      <c r="G7" s="144" t="s">
        <v>237</v>
      </c>
      <c r="H7" s="144" t="s">
        <v>238</v>
      </c>
      <c r="I7" s="144" t="s">
        <v>239</v>
      </c>
      <c r="J7" s="144" t="s">
        <v>240</v>
      </c>
      <c r="K7" s="144" t="s">
        <v>241</v>
      </c>
      <c r="L7" s="144" t="s">
        <v>242</v>
      </c>
      <c r="M7" s="122" t="s">
        <v>243</v>
      </c>
      <c r="N7" s="122" t="s">
        <v>244</v>
      </c>
      <c r="O7" s="145" t="s">
        <v>245</v>
      </c>
    </row>
    <row r="8" spans="1:15" ht="47.25" customHeight="1">
      <c r="A8" s="705" t="s">
        <v>246</v>
      </c>
      <c r="B8" s="146">
        <v>1</v>
      </c>
      <c r="C8" s="147" t="s">
        <v>230</v>
      </c>
      <c r="D8" s="148">
        <f>(D2/30)*19</f>
        <v>9247197.6056286991</v>
      </c>
      <c r="E8" s="149">
        <f>+D2*B8</f>
        <v>14600838.324676892</v>
      </c>
      <c r="F8" s="150">
        <v>7167279</v>
      </c>
      <c r="G8" s="150">
        <v>7214277</v>
      </c>
      <c r="H8" s="150">
        <f>+E2</f>
        <v>14840178.497176889</v>
      </c>
      <c r="I8" s="150">
        <f t="shared" ref="I8:L10" si="0">+H8</f>
        <v>14840178.497176889</v>
      </c>
      <c r="J8" s="150">
        <f t="shared" si="0"/>
        <v>14840178.497176889</v>
      </c>
      <c r="K8" s="150">
        <f t="shared" si="0"/>
        <v>14840178.497176889</v>
      </c>
      <c r="L8" s="150">
        <f t="shared" si="0"/>
        <v>14840178.497176889</v>
      </c>
      <c r="M8" s="150">
        <f>+F2</f>
        <v>16165394.981793046</v>
      </c>
      <c r="N8" s="151">
        <f>+M8</f>
        <v>16165394.981793046</v>
      </c>
      <c r="O8" s="152">
        <f>SUM(H8:N8)</f>
        <v>106531682.44947053</v>
      </c>
    </row>
    <row r="9" spans="1:15" ht="47.25" customHeight="1">
      <c r="A9" s="706"/>
      <c r="B9" s="153">
        <v>1</v>
      </c>
      <c r="C9" s="154" t="s">
        <v>231</v>
      </c>
      <c r="D9" s="155">
        <f>(D3/30)*19</f>
        <v>1834765.5435560774</v>
      </c>
      <c r="E9" s="156">
        <f>+D3*B9</f>
        <v>2896998.2266674903</v>
      </c>
      <c r="F9" s="157">
        <v>1427390</v>
      </c>
      <c r="G9" s="157">
        <v>1436742.5</v>
      </c>
      <c r="H9" s="157">
        <f>+E3</f>
        <v>2944450.5409415602</v>
      </c>
      <c r="I9" s="157">
        <f t="shared" si="0"/>
        <v>2944450.5409415602</v>
      </c>
      <c r="J9" s="157">
        <f t="shared" si="0"/>
        <v>2944450.5409415602</v>
      </c>
      <c r="K9" s="157">
        <f t="shared" si="0"/>
        <v>2944450.5409415602</v>
      </c>
      <c r="L9" s="157">
        <f t="shared" si="0"/>
        <v>2944450.5409415602</v>
      </c>
      <c r="M9" s="157">
        <f>+F3</f>
        <v>3207303.5539256665</v>
      </c>
      <c r="N9" s="158">
        <f>+M9</f>
        <v>3207303.5539256665</v>
      </c>
      <c r="O9" s="159">
        <f>SUM(H9:N9)</f>
        <v>21136859.812559135</v>
      </c>
    </row>
    <row r="10" spans="1:15" ht="47.25" customHeight="1" thickBot="1">
      <c r="A10" s="707"/>
      <c r="B10" s="160">
        <v>1</v>
      </c>
      <c r="C10" s="161" t="s">
        <v>233</v>
      </c>
      <c r="D10" s="162">
        <f>(D4/30)*19</f>
        <v>2202382.5955927437</v>
      </c>
      <c r="E10" s="163">
        <f>+D4*B10</f>
        <v>3477446.2035674904</v>
      </c>
      <c r="F10" s="164">
        <v>1712337</v>
      </c>
      <c r="G10" s="164">
        <v>1723560.5</v>
      </c>
      <c r="H10" s="164">
        <f>+E4</f>
        <v>3534424.4693224132</v>
      </c>
      <c r="I10" s="164">
        <f t="shared" si="0"/>
        <v>3534424.4693224132</v>
      </c>
      <c r="J10" s="164">
        <f t="shared" si="0"/>
        <v>3534424.4693224132</v>
      </c>
      <c r="K10" s="164">
        <f t="shared" si="0"/>
        <v>3534424.4693224132</v>
      </c>
      <c r="L10" s="164">
        <f t="shared" si="0"/>
        <v>3534424.4693224132</v>
      </c>
      <c r="M10" s="164">
        <f>+F4</f>
        <v>3849987.7471672422</v>
      </c>
      <c r="N10" s="165">
        <f>+M10</f>
        <v>3849987.7471672422</v>
      </c>
      <c r="O10" s="166">
        <f>SUM(H10:N10)</f>
        <v>25372097.840946548</v>
      </c>
    </row>
    <row r="11" spans="1:15" ht="47.25" customHeight="1" thickBot="1">
      <c r="A11" s="167"/>
      <c r="B11" s="168">
        <f>SUM(B8:B10)</f>
        <v>3</v>
      </c>
      <c r="C11" s="167"/>
      <c r="D11" s="169">
        <f>SUM(D8:D10)</f>
        <v>13284345.744777519</v>
      </c>
      <c r="E11" s="170">
        <v>53876087</v>
      </c>
      <c r="F11" s="170">
        <f t="shared" ref="F11:O11" si="1">SUM(F8:F10)</f>
        <v>10307006</v>
      </c>
      <c r="G11" s="170">
        <f t="shared" si="1"/>
        <v>10374580</v>
      </c>
      <c r="H11" s="170">
        <f t="shared" si="1"/>
        <v>21319053.507440861</v>
      </c>
      <c r="I11" s="170">
        <f t="shared" si="1"/>
        <v>21319053.507440861</v>
      </c>
      <c r="J11" s="170">
        <f t="shared" si="1"/>
        <v>21319053.507440861</v>
      </c>
      <c r="K11" s="170">
        <f t="shared" si="1"/>
        <v>21319053.507440861</v>
      </c>
      <c r="L11" s="170">
        <f t="shared" si="1"/>
        <v>21319053.507440861</v>
      </c>
      <c r="M11" s="170">
        <f t="shared" si="1"/>
        <v>23222686.282885954</v>
      </c>
      <c r="N11" s="170">
        <f t="shared" si="1"/>
        <v>23222686.282885954</v>
      </c>
      <c r="O11" s="171">
        <f t="shared" si="1"/>
        <v>153040640.10297623</v>
      </c>
    </row>
    <row r="15" spans="1:15" ht="15" thickBot="1">
      <c r="A15" s="708"/>
      <c r="B15" s="708"/>
      <c r="C15" s="708"/>
    </row>
    <row r="16" spans="1:15" ht="29.45" thickBot="1">
      <c r="A16" s="172" t="s">
        <v>51</v>
      </c>
      <c r="B16" s="173" t="s">
        <v>234</v>
      </c>
      <c r="C16" s="174" t="s">
        <v>53</v>
      </c>
      <c r="D16" s="142" t="s">
        <v>235</v>
      </c>
      <c r="E16" s="142" t="s">
        <v>236</v>
      </c>
      <c r="F16" s="143" t="s">
        <v>237</v>
      </c>
      <c r="G16" s="144" t="s">
        <v>237</v>
      </c>
      <c r="H16" s="144" t="s">
        <v>238</v>
      </c>
      <c r="I16" s="144" t="s">
        <v>239</v>
      </c>
      <c r="J16" s="144" t="s">
        <v>240</v>
      </c>
      <c r="K16" s="144" t="s">
        <v>241</v>
      </c>
      <c r="L16" s="144" t="s">
        <v>242</v>
      </c>
      <c r="M16" s="122" t="s">
        <v>243</v>
      </c>
      <c r="N16" s="122" t="s">
        <v>244</v>
      </c>
      <c r="O16" s="175" t="s">
        <v>245</v>
      </c>
    </row>
    <row r="17" spans="1:15" ht="36.75" customHeight="1">
      <c r="A17" s="709" t="s">
        <v>247</v>
      </c>
      <c r="B17" s="176">
        <v>1</v>
      </c>
      <c r="C17" s="177" t="s">
        <v>230</v>
      </c>
      <c r="D17" s="178">
        <f t="shared" ref="D17:M17" si="2">+D8*$B$17</f>
        <v>9247197.6056286991</v>
      </c>
      <c r="E17" s="179">
        <f t="shared" si="2"/>
        <v>14600838.324676892</v>
      </c>
      <c r="F17" s="179">
        <f t="shared" si="2"/>
        <v>7167279</v>
      </c>
      <c r="G17" s="179">
        <f t="shared" si="2"/>
        <v>7214277</v>
      </c>
      <c r="H17" s="179">
        <f t="shared" si="2"/>
        <v>14840178.497176889</v>
      </c>
      <c r="I17" s="179">
        <f t="shared" si="2"/>
        <v>14840178.497176889</v>
      </c>
      <c r="J17" s="179">
        <f t="shared" si="2"/>
        <v>14840178.497176889</v>
      </c>
      <c r="K17" s="179">
        <f t="shared" si="2"/>
        <v>14840178.497176889</v>
      </c>
      <c r="L17" s="179">
        <f t="shared" si="2"/>
        <v>14840178.497176889</v>
      </c>
      <c r="M17" s="179">
        <f t="shared" si="2"/>
        <v>16165394.981793046</v>
      </c>
      <c r="N17" s="180">
        <f>(N8/30)*11*$B$17</f>
        <v>5927311.4933241168</v>
      </c>
      <c r="O17" s="181">
        <f t="shared" ref="O17:O26" si="3">SUM(D17:N17)</f>
        <v>134523190.8913072</v>
      </c>
    </row>
    <row r="18" spans="1:15" ht="36.75" customHeight="1">
      <c r="A18" s="710"/>
      <c r="B18" s="182">
        <v>2</v>
      </c>
      <c r="C18" s="183" t="s">
        <v>231</v>
      </c>
      <c r="D18" s="184">
        <f t="shared" ref="D18:M18" si="4">+D9*$B$18</f>
        <v>3669531.0871121548</v>
      </c>
      <c r="E18" s="185">
        <f t="shared" si="4"/>
        <v>5793996.4533349806</v>
      </c>
      <c r="F18" s="185">
        <f t="shared" si="4"/>
        <v>2854780</v>
      </c>
      <c r="G18" s="185">
        <f t="shared" si="4"/>
        <v>2873485</v>
      </c>
      <c r="H18" s="185">
        <f t="shared" si="4"/>
        <v>5888901.0818831204</v>
      </c>
      <c r="I18" s="185">
        <f t="shared" si="4"/>
        <v>5888901.0818831204</v>
      </c>
      <c r="J18" s="185">
        <f t="shared" si="4"/>
        <v>5888901.0818831204</v>
      </c>
      <c r="K18" s="185">
        <f t="shared" si="4"/>
        <v>5888901.0818831204</v>
      </c>
      <c r="L18" s="185">
        <f t="shared" si="4"/>
        <v>5888901.0818831204</v>
      </c>
      <c r="M18" s="185">
        <f t="shared" si="4"/>
        <v>6414607.107851333</v>
      </c>
      <c r="N18" s="186">
        <f>(N9/30)*11*$B$18</f>
        <v>2352022.6062121554</v>
      </c>
      <c r="O18" s="187">
        <f t="shared" si="3"/>
        <v>53402927.663926221</v>
      </c>
    </row>
    <row r="19" spans="1:15" ht="36.75" customHeight="1" thickBot="1">
      <c r="A19" s="711"/>
      <c r="B19" s="188">
        <v>2</v>
      </c>
      <c r="C19" s="189" t="s">
        <v>233</v>
      </c>
      <c r="D19" s="190">
        <f t="shared" ref="D19:M19" si="5">+D10*$B$19</f>
        <v>4404765.1911854874</v>
      </c>
      <c r="E19" s="191">
        <f t="shared" si="5"/>
        <v>6954892.4071349809</v>
      </c>
      <c r="F19" s="191">
        <f t="shared" si="5"/>
        <v>3424674</v>
      </c>
      <c r="G19" s="191">
        <f t="shared" si="5"/>
        <v>3447121</v>
      </c>
      <c r="H19" s="191">
        <f t="shared" si="5"/>
        <v>7068848.9386448264</v>
      </c>
      <c r="I19" s="191">
        <f t="shared" si="5"/>
        <v>7068848.9386448264</v>
      </c>
      <c r="J19" s="191">
        <f t="shared" si="5"/>
        <v>7068848.9386448264</v>
      </c>
      <c r="K19" s="191">
        <f t="shared" si="5"/>
        <v>7068848.9386448264</v>
      </c>
      <c r="L19" s="191">
        <f t="shared" si="5"/>
        <v>7068848.9386448264</v>
      </c>
      <c r="M19" s="191">
        <f t="shared" si="5"/>
        <v>7699975.4943344845</v>
      </c>
      <c r="N19" s="192">
        <f>(N10/30)*11*$B$19</f>
        <v>2823324.3479226441</v>
      </c>
      <c r="O19" s="193">
        <f t="shared" si="3"/>
        <v>64098997.133801728</v>
      </c>
    </row>
    <row r="20" spans="1:15" ht="36.75" customHeight="1" thickBot="1">
      <c r="A20" s="194" t="s">
        <v>248</v>
      </c>
      <c r="B20" s="195">
        <v>1</v>
      </c>
      <c r="C20" s="189" t="s">
        <v>233</v>
      </c>
      <c r="D20" s="190">
        <f t="shared" ref="D20:M20" si="6">+D10*$B$20</f>
        <v>2202382.5955927437</v>
      </c>
      <c r="E20" s="191">
        <f t="shared" si="6"/>
        <v>3477446.2035674904</v>
      </c>
      <c r="F20" s="191">
        <f t="shared" si="6"/>
        <v>1712337</v>
      </c>
      <c r="G20" s="191">
        <f t="shared" si="6"/>
        <v>1723560.5</v>
      </c>
      <c r="H20" s="191">
        <f t="shared" si="6"/>
        <v>3534424.4693224132</v>
      </c>
      <c r="I20" s="191">
        <f t="shared" si="6"/>
        <v>3534424.4693224132</v>
      </c>
      <c r="J20" s="191">
        <f t="shared" si="6"/>
        <v>3534424.4693224132</v>
      </c>
      <c r="K20" s="191">
        <f t="shared" si="6"/>
        <v>3534424.4693224132</v>
      </c>
      <c r="L20" s="191">
        <f t="shared" si="6"/>
        <v>3534424.4693224132</v>
      </c>
      <c r="M20" s="191">
        <f t="shared" si="6"/>
        <v>3849987.7471672422</v>
      </c>
      <c r="N20" s="192">
        <f>(N10/30)*11*$B$20</f>
        <v>1411662.1739613221</v>
      </c>
      <c r="O20" s="196">
        <f t="shared" si="3"/>
        <v>32049498.566900864</v>
      </c>
    </row>
    <row r="21" spans="1:15" ht="36.75" customHeight="1">
      <c r="A21" s="709" t="s">
        <v>249</v>
      </c>
      <c r="B21" s="197">
        <v>1</v>
      </c>
      <c r="C21" s="177" t="s">
        <v>230</v>
      </c>
      <c r="D21" s="178">
        <f t="shared" ref="D21:M21" si="7">+D8*$B$21</f>
        <v>9247197.6056286991</v>
      </c>
      <c r="E21" s="179">
        <f t="shared" si="7"/>
        <v>14600838.324676892</v>
      </c>
      <c r="F21" s="179">
        <f t="shared" si="7"/>
        <v>7167279</v>
      </c>
      <c r="G21" s="179">
        <f t="shared" si="7"/>
        <v>7214277</v>
      </c>
      <c r="H21" s="179">
        <f t="shared" si="7"/>
        <v>14840178.497176889</v>
      </c>
      <c r="I21" s="179">
        <f t="shared" si="7"/>
        <v>14840178.497176889</v>
      </c>
      <c r="J21" s="179">
        <f t="shared" si="7"/>
        <v>14840178.497176889</v>
      </c>
      <c r="K21" s="179">
        <f t="shared" si="7"/>
        <v>14840178.497176889</v>
      </c>
      <c r="L21" s="179">
        <f t="shared" si="7"/>
        <v>14840178.497176889</v>
      </c>
      <c r="M21" s="179">
        <f t="shared" si="7"/>
        <v>16165394.981793046</v>
      </c>
      <c r="N21" s="180">
        <f>(N8/30)*11*$B$21</f>
        <v>5927311.4933241168</v>
      </c>
      <c r="O21" s="181">
        <f t="shared" si="3"/>
        <v>134523190.8913072</v>
      </c>
    </row>
    <row r="22" spans="1:15" ht="36.75" customHeight="1" thickBot="1">
      <c r="A22" s="711"/>
      <c r="B22" s="198">
        <v>1</v>
      </c>
      <c r="C22" s="189" t="s">
        <v>233</v>
      </c>
      <c r="D22" s="190">
        <f t="shared" ref="D22:M22" si="8">+D10*$B$22</f>
        <v>2202382.5955927437</v>
      </c>
      <c r="E22" s="191">
        <f t="shared" si="8"/>
        <v>3477446.2035674904</v>
      </c>
      <c r="F22" s="191">
        <f t="shared" si="8"/>
        <v>1712337</v>
      </c>
      <c r="G22" s="191">
        <f t="shared" si="8"/>
        <v>1723560.5</v>
      </c>
      <c r="H22" s="191">
        <f t="shared" si="8"/>
        <v>3534424.4693224132</v>
      </c>
      <c r="I22" s="191">
        <f t="shared" si="8"/>
        <v>3534424.4693224132</v>
      </c>
      <c r="J22" s="191">
        <f t="shared" si="8"/>
        <v>3534424.4693224132</v>
      </c>
      <c r="K22" s="191">
        <f t="shared" si="8"/>
        <v>3534424.4693224132</v>
      </c>
      <c r="L22" s="191">
        <f t="shared" si="8"/>
        <v>3534424.4693224132</v>
      </c>
      <c r="M22" s="191">
        <f t="shared" si="8"/>
        <v>3849987.7471672422</v>
      </c>
      <c r="N22" s="192">
        <f>(N10/30)*11*$B$22</f>
        <v>1411662.1739613221</v>
      </c>
      <c r="O22" s="199">
        <f t="shared" si="3"/>
        <v>32049498.566900864</v>
      </c>
    </row>
    <row r="23" spans="1:15" ht="36.75" customHeight="1" thickBot="1">
      <c r="A23" s="194" t="s">
        <v>250</v>
      </c>
      <c r="B23" s="195">
        <v>1</v>
      </c>
      <c r="C23" s="200" t="s">
        <v>230</v>
      </c>
      <c r="D23" s="201">
        <f t="shared" ref="D23:M23" si="9">+D8*$B$23</f>
        <v>9247197.6056286991</v>
      </c>
      <c r="E23" s="202">
        <f t="shared" si="9"/>
        <v>14600838.324676892</v>
      </c>
      <c r="F23" s="202">
        <f t="shared" si="9"/>
        <v>7167279</v>
      </c>
      <c r="G23" s="202">
        <f t="shared" si="9"/>
        <v>7214277</v>
      </c>
      <c r="H23" s="202">
        <f t="shared" si="9"/>
        <v>14840178.497176889</v>
      </c>
      <c r="I23" s="202">
        <f t="shared" si="9"/>
        <v>14840178.497176889</v>
      </c>
      <c r="J23" s="202">
        <f t="shared" si="9"/>
        <v>14840178.497176889</v>
      </c>
      <c r="K23" s="202">
        <f t="shared" si="9"/>
        <v>14840178.497176889</v>
      </c>
      <c r="L23" s="202">
        <f t="shared" si="9"/>
        <v>14840178.497176889</v>
      </c>
      <c r="M23" s="202">
        <f t="shared" si="9"/>
        <v>16165394.981793046</v>
      </c>
      <c r="N23" s="200">
        <f>(N8/30)*11*$B$23</f>
        <v>5927311.4933241168</v>
      </c>
      <c r="O23" s="196">
        <f t="shared" si="3"/>
        <v>134523190.8913072</v>
      </c>
    </row>
    <row r="24" spans="1:15" ht="36.75" customHeight="1" thickBot="1">
      <c r="A24" s="194" t="s">
        <v>251</v>
      </c>
      <c r="B24" s="195">
        <v>1</v>
      </c>
      <c r="C24" s="203" t="s">
        <v>230</v>
      </c>
      <c r="D24" s="201">
        <f t="shared" ref="D24:M24" si="10">+D8*$B$24</f>
        <v>9247197.6056286991</v>
      </c>
      <c r="E24" s="202">
        <f t="shared" si="10"/>
        <v>14600838.324676892</v>
      </c>
      <c r="F24" s="202">
        <f t="shared" si="10"/>
        <v>7167279</v>
      </c>
      <c r="G24" s="202">
        <f t="shared" si="10"/>
        <v>7214277</v>
      </c>
      <c r="H24" s="202">
        <f t="shared" si="10"/>
        <v>14840178.497176889</v>
      </c>
      <c r="I24" s="202">
        <f t="shared" si="10"/>
        <v>14840178.497176889</v>
      </c>
      <c r="J24" s="202">
        <f t="shared" si="10"/>
        <v>14840178.497176889</v>
      </c>
      <c r="K24" s="202">
        <f t="shared" si="10"/>
        <v>14840178.497176889</v>
      </c>
      <c r="L24" s="202">
        <f t="shared" si="10"/>
        <v>14840178.497176889</v>
      </c>
      <c r="M24" s="202">
        <f t="shared" si="10"/>
        <v>16165394.981793046</v>
      </c>
      <c r="N24" s="200">
        <f>(N8/30)*11*$B$24</f>
        <v>5927311.4933241168</v>
      </c>
      <c r="O24" s="181">
        <f t="shared" si="3"/>
        <v>134523190.8913072</v>
      </c>
    </row>
    <row r="25" spans="1:15" ht="36.75" customHeight="1" thickBot="1">
      <c r="A25" s="204"/>
      <c r="B25" s="205"/>
      <c r="C25" s="206" t="s">
        <v>252</v>
      </c>
      <c r="D25" s="207">
        <v>9659169.9719887972</v>
      </c>
      <c r="E25" s="207">
        <v>15251321.008403363</v>
      </c>
      <c r="F25" s="207">
        <f t="shared" ref="F25:M25" si="11">+E25</f>
        <v>15251321.008403363</v>
      </c>
      <c r="G25" s="207">
        <f t="shared" si="11"/>
        <v>15251321.008403363</v>
      </c>
      <c r="H25" s="207">
        <f t="shared" si="11"/>
        <v>15251321.008403363</v>
      </c>
      <c r="I25" s="207">
        <f t="shared" si="11"/>
        <v>15251321.008403363</v>
      </c>
      <c r="J25" s="207">
        <f t="shared" si="11"/>
        <v>15251321.008403363</v>
      </c>
      <c r="K25" s="207">
        <f t="shared" si="11"/>
        <v>15251321.008403363</v>
      </c>
      <c r="L25" s="207">
        <f t="shared" si="11"/>
        <v>15251321.008403363</v>
      </c>
      <c r="M25" s="207">
        <f t="shared" si="11"/>
        <v>15251321.008403363</v>
      </c>
      <c r="N25" s="207">
        <f>(M25/30*11)</f>
        <v>5592151.0364145664</v>
      </c>
      <c r="O25" s="208">
        <f t="shared" si="3"/>
        <v>152513210.08403361</v>
      </c>
    </row>
    <row r="26" spans="1:15" s="167" customFormat="1" ht="36.75" customHeight="1">
      <c r="B26" s="209">
        <f>SUM(B17:B24)</f>
        <v>10</v>
      </c>
      <c r="D26" s="210">
        <f t="shared" ref="D26:N26" si="12">SUM(D17:D25)</f>
        <v>59127021.863986723</v>
      </c>
      <c r="E26" s="210">
        <f t="shared" si="12"/>
        <v>93358455.574715868</v>
      </c>
      <c r="F26" s="210">
        <f t="shared" si="12"/>
        <v>53624565.008403361</v>
      </c>
      <c r="G26" s="210">
        <f t="shared" si="12"/>
        <v>53876156.008403361</v>
      </c>
      <c r="H26" s="210">
        <f t="shared" si="12"/>
        <v>94638633.956283689</v>
      </c>
      <c r="I26" s="210">
        <f t="shared" si="12"/>
        <v>94638633.956283689</v>
      </c>
      <c r="J26" s="210">
        <f t="shared" si="12"/>
        <v>94638633.956283689</v>
      </c>
      <c r="K26" s="210">
        <f t="shared" si="12"/>
        <v>94638633.956283689</v>
      </c>
      <c r="L26" s="210">
        <f t="shared" si="12"/>
        <v>94638633.956283689</v>
      </c>
      <c r="M26" s="210">
        <f t="shared" si="12"/>
        <v>101727459.03209585</v>
      </c>
      <c r="N26" s="210">
        <f t="shared" si="12"/>
        <v>37300068.311768472</v>
      </c>
      <c r="O26" s="211">
        <f t="shared" si="3"/>
        <v>872206895.58079219</v>
      </c>
    </row>
    <row r="27" spans="1:15" s="167" customFormat="1">
      <c r="B27" s="209"/>
      <c r="D27" s="210"/>
      <c r="G27" s="210"/>
    </row>
    <row r="28" spans="1:15" s="167" customFormat="1">
      <c r="B28" s="209"/>
    </row>
    <row r="31" spans="1:15">
      <c r="B31" s="115" t="s">
        <v>253</v>
      </c>
      <c r="E31" s="114"/>
    </row>
    <row r="32" spans="1:15">
      <c r="A32">
        <v>1839</v>
      </c>
      <c r="B32" s="83">
        <v>2810</v>
      </c>
      <c r="C32" t="s">
        <v>254</v>
      </c>
      <c r="D32" s="212">
        <f>+O17+O20+O21+O22+O23+O24+O25</f>
        <v>754704970.78306425</v>
      </c>
      <c r="F32" s="167"/>
      <c r="G32" s="209"/>
    </row>
    <row r="33" spans="1:7">
      <c r="A33" s="213" t="s">
        <v>255</v>
      </c>
      <c r="B33" s="83" t="s">
        <v>256</v>
      </c>
      <c r="C33" t="s">
        <v>257</v>
      </c>
      <c r="D33" s="214">
        <f>+O18+O19</f>
        <v>117501924.79772794</v>
      </c>
      <c r="E33" s="214"/>
      <c r="F33" s="210"/>
      <c r="G33" s="215"/>
    </row>
    <row r="34" spans="1:7">
      <c r="D34" s="216">
        <f>SUM(D32:D33)</f>
        <v>872206895.58079219</v>
      </c>
      <c r="F34" s="167"/>
      <c r="G34" s="167"/>
    </row>
    <row r="35" spans="1:7">
      <c r="F35" s="167"/>
      <c r="G35" s="167"/>
    </row>
  </sheetData>
  <mergeCells count="4">
    <mergeCell ref="A8:A10"/>
    <mergeCell ref="A15:C15"/>
    <mergeCell ref="A17:A19"/>
    <mergeCell ref="A21:A2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tabColor theme="4"/>
  </sheetPr>
  <dimension ref="A1:BL93"/>
  <sheetViews>
    <sheetView zoomScale="99" zoomScaleNormal="99" workbookViewId="0">
      <selection sqref="A1:A2"/>
    </sheetView>
  </sheetViews>
  <sheetFormatPr defaultColWidth="11.5703125" defaultRowHeight="14.45"/>
  <cols>
    <col min="1" max="1" width="20" bestFit="1" customWidth="1"/>
    <col min="2" max="2" width="37.5703125" customWidth="1"/>
    <col min="4" max="4" width="14.28515625" bestFit="1" customWidth="1"/>
    <col min="5" max="5" width="13.7109375" bestFit="1" customWidth="1"/>
    <col min="6" max="6" width="15.5703125" customWidth="1"/>
    <col min="7" max="12" width="12.85546875" bestFit="1" customWidth="1"/>
    <col min="13" max="13" width="15.140625" customWidth="1"/>
    <col min="14" max="15" width="14.28515625" bestFit="1" customWidth="1"/>
    <col min="16" max="17" width="13.28515625" bestFit="1" customWidth="1"/>
    <col min="18" max="18" width="14.28515625" bestFit="1" customWidth="1"/>
    <col min="19" max="19" width="13.28515625" bestFit="1" customWidth="1"/>
    <col min="20" max="20" width="13.7109375" customWidth="1"/>
    <col min="21" max="25" width="13.28515625" bestFit="1" customWidth="1"/>
    <col min="26" max="26" width="14.5703125" customWidth="1"/>
    <col min="27" max="27" width="13.28515625" bestFit="1" customWidth="1"/>
    <col min="28" max="28" width="15" customWidth="1"/>
    <col min="29" max="35" width="13.28515625" bestFit="1" customWidth="1"/>
    <col min="36" max="37" width="14.28515625" bestFit="1" customWidth="1"/>
    <col min="38" max="38" width="13.28515625" bestFit="1" customWidth="1"/>
    <col min="39" max="39" width="14.28515625" customWidth="1"/>
    <col min="40" max="43" width="13.28515625" bestFit="1" customWidth="1"/>
    <col min="44" max="45" width="12.140625" bestFit="1" customWidth="1"/>
    <col min="46" max="46" width="13.28515625" bestFit="1" customWidth="1"/>
    <col min="47" max="52" width="12.140625" bestFit="1" customWidth="1"/>
    <col min="53" max="53" width="13.28515625" bestFit="1" customWidth="1"/>
    <col min="54" max="55" width="12.140625" bestFit="1" customWidth="1"/>
    <col min="56" max="56" width="13.28515625" bestFit="1" customWidth="1"/>
    <col min="57" max="57" width="12.140625" bestFit="1" customWidth="1"/>
    <col min="58" max="58" width="13.28515625" bestFit="1" customWidth="1"/>
    <col min="59" max="64" width="12.140625" bestFit="1" customWidth="1"/>
  </cols>
  <sheetData>
    <row r="1" spans="1:64" ht="24" customHeight="1">
      <c r="A1" s="716" t="s">
        <v>258</v>
      </c>
      <c r="B1" s="716" t="s">
        <v>259</v>
      </c>
      <c r="C1" s="712" t="s">
        <v>260</v>
      </c>
      <c r="D1" s="714" t="s">
        <v>10</v>
      </c>
      <c r="E1" s="60" t="s">
        <v>261</v>
      </c>
      <c r="F1" s="67" t="s">
        <v>262</v>
      </c>
      <c r="G1" s="60" t="s">
        <v>263</v>
      </c>
      <c r="H1" s="67" t="s">
        <v>264</v>
      </c>
      <c r="I1" s="60" t="s">
        <v>265</v>
      </c>
      <c r="J1" s="67" t="s">
        <v>266</v>
      </c>
      <c r="K1" s="60" t="s">
        <v>267</v>
      </c>
      <c r="L1" s="67" t="s">
        <v>268</v>
      </c>
      <c r="M1" s="60" t="s">
        <v>269</v>
      </c>
      <c r="N1" s="67" t="s">
        <v>270</v>
      </c>
      <c r="O1" s="60" t="s">
        <v>271</v>
      </c>
      <c r="P1" s="67" t="s">
        <v>272</v>
      </c>
      <c r="Q1" s="60" t="s">
        <v>273</v>
      </c>
      <c r="R1" s="67" t="s">
        <v>274</v>
      </c>
      <c r="S1" s="60" t="s">
        <v>275</v>
      </c>
      <c r="T1" s="67" t="s">
        <v>276</v>
      </c>
      <c r="U1" s="60" t="s">
        <v>277</v>
      </c>
      <c r="V1" s="67" t="s">
        <v>278</v>
      </c>
      <c r="W1" s="60" t="s">
        <v>279</v>
      </c>
      <c r="X1" s="67" t="s">
        <v>280</v>
      </c>
      <c r="Y1" s="60" t="s">
        <v>281</v>
      </c>
      <c r="Z1" s="67" t="s">
        <v>282</v>
      </c>
      <c r="AA1" s="60" t="s">
        <v>283</v>
      </c>
      <c r="AB1" s="67" t="s">
        <v>284</v>
      </c>
      <c r="AC1" s="60" t="s">
        <v>285</v>
      </c>
      <c r="AD1" s="67" t="s">
        <v>286</v>
      </c>
      <c r="AE1" s="60" t="s">
        <v>287</v>
      </c>
      <c r="AF1" s="67" t="s">
        <v>288</v>
      </c>
      <c r="AG1" s="60" t="s">
        <v>289</v>
      </c>
      <c r="AH1" s="67" t="s">
        <v>290</v>
      </c>
      <c r="AI1" s="60" t="s">
        <v>291</v>
      </c>
      <c r="AJ1" s="67" t="s">
        <v>292</v>
      </c>
      <c r="AK1" s="60" t="s">
        <v>293</v>
      </c>
      <c r="AL1" s="67" t="s">
        <v>294</v>
      </c>
      <c r="AM1" s="60" t="s">
        <v>295</v>
      </c>
      <c r="AN1" s="67" t="s">
        <v>296</v>
      </c>
      <c r="AO1" s="60" t="s">
        <v>297</v>
      </c>
      <c r="AP1" s="67" t="s">
        <v>298</v>
      </c>
      <c r="AQ1" s="60" t="s">
        <v>299</v>
      </c>
      <c r="AR1" s="67" t="s">
        <v>300</v>
      </c>
      <c r="AS1" s="60" t="s">
        <v>301</v>
      </c>
      <c r="AT1" s="67" t="s">
        <v>302</v>
      </c>
      <c r="AU1" s="60" t="s">
        <v>303</v>
      </c>
      <c r="AV1" s="67" t="s">
        <v>304</v>
      </c>
      <c r="AW1" s="60" t="s">
        <v>305</v>
      </c>
      <c r="AX1" s="67" t="s">
        <v>306</v>
      </c>
      <c r="AY1" s="60" t="s">
        <v>307</v>
      </c>
      <c r="AZ1" s="67" t="s">
        <v>308</v>
      </c>
      <c r="BA1" s="60" t="s">
        <v>309</v>
      </c>
      <c r="BB1" s="67" t="s">
        <v>310</v>
      </c>
      <c r="BC1" s="60" t="s">
        <v>311</v>
      </c>
      <c r="BD1" s="67" t="s">
        <v>312</v>
      </c>
      <c r="BE1" s="60" t="s">
        <v>313</v>
      </c>
      <c r="BF1" s="67" t="s">
        <v>314</v>
      </c>
      <c r="BG1" s="60" t="s">
        <v>315</v>
      </c>
      <c r="BH1" s="67" t="s">
        <v>316</v>
      </c>
      <c r="BI1" s="60" t="s">
        <v>317</v>
      </c>
      <c r="BJ1" s="67" t="s">
        <v>318</v>
      </c>
      <c r="BK1" s="60" t="s">
        <v>319</v>
      </c>
      <c r="BL1" s="67" t="s">
        <v>320</v>
      </c>
    </row>
    <row r="2" spans="1:64" s="64" customFormat="1" ht="36" customHeight="1">
      <c r="A2" s="716" t="s">
        <v>321</v>
      </c>
      <c r="B2" s="716"/>
      <c r="C2" s="713"/>
      <c r="D2" s="715" t="s">
        <v>10</v>
      </c>
      <c r="E2" s="41" t="s">
        <v>322</v>
      </c>
      <c r="F2" s="63" t="s">
        <v>322</v>
      </c>
      <c r="G2" s="41" t="s">
        <v>322</v>
      </c>
      <c r="H2" s="63" t="s">
        <v>322</v>
      </c>
      <c r="I2" s="41" t="s">
        <v>322</v>
      </c>
      <c r="J2" s="63" t="s">
        <v>322</v>
      </c>
      <c r="K2" s="41" t="s">
        <v>322</v>
      </c>
      <c r="L2" s="63" t="s">
        <v>322</v>
      </c>
      <c r="M2" s="41" t="s">
        <v>322</v>
      </c>
      <c r="N2" s="63" t="s">
        <v>322</v>
      </c>
      <c r="O2" s="41" t="s">
        <v>322</v>
      </c>
      <c r="P2" s="63" t="s">
        <v>322</v>
      </c>
      <c r="Q2" s="41" t="s">
        <v>322</v>
      </c>
      <c r="R2" s="63" t="s">
        <v>322</v>
      </c>
      <c r="S2" s="41" t="s">
        <v>322</v>
      </c>
      <c r="T2" s="63" t="s">
        <v>322</v>
      </c>
      <c r="U2" s="41" t="s">
        <v>322</v>
      </c>
      <c r="V2" s="63" t="s">
        <v>322</v>
      </c>
      <c r="W2" s="41" t="s">
        <v>322</v>
      </c>
      <c r="X2" s="63" t="s">
        <v>322</v>
      </c>
      <c r="Y2" s="41" t="s">
        <v>322</v>
      </c>
      <c r="Z2" s="63" t="s">
        <v>322</v>
      </c>
      <c r="AA2" s="41" t="s">
        <v>322</v>
      </c>
      <c r="AB2" s="63" t="s">
        <v>322</v>
      </c>
      <c r="AC2" s="41" t="s">
        <v>322</v>
      </c>
      <c r="AD2" s="63" t="s">
        <v>322</v>
      </c>
      <c r="AE2" s="41" t="s">
        <v>322</v>
      </c>
      <c r="AF2" s="63" t="s">
        <v>322</v>
      </c>
      <c r="AG2" s="41" t="s">
        <v>322</v>
      </c>
      <c r="AH2" s="63" t="s">
        <v>322</v>
      </c>
      <c r="AI2" s="41" t="s">
        <v>322</v>
      </c>
      <c r="AJ2" s="63" t="s">
        <v>322</v>
      </c>
      <c r="AK2" s="41" t="s">
        <v>322</v>
      </c>
      <c r="AL2" s="63" t="s">
        <v>322</v>
      </c>
      <c r="AM2" s="41" t="s">
        <v>322</v>
      </c>
      <c r="AN2" s="63" t="s">
        <v>322</v>
      </c>
      <c r="AO2" s="41" t="s">
        <v>322</v>
      </c>
      <c r="AP2" s="63" t="s">
        <v>322</v>
      </c>
      <c r="AQ2" s="41" t="s">
        <v>322</v>
      </c>
      <c r="AR2" s="63" t="s">
        <v>322</v>
      </c>
      <c r="AS2" s="41" t="s">
        <v>322</v>
      </c>
      <c r="AT2" s="63" t="s">
        <v>322</v>
      </c>
      <c r="AU2" s="41" t="s">
        <v>322</v>
      </c>
      <c r="AV2" s="63" t="s">
        <v>322</v>
      </c>
      <c r="AW2" s="41" t="s">
        <v>322</v>
      </c>
      <c r="AX2" s="63" t="s">
        <v>322</v>
      </c>
      <c r="AY2" s="41" t="s">
        <v>322</v>
      </c>
      <c r="AZ2" s="63" t="s">
        <v>322</v>
      </c>
      <c r="BA2" s="41" t="s">
        <v>322</v>
      </c>
      <c r="BB2" s="63" t="s">
        <v>322</v>
      </c>
      <c r="BC2" s="41" t="s">
        <v>322</v>
      </c>
      <c r="BD2" s="63" t="s">
        <v>322</v>
      </c>
      <c r="BE2" s="41" t="s">
        <v>322</v>
      </c>
      <c r="BF2" s="63" t="s">
        <v>322</v>
      </c>
      <c r="BG2" s="41" t="s">
        <v>322</v>
      </c>
      <c r="BH2" s="63" t="s">
        <v>322</v>
      </c>
      <c r="BI2" s="41" t="s">
        <v>322</v>
      </c>
      <c r="BJ2" s="63" t="s">
        <v>322</v>
      </c>
      <c r="BK2" s="41" t="s">
        <v>322</v>
      </c>
      <c r="BL2" s="63" t="s">
        <v>322</v>
      </c>
    </row>
    <row r="3" spans="1:64" ht="15" customHeight="1">
      <c r="A3" s="1" t="s">
        <v>323</v>
      </c>
      <c r="B3" s="1" t="s">
        <v>324</v>
      </c>
      <c r="C3" s="70">
        <f t="shared" ref="C3:C14" si="0">STDEV(E3:BL3)/AVERAGE(E3:BL3)</f>
        <v>1.0446298117131358</v>
      </c>
      <c r="D3" s="71">
        <f t="shared" ref="D3:D14" si="1">ROUND(IF(C3&lt;=0.15,AVERAGE(E3:BL3),MEDIAN(E3:BL3)),0)</f>
        <v>116559</v>
      </c>
      <c r="E3" s="42">
        <v>119531</v>
      </c>
      <c r="F3" s="42">
        <v>122597</v>
      </c>
      <c r="G3" s="42">
        <v>113315</v>
      </c>
      <c r="H3" s="42">
        <v>121385</v>
      </c>
      <c r="I3" s="42">
        <v>127793</v>
      </c>
      <c r="J3" s="42">
        <v>110070</v>
      </c>
      <c r="K3" s="42">
        <v>126825</v>
      </c>
      <c r="L3" s="42">
        <v>102350.37</v>
      </c>
      <c r="M3" s="42">
        <v>84550</v>
      </c>
      <c r="N3" s="42">
        <v>753084</v>
      </c>
      <c r="O3" s="42">
        <v>747419</v>
      </c>
      <c r="P3" s="42">
        <v>102206</v>
      </c>
      <c r="Q3" s="42">
        <v>88340</v>
      </c>
      <c r="R3" s="42">
        <v>633446</v>
      </c>
      <c r="S3" s="42">
        <v>110703.74053333333</v>
      </c>
      <c r="T3" s="42">
        <v>111838</v>
      </c>
      <c r="U3" s="42">
        <v>109703</v>
      </c>
      <c r="V3" s="42">
        <v>119779</v>
      </c>
      <c r="W3" s="42">
        <v>125063</v>
      </c>
      <c r="X3" s="42">
        <v>111549</v>
      </c>
      <c r="Y3" s="42">
        <v>128769</v>
      </c>
      <c r="Z3" s="42">
        <v>122825.06735766666</v>
      </c>
      <c r="AA3" s="42">
        <v>106011.23218333333</v>
      </c>
      <c r="AB3" s="42">
        <v>84550</v>
      </c>
      <c r="AC3" s="42">
        <v>108364</v>
      </c>
      <c r="AD3" s="42">
        <v>100191</v>
      </c>
      <c r="AE3" s="42">
        <v>117256</v>
      </c>
      <c r="AF3" s="42">
        <v>128093</v>
      </c>
      <c r="AG3" s="42">
        <v>107981</v>
      </c>
      <c r="AH3" s="42">
        <v>111676</v>
      </c>
      <c r="AI3" s="42">
        <v>98276</v>
      </c>
      <c r="AJ3" s="42">
        <v>580772</v>
      </c>
      <c r="AK3" s="42">
        <v>807534</v>
      </c>
      <c r="AL3" s="42">
        <v>135280</v>
      </c>
      <c r="AM3" s="42">
        <v>115706</v>
      </c>
      <c r="AN3" s="42">
        <v>105483</v>
      </c>
      <c r="AO3" s="42">
        <v>98204</v>
      </c>
      <c r="AP3" s="42">
        <v>108195.43276666666</v>
      </c>
      <c r="AQ3" s="42">
        <v>676254</v>
      </c>
      <c r="AR3" s="42">
        <v>99008</v>
      </c>
      <c r="AS3" s="42">
        <v>108505</v>
      </c>
      <c r="AT3" s="42">
        <v>719716</v>
      </c>
      <c r="AU3" s="42">
        <v>110253</v>
      </c>
      <c r="AV3" s="42">
        <v>117341</v>
      </c>
      <c r="AW3" s="42">
        <v>122500</v>
      </c>
      <c r="AX3" s="42">
        <v>101121</v>
      </c>
      <c r="AY3" s="42">
        <v>115269</v>
      </c>
      <c r="AZ3" s="42">
        <v>95217</v>
      </c>
      <c r="BA3" s="42">
        <v>486161</v>
      </c>
      <c r="BB3" s="42">
        <v>136224</v>
      </c>
      <c r="BC3" s="42">
        <v>133870.35833333366</v>
      </c>
      <c r="BD3" s="42">
        <v>676938</v>
      </c>
      <c r="BE3" s="42">
        <v>139507</v>
      </c>
      <c r="BF3" s="42">
        <v>591848</v>
      </c>
      <c r="BG3" s="42">
        <v>108830</v>
      </c>
      <c r="BH3" s="42">
        <v>845497</v>
      </c>
      <c r="BI3" s="42">
        <v>101727.38</v>
      </c>
      <c r="BJ3" s="42">
        <v>121145</v>
      </c>
      <c r="BK3" s="42">
        <v>115861</v>
      </c>
      <c r="BL3" s="42">
        <v>119990</v>
      </c>
    </row>
    <row r="4" spans="1:64" ht="15" customHeight="1">
      <c r="A4" s="1" t="s">
        <v>325</v>
      </c>
      <c r="B4" s="1" t="s">
        <v>326</v>
      </c>
      <c r="C4" s="70">
        <f t="shared" si="0"/>
        <v>1.0276726543935164</v>
      </c>
      <c r="D4" s="71">
        <f t="shared" si="1"/>
        <v>788613</v>
      </c>
      <c r="E4" s="42">
        <v>808721</v>
      </c>
      <c r="F4" s="42">
        <v>829467</v>
      </c>
      <c r="G4" s="42">
        <v>767115</v>
      </c>
      <c r="H4" s="42">
        <v>821267</v>
      </c>
      <c r="I4" s="42">
        <v>864619</v>
      </c>
      <c r="J4" s="42">
        <v>744708</v>
      </c>
      <c r="K4" s="42">
        <v>858069</v>
      </c>
      <c r="L4" s="42">
        <v>692481.58</v>
      </c>
      <c r="M4" s="42">
        <v>572046</v>
      </c>
      <c r="N4" s="42">
        <v>5095213</v>
      </c>
      <c r="O4" s="42">
        <v>5056886</v>
      </c>
      <c r="P4" s="42">
        <v>691508</v>
      </c>
      <c r="Q4" s="42">
        <v>597693</v>
      </c>
      <c r="R4" s="42">
        <v>4285768</v>
      </c>
      <c r="S4" s="42">
        <v>748998.76506666664</v>
      </c>
      <c r="T4" s="42">
        <v>756676</v>
      </c>
      <c r="U4" s="42">
        <v>742230</v>
      </c>
      <c r="V4" s="42">
        <v>810398</v>
      </c>
      <c r="W4" s="42">
        <v>846151</v>
      </c>
      <c r="X4" s="42">
        <v>754719</v>
      </c>
      <c r="Y4" s="42">
        <v>871226</v>
      </c>
      <c r="Z4" s="42">
        <v>831009.17211033334</v>
      </c>
      <c r="AA4" s="42">
        <v>717250.21761666669</v>
      </c>
      <c r="AB4" s="42">
        <v>572046</v>
      </c>
      <c r="AC4" s="42">
        <v>733166</v>
      </c>
      <c r="AD4" s="42">
        <v>677874</v>
      </c>
      <c r="AE4" s="42">
        <v>793332</v>
      </c>
      <c r="AF4" s="42">
        <v>866650</v>
      </c>
      <c r="AG4" s="42">
        <v>730580</v>
      </c>
      <c r="AH4" s="42">
        <v>755577</v>
      </c>
      <c r="AI4" s="42">
        <v>664918</v>
      </c>
      <c r="AJ4" s="42">
        <v>3929383</v>
      </c>
      <c r="AK4" s="42">
        <v>5463610</v>
      </c>
      <c r="AL4" s="42">
        <v>915273</v>
      </c>
      <c r="AM4" s="42">
        <v>782845</v>
      </c>
      <c r="AN4" s="42">
        <v>713674</v>
      </c>
      <c r="AO4" s="42">
        <v>664430</v>
      </c>
      <c r="AP4" s="42">
        <v>732028.07003333338</v>
      </c>
      <c r="AQ4" s="42">
        <v>4575395</v>
      </c>
      <c r="AR4" s="42">
        <v>669866</v>
      </c>
      <c r="AS4" s="42">
        <v>734126</v>
      </c>
      <c r="AT4" s="42">
        <v>4869452</v>
      </c>
      <c r="AU4" s="42">
        <v>745948</v>
      </c>
      <c r="AV4" s="42">
        <v>793904</v>
      </c>
      <c r="AW4" s="42">
        <v>828809</v>
      </c>
      <c r="AX4" s="42">
        <v>684163</v>
      </c>
      <c r="AY4" s="42">
        <v>779889</v>
      </c>
      <c r="AZ4" s="42">
        <v>644219</v>
      </c>
      <c r="BA4" s="42">
        <v>3289264</v>
      </c>
      <c r="BB4" s="42">
        <v>921661</v>
      </c>
      <c r="BC4" s="42">
        <v>905739.34166666667</v>
      </c>
      <c r="BD4" s="42">
        <v>4576367</v>
      </c>
      <c r="BE4" s="42">
        <v>943876</v>
      </c>
      <c r="BF4" s="42">
        <v>4004321</v>
      </c>
      <c r="BG4" s="42">
        <v>736318</v>
      </c>
      <c r="BH4" s="42">
        <v>4720459</v>
      </c>
      <c r="BI4" s="42">
        <v>688266.56</v>
      </c>
      <c r="BJ4" s="42">
        <v>819647</v>
      </c>
      <c r="BK4" s="42">
        <v>783894</v>
      </c>
      <c r="BL4" s="42">
        <v>811828</v>
      </c>
    </row>
    <row r="5" spans="1:64" ht="15" customHeight="1">
      <c r="A5" s="1" t="s">
        <v>327</v>
      </c>
      <c r="B5" s="1" t="s">
        <v>328</v>
      </c>
      <c r="C5" s="70">
        <f t="shared" si="0"/>
        <v>1.0445845239566776</v>
      </c>
      <c r="D5" s="71">
        <f t="shared" si="1"/>
        <v>94465</v>
      </c>
      <c r="E5" s="42">
        <v>96873</v>
      </c>
      <c r="F5" s="42">
        <v>99358</v>
      </c>
      <c r="G5" s="42">
        <v>91859</v>
      </c>
      <c r="H5" s="42">
        <v>98376</v>
      </c>
      <c r="I5" s="42">
        <v>103569</v>
      </c>
      <c r="J5" s="42">
        <v>89205</v>
      </c>
      <c r="K5" s="42">
        <v>102784</v>
      </c>
      <c r="L5" s="42">
        <v>82949.13</v>
      </c>
      <c r="M5" s="42">
        <v>68523</v>
      </c>
      <c r="N5" s="42">
        <v>610332</v>
      </c>
      <c r="O5" s="42">
        <v>605741</v>
      </c>
      <c r="P5" s="42">
        <v>82833</v>
      </c>
      <c r="Q5" s="42">
        <v>71595</v>
      </c>
      <c r="R5" s="42">
        <v>513372</v>
      </c>
      <c r="S5" s="42">
        <v>89719.055200000003</v>
      </c>
      <c r="T5" s="42">
        <v>90639</v>
      </c>
      <c r="U5" s="42">
        <v>88908</v>
      </c>
      <c r="V5" s="42">
        <v>97074</v>
      </c>
      <c r="W5" s="42">
        <v>101356</v>
      </c>
      <c r="X5" s="42">
        <v>90404</v>
      </c>
      <c r="Y5" s="42">
        <v>104360</v>
      </c>
      <c r="Z5" s="42">
        <v>99542.697881</v>
      </c>
      <c r="AA5" s="42">
        <v>85916.04535</v>
      </c>
      <c r="AB5" s="42">
        <v>68523</v>
      </c>
      <c r="AC5" s="42">
        <v>87823</v>
      </c>
      <c r="AD5" s="42">
        <v>81199</v>
      </c>
      <c r="AE5" s="42">
        <v>95030</v>
      </c>
      <c r="AF5" s="42">
        <v>103812</v>
      </c>
      <c r="AG5" s="42">
        <v>87513</v>
      </c>
      <c r="AH5" s="42">
        <v>90507</v>
      </c>
      <c r="AI5" s="42">
        <v>79647</v>
      </c>
      <c r="AJ5" s="42">
        <v>470682</v>
      </c>
      <c r="AK5" s="42">
        <v>654460</v>
      </c>
      <c r="AL5" s="42">
        <v>109636</v>
      </c>
      <c r="AM5" s="42">
        <v>93773</v>
      </c>
      <c r="AN5" s="42">
        <v>85488</v>
      </c>
      <c r="AO5" s="42">
        <v>79588</v>
      </c>
      <c r="AP5" s="42">
        <v>87686.215100000001</v>
      </c>
      <c r="AQ5" s="42">
        <v>548065</v>
      </c>
      <c r="AR5" s="42">
        <v>80240</v>
      </c>
      <c r="AS5" s="42">
        <v>87937</v>
      </c>
      <c r="AT5" s="42">
        <v>583289</v>
      </c>
      <c r="AU5" s="42">
        <v>89354</v>
      </c>
      <c r="AV5" s="42">
        <v>95098</v>
      </c>
      <c r="AW5" s="42">
        <v>99280</v>
      </c>
      <c r="AX5" s="42">
        <v>81953</v>
      </c>
      <c r="AY5" s="42">
        <v>93419</v>
      </c>
      <c r="AZ5" s="42">
        <v>77168</v>
      </c>
      <c r="BA5" s="42">
        <v>394006</v>
      </c>
      <c r="BB5" s="42">
        <v>110401</v>
      </c>
      <c r="BC5" s="42">
        <v>108494.27499999999</v>
      </c>
      <c r="BD5" s="42">
        <v>548182</v>
      </c>
      <c r="BE5" s="42">
        <v>113062</v>
      </c>
      <c r="BF5" s="42">
        <v>479659</v>
      </c>
      <c r="BG5" s="42">
        <v>88200</v>
      </c>
      <c r="BH5" s="42">
        <v>685227</v>
      </c>
      <c r="BI5" s="42">
        <v>82444.23</v>
      </c>
      <c r="BJ5" s="42">
        <v>98182</v>
      </c>
      <c r="BK5" s="42">
        <v>93899</v>
      </c>
      <c r="BL5" s="42">
        <v>97245</v>
      </c>
    </row>
    <row r="6" spans="1:64" ht="15" customHeight="1">
      <c r="A6" s="1" t="s">
        <v>329</v>
      </c>
      <c r="B6" s="1" t="s">
        <v>330</v>
      </c>
      <c r="C6" s="70">
        <f t="shared" si="0"/>
        <v>1.0445803208911153</v>
      </c>
      <c r="D6" s="71">
        <f t="shared" si="1"/>
        <v>209502</v>
      </c>
      <c r="E6" s="42">
        <v>214843</v>
      </c>
      <c r="F6" s="42">
        <v>220355</v>
      </c>
      <c r="G6" s="42">
        <v>203790</v>
      </c>
      <c r="H6" s="42">
        <v>218177</v>
      </c>
      <c r="I6" s="42">
        <v>229693</v>
      </c>
      <c r="J6" s="42">
        <v>197838</v>
      </c>
      <c r="K6" s="42">
        <v>227953</v>
      </c>
      <c r="L6" s="42">
        <v>183963.67</v>
      </c>
      <c r="M6" s="42">
        <v>151969</v>
      </c>
      <c r="N6" s="42">
        <v>1353588</v>
      </c>
      <c r="O6" s="42">
        <v>1343405</v>
      </c>
      <c r="P6" s="42">
        <v>183705</v>
      </c>
      <c r="Q6" s="42">
        <v>158782</v>
      </c>
      <c r="R6" s="42">
        <v>1138551</v>
      </c>
      <c r="S6" s="42">
        <v>198977.94639999999</v>
      </c>
      <c r="T6" s="42">
        <v>201017</v>
      </c>
      <c r="U6" s="42">
        <v>197180</v>
      </c>
      <c r="V6" s="42">
        <v>215289</v>
      </c>
      <c r="W6" s="42">
        <v>224787</v>
      </c>
      <c r="X6" s="42">
        <v>200498</v>
      </c>
      <c r="Y6" s="42">
        <v>231449</v>
      </c>
      <c r="Z6" s="42">
        <v>220764.71446700001</v>
      </c>
      <c r="AA6" s="42">
        <v>190543.67244999998</v>
      </c>
      <c r="AB6" s="42">
        <v>151969</v>
      </c>
      <c r="AC6" s="42">
        <v>194772</v>
      </c>
      <c r="AD6" s="42">
        <v>180083</v>
      </c>
      <c r="AE6" s="42">
        <v>210756</v>
      </c>
      <c r="AF6" s="42">
        <v>230233</v>
      </c>
      <c r="AG6" s="42">
        <v>194085</v>
      </c>
      <c r="AH6" s="42">
        <v>200726</v>
      </c>
      <c r="AI6" s="42">
        <v>176641</v>
      </c>
      <c r="AJ6" s="42">
        <v>1043874</v>
      </c>
      <c r="AK6" s="42">
        <v>1451455</v>
      </c>
      <c r="AL6" s="42">
        <v>243150</v>
      </c>
      <c r="AM6" s="42">
        <v>207969</v>
      </c>
      <c r="AN6" s="42">
        <v>189594</v>
      </c>
      <c r="AO6" s="42">
        <v>176511</v>
      </c>
      <c r="AP6" s="42">
        <v>194469.53570000001</v>
      </c>
      <c r="AQ6" s="42">
        <v>1215494</v>
      </c>
      <c r="AR6" s="42">
        <v>177956</v>
      </c>
      <c r="AS6" s="42">
        <v>195027</v>
      </c>
      <c r="AT6" s="42">
        <v>1293611.857142857</v>
      </c>
      <c r="AU6" s="42">
        <v>198167</v>
      </c>
      <c r="AV6" s="42">
        <v>210908</v>
      </c>
      <c r="AW6" s="42">
        <v>220181</v>
      </c>
      <c r="AX6" s="42">
        <v>181754</v>
      </c>
      <c r="AY6" s="42">
        <v>207184</v>
      </c>
      <c r="AZ6" s="42">
        <v>171142</v>
      </c>
      <c r="BA6" s="42">
        <v>873821</v>
      </c>
      <c r="BB6" s="42">
        <v>244847</v>
      </c>
      <c r="BC6" s="42">
        <v>240617.42499999999</v>
      </c>
      <c r="BD6" s="42">
        <v>1215751</v>
      </c>
      <c r="BE6" s="42">
        <v>250749</v>
      </c>
      <c r="BF6" s="42">
        <v>1063782</v>
      </c>
      <c r="BG6" s="42">
        <v>195609</v>
      </c>
      <c r="BH6" s="42">
        <v>1519689</v>
      </c>
      <c r="BI6" s="42">
        <v>182843.91</v>
      </c>
      <c r="BJ6" s="42">
        <v>217747</v>
      </c>
      <c r="BK6" s="42">
        <v>208248</v>
      </c>
      <c r="BL6" s="42">
        <v>215669</v>
      </c>
    </row>
    <row r="7" spans="1:64" ht="15" customHeight="1">
      <c r="A7" s="1" t="s">
        <v>331</v>
      </c>
      <c r="B7" s="1" t="s">
        <v>332</v>
      </c>
      <c r="C7" s="70">
        <f t="shared" si="0"/>
        <v>1.0226108466114483</v>
      </c>
      <c r="D7" s="71">
        <f t="shared" si="1"/>
        <v>390913</v>
      </c>
      <c r="E7" s="42">
        <v>400880</v>
      </c>
      <c r="F7" s="42">
        <v>411164</v>
      </c>
      <c r="G7" s="42">
        <v>380260</v>
      </c>
      <c r="H7" s="42">
        <v>407099</v>
      </c>
      <c r="I7" s="42">
        <v>428589</v>
      </c>
      <c r="J7" s="42">
        <v>369149</v>
      </c>
      <c r="K7" s="42">
        <v>425342</v>
      </c>
      <c r="L7" s="42">
        <v>343260.76</v>
      </c>
      <c r="M7" s="42">
        <v>283561</v>
      </c>
      <c r="N7" s="42">
        <v>2525680</v>
      </c>
      <c r="O7" s="42">
        <v>2506681</v>
      </c>
      <c r="P7" s="42">
        <v>342778</v>
      </c>
      <c r="Q7" s="42">
        <v>296274</v>
      </c>
      <c r="R7" s="42">
        <v>2124441</v>
      </c>
      <c r="S7" s="42">
        <v>371276.13119999995</v>
      </c>
      <c r="T7" s="42">
        <v>375082</v>
      </c>
      <c r="U7" s="42">
        <v>367921</v>
      </c>
      <c r="V7" s="42">
        <v>401712</v>
      </c>
      <c r="W7" s="42">
        <v>419434</v>
      </c>
      <c r="X7" s="42">
        <v>374112</v>
      </c>
      <c r="Y7" s="42">
        <v>431864</v>
      </c>
      <c r="Z7" s="42">
        <v>411928.41003600002</v>
      </c>
      <c r="AA7" s="42">
        <v>355538.48459999997</v>
      </c>
      <c r="AB7" s="42">
        <v>283562</v>
      </c>
      <c r="AC7" s="42">
        <v>363428</v>
      </c>
      <c r="AD7" s="42">
        <v>336020</v>
      </c>
      <c r="AE7" s="42">
        <v>393252</v>
      </c>
      <c r="AF7" s="42">
        <v>429595</v>
      </c>
      <c r="AG7" s="42">
        <v>362146</v>
      </c>
      <c r="AH7" s="42">
        <v>374537</v>
      </c>
      <c r="AI7" s="42">
        <v>329597</v>
      </c>
      <c r="AJ7" s="42">
        <v>1947782</v>
      </c>
      <c r="AK7" s="42">
        <v>2708293</v>
      </c>
      <c r="AL7" s="42">
        <v>453698</v>
      </c>
      <c r="AM7" s="42">
        <v>388054</v>
      </c>
      <c r="AN7" s="42">
        <v>353766</v>
      </c>
      <c r="AO7" s="42">
        <v>329356</v>
      </c>
      <c r="AP7" s="42">
        <v>362863.81560000003</v>
      </c>
      <c r="AQ7" s="42">
        <v>2268008</v>
      </c>
      <c r="AR7" s="42">
        <v>332050</v>
      </c>
      <c r="AS7" s="42">
        <v>363904</v>
      </c>
      <c r="AT7" s="42">
        <v>2413771</v>
      </c>
      <c r="AU7" s="42">
        <v>369764</v>
      </c>
      <c r="AV7" s="42">
        <v>393536</v>
      </c>
      <c r="AW7" s="42">
        <v>410838</v>
      </c>
      <c r="AX7" s="42">
        <v>339137</v>
      </c>
      <c r="AY7" s="42">
        <v>386725</v>
      </c>
      <c r="AZ7" s="42">
        <v>319337</v>
      </c>
      <c r="BA7" s="42">
        <v>1630477</v>
      </c>
      <c r="BB7" s="42">
        <v>456864</v>
      </c>
      <c r="BC7" s="42">
        <v>448971.89999999997</v>
      </c>
      <c r="BD7" s="42">
        <v>2268490</v>
      </c>
      <c r="BE7" s="42">
        <v>467876</v>
      </c>
      <c r="BF7" s="42">
        <v>1984928</v>
      </c>
      <c r="BG7" s="42">
        <v>364991</v>
      </c>
      <c r="BH7" s="42">
        <v>2135612</v>
      </c>
      <c r="BI7" s="42">
        <v>341171.38</v>
      </c>
      <c r="BJ7" s="42">
        <v>406296</v>
      </c>
      <c r="BK7" s="42">
        <v>388573</v>
      </c>
      <c r="BL7" s="42">
        <v>402421</v>
      </c>
    </row>
    <row r="8" spans="1:64" ht="15" customHeight="1">
      <c r="A8" s="1" t="s">
        <v>333</v>
      </c>
      <c r="B8" s="1" t="s">
        <v>334</v>
      </c>
      <c r="C8" s="70">
        <f t="shared" si="0"/>
        <v>1.0283170825586769</v>
      </c>
      <c r="D8" s="71">
        <f t="shared" si="1"/>
        <v>413575</v>
      </c>
      <c r="E8" s="42">
        <v>424120</v>
      </c>
      <c r="F8" s="42">
        <v>435000</v>
      </c>
      <c r="G8" s="42">
        <v>402300</v>
      </c>
      <c r="H8" s="42">
        <v>430700</v>
      </c>
      <c r="I8" s="42">
        <v>453435</v>
      </c>
      <c r="J8" s="42">
        <v>390550</v>
      </c>
      <c r="K8" s="42">
        <v>450000</v>
      </c>
      <c r="L8" s="42">
        <v>363160.5</v>
      </c>
      <c r="M8" s="42">
        <v>300000</v>
      </c>
      <c r="N8" s="42">
        <v>2672100</v>
      </c>
      <c r="O8" s="42">
        <v>2652000</v>
      </c>
      <c r="P8" s="42">
        <v>362650</v>
      </c>
      <c r="Q8" s="42">
        <v>313450</v>
      </c>
      <c r="R8" s="42">
        <v>2247600</v>
      </c>
      <c r="S8" s="42">
        <v>392800</v>
      </c>
      <c r="T8" s="42">
        <v>396826</v>
      </c>
      <c r="U8" s="42">
        <v>389250</v>
      </c>
      <c r="V8" s="42">
        <v>425000</v>
      </c>
      <c r="W8" s="42">
        <v>443750</v>
      </c>
      <c r="X8" s="42">
        <v>395800</v>
      </c>
      <c r="Y8" s="42">
        <v>456900</v>
      </c>
      <c r="Z8" s="42">
        <v>435809</v>
      </c>
      <c r="AA8" s="42">
        <v>376150</v>
      </c>
      <c r="AB8" s="42">
        <v>300000</v>
      </c>
      <c r="AC8" s="42">
        <v>384497</v>
      </c>
      <c r="AD8" s="42">
        <v>355500</v>
      </c>
      <c r="AE8" s="42">
        <v>416050</v>
      </c>
      <c r="AF8" s="42">
        <v>454500</v>
      </c>
      <c r="AG8" s="42">
        <v>383141</v>
      </c>
      <c r="AH8" s="42">
        <v>396250</v>
      </c>
      <c r="AI8" s="42">
        <v>348705</v>
      </c>
      <c r="AJ8" s="42">
        <v>2060700</v>
      </c>
      <c r="AK8" s="42">
        <v>2865300</v>
      </c>
      <c r="AL8" s="42">
        <v>480000</v>
      </c>
      <c r="AM8" s="42">
        <v>410550</v>
      </c>
      <c r="AN8" s="42">
        <v>374275</v>
      </c>
      <c r="AO8" s="42">
        <v>348450</v>
      </c>
      <c r="AP8" s="42">
        <v>383900</v>
      </c>
      <c r="AQ8" s="42">
        <v>2399490</v>
      </c>
      <c r="AR8" s="42">
        <v>351300</v>
      </c>
      <c r="AS8" s="42">
        <v>385000</v>
      </c>
      <c r="AT8" s="42">
        <v>2553704</v>
      </c>
      <c r="AU8" s="42">
        <v>391200</v>
      </c>
      <c r="AV8" s="42">
        <v>416350</v>
      </c>
      <c r="AW8" s="42">
        <v>434655</v>
      </c>
      <c r="AX8" s="42">
        <v>358798</v>
      </c>
      <c r="AY8" s="42">
        <v>409000</v>
      </c>
      <c r="AZ8" s="42">
        <v>337850</v>
      </c>
      <c r="BA8" s="42">
        <v>1725000</v>
      </c>
      <c r="BB8" s="42">
        <v>483350</v>
      </c>
      <c r="BC8" s="42">
        <v>475000</v>
      </c>
      <c r="BD8" s="42">
        <v>2400000</v>
      </c>
      <c r="BE8" s="42">
        <v>495000</v>
      </c>
      <c r="BF8" s="42">
        <v>2100000</v>
      </c>
      <c r="BG8" s="42">
        <v>386150</v>
      </c>
      <c r="BH8" s="42">
        <v>2500000</v>
      </c>
      <c r="BI8" s="42">
        <v>360950</v>
      </c>
      <c r="BJ8" s="42">
        <v>429850</v>
      </c>
      <c r="BK8" s="42">
        <v>411100</v>
      </c>
      <c r="BL8" s="42">
        <v>425750</v>
      </c>
    </row>
    <row r="9" spans="1:64" ht="15" customHeight="1">
      <c r="A9" s="1" t="s">
        <v>335</v>
      </c>
      <c r="B9" s="1" t="s">
        <v>336</v>
      </c>
      <c r="C9" s="70">
        <f t="shared" si="0"/>
        <v>1.0445802575808911</v>
      </c>
      <c r="D9" s="71">
        <f t="shared" si="1"/>
        <v>269924</v>
      </c>
      <c r="E9" s="42">
        <v>276806</v>
      </c>
      <c r="F9" s="42">
        <v>283907</v>
      </c>
      <c r="G9" s="42">
        <v>262565</v>
      </c>
      <c r="H9" s="42">
        <v>281101</v>
      </c>
      <c r="I9" s="42">
        <v>295939</v>
      </c>
      <c r="J9" s="42">
        <v>254896</v>
      </c>
      <c r="K9" s="42">
        <v>293697</v>
      </c>
      <c r="L9" s="42">
        <v>237020.45</v>
      </c>
      <c r="M9" s="42">
        <v>195798</v>
      </c>
      <c r="N9" s="42">
        <v>1743974</v>
      </c>
      <c r="O9" s="42">
        <v>1730855</v>
      </c>
      <c r="P9" s="42">
        <v>236687</v>
      </c>
      <c r="Q9" s="42">
        <v>204576</v>
      </c>
      <c r="R9" s="42">
        <v>1466919</v>
      </c>
      <c r="S9" s="42">
        <v>256364.9789333333</v>
      </c>
      <c r="T9" s="42">
        <v>258993</v>
      </c>
      <c r="U9" s="42">
        <v>254048</v>
      </c>
      <c r="V9" s="42">
        <v>277381</v>
      </c>
      <c r="W9" s="42">
        <v>289618</v>
      </c>
      <c r="X9" s="42">
        <v>258323</v>
      </c>
      <c r="Y9" s="42">
        <v>298201</v>
      </c>
      <c r="Z9" s="42">
        <v>284435.2472096667</v>
      </c>
      <c r="AA9" s="42">
        <v>245498.18438333334</v>
      </c>
      <c r="AB9" s="42">
        <v>195799</v>
      </c>
      <c r="AC9" s="42">
        <v>250946</v>
      </c>
      <c r="AD9" s="42">
        <v>232021</v>
      </c>
      <c r="AE9" s="42">
        <v>271539</v>
      </c>
      <c r="AF9" s="42">
        <v>296634</v>
      </c>
      <c r="AG9" s="42">
        <v>250061</v>
      </c>
      <c r="AH9" s="42">
        <v>258617</v>
      </c>
      <c r="AI9" s="42">
        <v>227586</v>
      </c>
      <c r="AJ9" s="42">
        <v>1344937</v>
      </c>
      <c r="AK9" s="42">
        <v>1870068</v>
      </c>
      <c r="AL9" s="42">
        <v>313277</v>
      </c>
      <c r="AM9" s="42">
        <v>267950</v>
      </c>
      <c r="AN9" s="42">
        <v>244274</v>
      </c>
      <c r="AO9" s="42">
        <v>227419</v>
      </c>
      <c r="AP9" s="42">
        <v>250556.30196666668</v>
      </c>
      <c r="AQ9" s="42">
        <v>1566052</v>
      </c>
      <c r="AR9" s="42">
        <v>229280</v>
      </c>
      <c r="AS9" s="42">
        <v>251274</v>
      </c>
      <c r="AT9" s="42">
        <v>1666701</v>
      </c>
      <c r="AU9" s="42">
        <v>255321</v>
      </c>
      <c r="AV9" s="42">
        <v>271735</v>
      </c>
      <c r="AW9" s="42">
        <v>283682</v>
      </c>
      <c r="AX9" s="42">
        <v>234173</v>
      </c>
      <c r="AY9" s="42">
        <v>266938</v>
      </c>
      <c r="AZ9" s="42">
        <v>220501</v>
      </c>
      <c r="BA9" s="42">
        <v>1125839</v>
      </c>
      <c r="BB9" s="42">
        <v>315463</v>
      </c>
      <c r="BC9" s="42">
        <v>310013.65833333333</v>
      </c>
      <c r="BD9" s="42">
        <v>1566385</v>
      </c>
      <c r="BE9" s="42">
        <v>323067</v>
      </c>
      <c r="BF9" s="42">
        <v>1370587</v>
      </c>
      <c r="BG9" s="42">
        <v>252025</v>
      </c>
      <c r="BH9" s="42">
        <v>1957981</v>
      </c>
      <c r="BI9" s="42">
        <v>235577.75</v>
      </c>
      <c r="BJ9" s="42">
        <v>280546</v>
      </c>
      <c r="BK9" s="42">
        <v>268309</v>
      </c>
      <c r="BL9" s="42">
        <v>277870</v>
      </c>
    </row>
    <row r="10" spans="1:64" ht="15" customHeight="1">
      <c r="A10" s="1" t="s">
        <v>337</v>
      </c>
      <c r="B10" s="1" t="s">
        <v>338</v>
      </c>
      <c r="C10" s="70">
        <f t="shared" si="0"/>
        <v>1.0445803338530932</v>
      </c>
      <c r="D10" s="71">
        <f t="shared" si="1"/>
        <v>43012</v>
      </c>
      <c r="E10" s="42">
        <v>44108</v>
      </c>
      <c r="F10" s="42">
        <v>45240</v>
      </c>
      <c r="G10" s="42">
        <v>41840</v>
      </c>
      <c r="H10" s="42">
        <v>44793</v>
      </c>
      <c r="I10" s="42">
        <v>47157</v>
      </c>
      <c r="J10" s="42">
        <v>40617</v>
      </c>
      <c r="K10" s="42">
        <v>46800</v>
      </c>
      <c r="L10" s="42">
        <v>37768.69</v>
      </c>
      <c r="M10" s="42">
        <v>31200</v>
      </c>
      <c r="N10" s="42">
        <v>277898</v>
      </c>
      <c r="O10" s="42">
        <v>275808</v>
      </c>
      <c r="P10" s="42">
        <v>37716</v>
      </c>
      <c r="Q10" s="42">
        <v>32599</v>
      </c>
      <c r="R10" s="42">
        <v>233750</v>
      </c>
      <c r="S10" s="42">
        <v>40851.199999999997</v>
      </c>
      <c r="T10" s="42">
        <v>41270</v>
      </c>
      <c r="U10" s="42">
        <v>40482</v>
      </c>
      <c r="V10" s="42">
        <v>44200</v>
      </c>
      <c r="W10" s="42">
        <v>46150</v>
      </c>
      <c r="X10" s="42">
        <v>41163</v>
      </c>
      <c r="Y10" s="42">
        <v>47518</v>
      </c>
      <c r="Z10" s="42">
        <v>45324.135999999999</v>
      </c>
      <c r="AA10" s="42">
        <v>39119.599999999999</v>
      </c>
      <c r="AB10" s="42">
        <v>31200</v>
      </c>
      <c r="AC10" s="42">
        <v>39988</v>
      </c>
      <c r="AD10" s="42">
        <v>36972</v>
      </c>
      <c r="AE10" s="42">
        <v>43269</v>
      </c>
      <c r="AF10" s="42">
        <v>47268</v>
      </c>
      <c r="AG10" s="42">
        <v>39847</v>
      </c>
      <c r="AH10" s="42">
        <v>41210</v>
      </c>
      <c r="AI10" s="42">
        <v>36265</v>
      </c>
      <c r="AJ10" s="42">
        <v>214313</v>
      </c>
      <c r="AK10" s="42">
        <v>297991</v>
      </c>
      <c r="AL10" s="42">
        <v>49920</v>
      </c>
      <c r="AM10" s="42">
        <v>42697</v>
      </c>
      <c r="AN10" s="42">
        <v>38925</v>
      </c>
      <c r="AO10" s="42">
        <v>36238</v>
      </c>
      <c r="AP10" s="42">
        <v>39925.599999999999</v>
      </c>
      <c r="AQ10" s="42">
        <v>249547</v>
      </c>
      <c r="AR10" s="42">
        <v>36535</v>
      </c>
      <c r="AS10" s="42">
        <v>40040</v>
      </c>
      <c r="AT10" s="42">
        <v>265585</v>
      </c>
      <c r="AU10" s="42">
        <v>40685</v>
      </c>
      <c r="AV10" s="42">
        <v>43300</v>
      </c>
      <c r="AW10" s="42">
        <v>45204</v>
      </c>
      <c r="AX10" s="42">
        <v>37315</v>
      </c>
      <c r="AY10" s="42">
        <v>42536</v>
      </c>
      <c r="AZ10" s="42">
        <v>35136</v>
      </c>
      <c r="BA10" s="42">
        <v>179400</v>
      </c>
      <c r="BB10" s="42">
        <v>50268</v>
      </c>
      <c r="BC10" s="42">
        <v>49400</v>
      </c>
      <c r="BD10" s="42">
        <v>249600</v>
      </c>
      <c r="BE10" s="42">
        <v>51480</v>
      </c>
      <c r="BF10" s="42">
        <v>218400</v>
      </c>
      <c r="BG10" s="42">
        <v>40160</v>
      </c>
      <c r="BH10" s="42">
        <v>312000</v>
      </c>
      <c r="BI10" s="42">
        <v>37538.800000000003</v>
      </c>
      <c r="BJ10" s="42">
        <v>44704</v>
      </c>
      <c r="BK10" s="42">
        <v>42754</v>
      </c>
      <c r="BL10" s="42">
        <v>44278</v>
      </c>
    </row>
    <row r="11" spans="1:64" ht="15" customHeight="1">
      <c r="A11" s="1" t="s">
        <v>339</v>
      </c>
      <c r="B11" s="1" t="s">
        <v>340</v>
      </c>
      <c r="C11" s="70">
        <f t="shared" si="0"/>
        <v>1.0445806026718849</v>
      </c>
      <c r="D11" s="71">
        <f t="shared" si="1"/>
        <v>99258</v>
      </c>
      <c r="E11" s="42">
        <v>101789</v>
      </c>
      <c r="F11" s="42">
        <v>104400</v>
      </c>
      <c r="G11" s="42">
        <v>96550</v>
      </c>
      <c r="H11" s="42">
        <v>103368</v>
      </c>
      <c r="I11" s="42">
        <v>108824</v>
      </c>
      <c r="J11" s="42">
        <v>93732</v>
      </c>
      <c r="K11" s="42">
        <v>108000</v>
      </c>
      <c r="L11" s="42">
        <v>87158.52</v>
      </c>
      <c r="M11" s="42">
        <v>72000</v>
      </c>
      <c r="N11" s="42">
        <v>641304</v>
      </c>
      <c r="O11" s="42">
        <v>636480</v>
      </c>
      <c r="P11" s="42">
        <v>87036</v>
      </c>
      <c r="Q11" s="42">
        <v>75228</v>
      </c>
      <c r="R11" s="42">
        <v>539424</v>
      </c>
      <c r="S11" s="42">
        <v>94272</v>
      </c>
      <c r="T11" s="42">
        <v>95238</v>
      </c>
      <c r="U11" s="42">
        <v>93420</v>
      </c>
      <c r="V11" s="42">
        <v>102000</v>
      </c>
      <c r="W11" s="42">
        <v>106500</v>
      </c>
      <c r="X11" s="42">
        <v>94992</v>
      </c>
      <c r="Y11" s="42">
        <v>109656</v>
      </c>
      <c r="Z11" s="42">
        <v>104594.16</v>
      </c>
      <c r="AA11" s="42">
        <v>90276</v>
      </c>
      <c r="AB11" s="42">
        <v>72000</v>
      </c>
      <c r="AC11" s="42">
        <v>92279</v>
      </c>
      <c r="AD11" s="42">
        <v>85320</v>
      </c>
      <c r="AE11" s="42">
        <v>99852</v>
      </c>
      <c r="AF11" s="42">
        <v>109080</v>
      </c>
      <c r="AG11" s="42">
        <v>91954</v>
      </c>
      <c r="AH11" s="42">
        <v>95100</v>
      </c>
      <c r="AI11" s="42">
        <v>83689</v>
      </c>
      <c r="AJ11" s="42">
        <v>494568</v>
      </c>
      <c r="AK11" s="42">
        <v>687672</v>
      </c>
      <c r="AL11" s="42">
        <v>115200</v>
      </c>
      <c r="AM11" s="42">
        <v>98532</v>
      </c>
      <c r="AN11" s="42">
        <v>89826</v>
      </c>
      <c r="AO11" s="42">
        <v>83628</v>
      </c>
      <c r="AP11" s="42">
        <v>92136</v>
      </c>
      <c r="AQ11" s="42">
        <v>575878</v>
      </c>
      <c r="AR11" s="42">
        <v>84312</v>
      </c>
      <c r="AS11" s="42">
        <v>92400</v>
      </c>
      <c r="AT11" s="42">
        <v>612889</v>
      </c>
      <c r="AU11" s="42">
        <v>93888</v>
      </c>
      <c r="AV11" s="42">
        <v>99924</v>
      </c>
      <c r="AW11" s="42">
        <v>104317</v>
      </c>
      <c r="AX11" s="42">
        <v>86112</v>
      </c>
      <c r="AY11" s="42">
        <v>98160</v>
      </c>
      <c r="AZ11" s="42">
        <v>81084</v>
      </c>
      <c r="BA11" s="42">
        <v>414000</v>
      </c>
      <c r="BB11" s="42">
        <v>116004</v>
      </c>
      <c r="BC11" s="42">
        <v>114000</v>
      </c>
      <c r="BD11" s="42">
        <v>576000</v>
      </c>
      <c r="BE11" s="42">
        <v>118800</v>
      </c>
      <c r="BF11" s="42">
        <v>504000</v>
      </c>
      <c r="BG11" s="42">
        <v>92676</v>
      </c>
      <c r="BH11" s="42">
        <v>720000</v>
      </c>
      <c r="BI11" s="42">
        <v>86628</v>
      </c>
      <c r="BJ11" s="42">
        <v>103164</v>
      </c>
      <c r="BK11" s="42">
        <v>98664</v>
      </c>
      <c r="BL11" s="42">
        <v>102180</v>
      </c>
    </row>
    <row r="12" spans="1:64" ht="15" customHeight="1">
      <c r="A12" s="1" t="s">
        <v>341</v>
      </c>
      <c r="B12" s="1" t="s">
        <v>342</v>
      </c>
      <c r="C12" s="70">
        <f t="shared" si="0"/>
        <v>1.0445764824876074</v>
      </c>
      <c r="D12" s="71">
        <f t="shared" si="1"/>
        <v>1043163</v>
      </c>
      <c r="E12" s="42">
        <v>1069760</v>
      </c>
      <c r="F12" s="42">
        <v>1097203</v>
      </c>
      <c r="G12" s="42">
        <v>1014725</v>
      </c>
      <c r="H12" s="42">
        <v>1086357</v>
      </c>
      <c r="I12" s="42">
        <v>1143702</v>
      </c>
      <c r="J12" s="42">
        <v>985086</v>
      </c>
      <c r="K12" s="42">
        <v>1135037</v>
      </c>
      <c r="L12" s="42">
        <v>916001.67</v>
      </c>
      <c r="M12" s="42">
        <v>756692</v>
      </c>
      <c r="N12" s="42">
        <v>6739852</v>
      </c>
      <c r="O12" s="42">
        <v>6689154</v>
      </c>
      <c r="P12" s="42">
        <v>914714</v>
      </c>
      <c r="Q12" s="42">
        <v>790617</v>
      </c>
      <c r="R12" s="42">
        <v>5669133</v>
      </c>
      <c r="S12" s="42">
        <v>990761.53493333329</v>
      </c>
      <c r="T12" s="42">
        <v>1000916</v>
      </c>
      <c r="U12" s="42">
        <v>981807</v>
      </c>
      <c r="V12" s="42">
        <v>1071980</v>
      </c>
      <c r="W12" s="42">
        <v>1119273</v>
      </c>
      <c r="X12" s="42">
        <v>998328</v>
      </c>
      <c r="Y12" s="42">
        <v>1152441</v>
      </c>
      <c r="Z12" s="42">
        <v>1099243.3650146667</v>
      </c>
      <c r="AA12" s="42">
        <v>948765.15113333333</v>
      </c>
      <c r="AB12" s="42">
        <v>756961</v>
      </c>
      <c r="AC12" s="42">
        <v>969819</v>
      </c>
      <c r="AD12" s="42">
        <v>896680</v>
      </c>
      <c r="AE12" s="42">
        <v>1049405</v>
      </c>
      <c r="AF12" s="42">
        <v>1146388</v>
      </c>
      <c r="AG12" s="42">
        <v>966397</v>
      </c>
      <c r="AH12" s="42">
        <v>999463</v>
      </c>
      <c r="AI12" s="42">
        <v>879540</v>
      </c>
      <c r="AJ12" s="42">
        <v>5197715</v>
      </c>
      <c r="AK12" s="42">
        <v>7227161</v>
      </c>
      <c r="AL12" s="42">
        <v>1210707</v>
      </c>
      <c r="AM12" s="42">
        <v>1035532</v>
      </c>
      <c r="AN12" s="42">
        <v>944035</v>
      </c>
      <c r="AO12" s="42">
        <v>878896</v>
      </c>
      <c r="AP12" s="42">
        <v>968313.01746666676</v>
      </c>
      <c r="AQ12" s="42">
        <v>6052246</v>
      </c>
      <c r="AR12" s="42">
        <v>886086</v>
      </c>
      <c r="AS12" s="42">
        <v>971088</v>
      </c>
      <c r="AT12" s="42">
        <v>6441220</v>
      </c>
      <c r="AU12" s="42">
        <v>986726</v>
      </c>
      <c r="AV12" s="42">
        <v>1050162</v>
      </c>
      <c r="AW12" s="42">
        <v>1096333</v>
      </c>
      <c r="AX12" s="42">
        <v>904998</v>
      </c>
      <c r="AY12" s="42">
        <v>1031622</v>
      </c>
      <c r="AZ12" s="42">
        <v>852160</v>
      </c>
      <c r="BA12" s="42">
        <v>4350977</v>
      </c>
      <c r="BB12" s="42">
        <v>1219156</v>
      </c>
      <c r="BC12" s="42">
        <v>1198095.0333333334</v>
      </c>
      <c r="BD12" s="42">
        <v>6053533</v>
      </c>
      <c r="BE12" s="42">
        <v>1248541</v>
      </c>
      <c r="BF12" s="42">
        <v>5296841</v>
      </c>
      <c r="BG12" s="42">
        <v>973988</v>
      </c>
      <c r="BH12" s="42">
        <v>7566916</v>
      </c>
      <c r="BI12" s="42">
        <v>910426.11</v>
      </c>
      <c r="BJ12" s="42">
        <v>1084213</v>
      </c>
      <c r="BK12" s="42">
        <v>1036920</v>
      </c>
      <c r="BL12" s="42">
        <v>1073871</v>
      </c>
    </row>
    <row r="13" spans="1:64" ht="15" customHeight="1">
      <c r="A13" s="1" t="s">
        <v>343</v>
      </c>
      <c r="B13" s="1" t="s">
        <v>344</v>
      </c>
      <c r="C13" s="70">
        <f t="shared" si="0"/>
        <v>1.0269969827439249</v>
      </c>
      <c r="D13" s="71">
        <f t="shared" si="1"/>
        <v>751044</v>
      </c>
      <c r="E13" s="42">
        <v>770193</v>
      </c>
      <c r="F13" s="42">
        <v>789951</v>
      </c>
      <c r="G13" s="42">
        <v>730570</v>
      </c>
      <c r="H13" s="42">
        <v>782142</v>
      </c>
      <c r="I13" s="42">
        <v>823428</v>
      </c>
      <c r="J13" s="42">
        <v>709230</v>
      </c>
      <c r="K13" s="42">
        <v>817190</v>
      </c>
      <c r="L13" s="42">
        <v>659491.72</v>
      </c>
      <c r="M13" s="42">
        <v>544794</v>
      </c>
      <c r="N13" s="42">
        <v>4852477</v>
      </c>
      <c r="O13" s="42">
        <v>4815975</v>
      </c>
      <c r="P13" s="42">
        <v>658565</v>
      </c>
      <c r="Q13" s="42">
        <v>569219</v>
      </c>
      <c r="R13" s="42">
        <v>4081594</v>
      </c>
      <c r="S13" s="42">
        <v>713316.42026666657</v>
      </c>
      <c r="T13" s="42">
        <v>720628</v>
      </c>
      <c r="U13" s="42">
        <v>706870</v>
      </c>
      <c r="V13" s="42">
        <v>771791</v>
      </c>
      <c r="W13" s="42">
        <v>805841</v>
      </c>
      <c r="X13" s="42">
        <v>718764</v>
      </c>
      <c r="Y13" s="42">
        <v>829721</v>
      </c>
      <c r="Z13" s="42">
        <v>791419.84674133337</v>
      </c>
      <c r="AA13" s="42">
        <v>683080.37546666665</v>
      </c>
      <c r="AB13" s="42">
        <v>544794</v>
      </c>
      <c r="AC13" s="42">
        <v>698238</v>
      </c>
      <c r="AD13" s="42">
        <v>645580</v>
      </c>
      <c r="AE13" s="42">
        <v>755538</v>
      </c>
      <c r="AF13" s="42">
        <v>825362</v>
      </c>
      <c r="AG13" s="42">
        <v>695775</v>
      </c>
      <c r="AH13" s="42">
        <v>719582</v>
      </c>
      <c r="AI13" s="42">
        <v>633241</v>
      </c>
      <c r="AJ13" s="42">
        <v>3742187</v>
      </c>
      <c r="AK13" s="42">
        <v>5203324</v>
      </c>
      <c r="AL13" s="42">
        <v>871670</v>
      </c>
      <c r="AM13" s="42">
        <v>745550</v>
      </c>
      <c r="AN13" s="42">
        <v>679675</v>
      </c>
      <c r="AO13" s="42">
        <v>632777</v>
      </c>
      <c r="AP13" s="65">
        <v>697154.21013333334</v>
      </c>
      <c r="AQ13" s="42">
        <v>4357423</v>
      </c>
      <c r="AR13" s="42">
        <v>637953</v>
      </c>
      <c r="AS13" s="42">
        <v>699152</v>
      </c>
      <c r="AT13" s="42">
        <v>4637471</v>
      </c>
      <c r="AU13" s="42">
        <v>710411</v>
      </c>
      <c r="AV13" s="42">
        <v>756083</v>
      </c>
      <c r="AW13" s="42">
        <v>789324</v>
      </c>
      <c r="AX13" s="42">
        <v>651570</v>
      </c>
      <c r="AY13" s="42">
        <v>742735</v>
      </c>
      <c r="AZ13" s="42">
        <v>613528</v>
      </c>
      <c r="BA13" s="42">
        <v>3132563</v>
      </c>
      <c r="BB13" s="42">
        <v>877753</v>
      </c>
      <c r="BC13" s="42">
        <v>862589.8666666667</v>
      </c>
      <c r="BD13" s="42">
        <v>4358349</v>
      </c>
      <c r="BE13" s="42">
        <v>898909</v>
      </c>
      <c r="BF13" s="42">
        <v>3813555</v>
      </c>
      <c r="BG13" s="42">
        <v>701240</v>
      </c>
      <c r="BH13" s="42">
        <v>4447936</v>
      </c>
      <c r="BI13" s="42">
        <v>655477.5</v>
      </c>
      <c r="BJ13" s="42">
        <v>780598</v>
      </c>
      <c r="BK13" s="42">
        <v>746549</v>
      </c>
      <c r="BL13" s="42">
        <v>773153</v>
      </c>
    </row>
    <row r="14" spans="1:64" ht="15" customHeight="1">
      <c r="A14" s="1" t="s">
        <v>345</v>
      </c>
      <c r="B14" s="1" t="s">
        <v>346</v>
      </c>
      <c r="C14" s="70">
        <f t="shared" si="0"/>
        <v>1.3817624676861804</v>
      </c>
      <c r="D14" s="71">
        <f t="shared" si="1"/>
        <v>67903</v>
      </c>
      <c r="E14" s="42">
        <v>69634</v>
      </c>
      <c r="F14" s="42">
        <v>71421</v>
      </c>
      <c r="G14" s="42">
        <v>66050</v>
      </c>
      <c r="H14" s="42">
        <v>70715</v>
      </c>
      <c r="I14" s="42">
        <v>74448</v>
      </c>
      <c r="J14" s="42">
        <v>64123</v>
      </c>
      <c r="K14" s="42">
        <v>73884</v>
      </c>
      <c r="L14" s="42">
        <v>59625.75</v>
      </c>
      <c r="M14" s="42">
        <v>49256</v>
      </c>
      <c r="N14" s="42">
        <v>438721</v>
      </c>
      <c r="O14" s="42">
        <v>435420</v>
      </c>
      <c r="P14" s="42">
        <v>59542</v>
      </c>
      <c r="Q14" s="42">
        <v>51464</v>
      </c>
      <c r="R14" s="42">
        <v>369024</v>
      </c>
      <c r="S14" s="42">
        <v>64492.129866666663</v>
      </c>
      <c r="T14" s="42">
        <v>65153</v>
      </c>
      <c r="U14" s="42">
        <v>63909</v>
      </c>
      <c r="V14" s="42">
        <v>69779</v>
      </c>
      <c r="W14" s="42">
        <v>72857</v>
      </c>
      <c r="X14" s="42">
        <v>64985</v>
      </c>
      <c r="Y14" s="42">
        <v>75016</v>
      </c>
      <c r="Z14" s="42">
        <v>71553.591204333323</v>
      </c>
      <c r="AA14" s="42">
        <v>61758.438516666662</v>
      </c>
      <c r="AB14" s="42">
        <v>49256</v>
      </c>
      <c r="AC14" s="42">
        <v>63129</v>
      </c>
      <c r="AD14" s="42">
        <v>58368</v>
      </c>
      <c r="AE14" s="42">
        <v>68309</v>
      </c>
      <c r="AF14" s="42">
        <v>74623</v>
      </c>
      <c r="AG14" s="42">
        <v>62906</v>
      </c>
      <c r="AH14" s="42">
        <v>65059</v>
      </c>
      <c r="AI14" s="42">
        <v>57252</v>
      </c>
      <c r="AJ14" s="42">
        <v>338337</v>
      </c>
      <c r="AK14" s="42">
        <v>470441</v>
      </c>
      <c r="AL14" s="42">
        <v>78809</v>
      </c>
      <c r="AM14" s="42">
        <v>67406</v>
      </c>
      <c r="AN14" s="42">
        <v>61451</v>
      </c>
      <c r="AO14" s="42">
        <v>57209</v>
      </c>
      <c r="AP14" s="65">
        <v>63030.877433333335</v>
      </c>
      <c r="AQ14" s="42">
        <v>393962</v>
      </c>
      <c r="AR14" s="42">
        <v>57678</v>
      </c>
      <c r="AS14" s="42">
        <v>63211</v>
      </c>
      <c r="AT14" s="42">
        <v>419281.5</v>
      </c>
      <c r="AU14" s="42">
        <v>64229</v>
      </c>
      <c r="AV14" s="42">
        <v>68359</v>
      </c>
      <c r="AW14" s="42">
        <v>71364</v>
      </c>
      <c r="AX14" s="42">
        <v>58909</v>
      </c>
      <c r="AY14" s="42">
        <v>67152</v>
      </c>
      <c r="AZ14" s="42">
        <v>55470</v>
      </c>
      <c r="BA14" s="42">
        <v>283220</v>
      </c>
      <c r="BB14" s="42">
        <v>79359</v>
      </c>
      <c r="BC14" s="42">
        <v>77988.191666666651</v>
      </c>
      <c r="BD14" s="42">
        <v>394046</v>
      </c>
      <c r="BE14" s="42">
        <v>81272</v>
      </c>
      <c r="BF14" s="42">
        <v>344790</v>
      </c>
      <c r="BG14" s="42">
        <v>63400</v>
      </c>
      <c r="BH14" s="42">
        <v>1270228</v>
      </c>
      <c r="BI14" s="42">
        <v>59262.82</v>
      </c>
      <c r="BJ14" s="42">
        <v>70575</v>
      </c>
      <c r="BK14" s="42">
        <v>67497</v>
      </c>
      <c r="BL14" s="42">
        <v>69902</v>
      </c>
    </row>
    <row r="15" spans="1:64" ht="15" customHeight="1"/>
    <row r="16" spans="1:64"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8:28" ht="15" customHeight="1"/>
    <row r="34" spans="28:28" ht="15" customHeight="1"/>
    <row r="35" spans="28:28" ht="15" customHeight="1"/>
    <row r="36" spans="28:28" ht="15" customHeight="1">
      <c r="AB36" s="66"/>
    </row>
    <row r="37" spans="28:28" ht="15" customHeight="1">
      <c r="AB37" s="66"/>
    </row>
    <row r="38" spans="28:28" ht="15" customHeight="1">
      <c r="AB38" s="66"/>
    </row>
    <row r="39" spans="28:28" ht="15" customHeight="1">
      <c r="AB39" s="66"/>
    </row>
    <row r="40" spans="28:28" ht="15" customHeight="1">
      <c r="AB40" s="66"/>
    </row>
    <row r="41" spans="28:28" ht="15" customHeight="1">
      <c r="AB41" s="66"/>
    </row>
    <row r="42" spans="28:28" ht="15" customHeight="1">
      <c r="AB42" s="66"/>
    </row>
    <row r="43" spans="28:28" ht="15" customHeight="1">
      <c r="AB43" s="66"/>
    </row>
    <row r="44" spans="28:28" ht="15" customHeight="1">
      <c r="AB44" s="66"/>
    </row>
    <row r="45" spans="28:28" ht="15" customHeight="1">
      <c r="AB45" s="66"/>
    </row>
    <row r="46" spans="28:28" ht="15" customHeight="1">
      <c r="AB46" s="66"/>
    </row>
    <row r="47" spans="28:28" ht="15" customHeight="1">
      <c r="AB47" s="66"/>
    </row>
    <row r="48" spans="28:2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sheetData>
  <mergeCells count="4">
    <mergeCell ref="C1:C2"/>
    <mergeCell ref="D1:D2"/>
    <mergeCell ref="A1:A2"/>
    <mergeCell ref="B1:B2"/>
  </mergeCells>
  <conditionalFormatting sqref="C3:C14">
    <cfRule type="cellIs" dxfId="9" priority="1" operator="greaterThan">
      <formula>0.15</formula>
    </cfRule>
  </conditionalFormatting>
  <conditionalFormatting sqref="E3:BL14">
    <cfRule type="cellIs" dxfId="8" priority="2" operator="greaterThan">
      <formula>#REF!</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theme="4"/>
  </sheetPr>
  <dimension ref="A1:L13"/>
  <sheetViews>
    <sheetView workbookViewId="0">
      <selection sqref="A1:A2"/>
    </sheetView>
  </sheetViews>
  <sheetFormatPr defaultColWidth="11.42578125" defaultRowHeight="14.45"/>
  <cols>
    <col min="1" max="1" width="4.140625" bestFit="1" customWidth="1"/>
    <col min="2" max="2" width="20" bestFit="1" customWidth="1"/>
    <col min="3" max="3" width="27.28515625" customWidth="1"/>
  </cols>
  <sheetData>
    <row r="1" spans="1:12" ht="60">
      <c r="A1" s="73" t="s">
        <v>1</v>
      </c>
      <c r="B1" s="73" t="s">
        <v>347</v>
      </c>
      <c r="C1" s="73" t="s">
        <v>2</v>
      </c>
      <c r="D1" s="73" t="s">
        <v>4</v>
      </c>
      <c r="E1" s="68" t="s">
        <v>260</v>
      </c>
      <c r="F1" s="69" t="s">
        <v>10</v>
      </c>
      <c r="G1" s="78" t="s">
        <v>348</v>
      </c>
      <c r="H1" s="77" t="s">
        <v>349</v>
      </c>
      <c r="I1" s="78" t="s">
        <v>350</v>
      </c>
      <c r="J1" s="77" t="s">
        <v>351</v>
      </c>
      <c r="K1" s="78" t="s">
        <v>352</v>
      </c>
      <c r="L1" s="77" t="s">
        <v>353</v>
      </c>
    </row>
    <row r="2" spans="1:12">
      <c r="A2" s="44">
        <v>1</v>
      </c>
      <c r="B2" s="1" t="s">
        <v>323</v>
      </c>
      <c r="C2" s="44" t="s">
        <v>354</v>
      </c>
      <c r="D2" s="44" t="s">
        <v>355</v>
      </c>
      <c r="E2" s="70">
        <f t="shared" ref="E2:E13" si="0">STDEV(G2:L2)/AVERAGE(G2:L2)</f>
        <v>1.6154146449115738</v>
      </c>
      <c r="F2" s="71">
        <f t="shared" ref="F2:F13" si="1">ROUND(IF(E2&lt;=0.15,AVERAGE(G2:L2),MEDIAN(G2:L2)),0)</f>
        <v>1</v>
      </c>
      <c r="G2" s="74">
        <v>61966</v>
      </c>
      <c r="H2" s="75">
        <v>1</v>
      </c>
      <c r="I2" s="76">
        <v>1</v>
      </c>
      <c r="J2" s="76">
        <v>1</v>
      </c>
      <c r="K2" s="76">
        <v>1</v>
      </c>
      <c r="L2" s="76">
        <v>101399</v>
      </c>
    </row>
    <row r="3" spans="1:12">
      <c r="A3" s="44">
        <v>2</v>
      </c>
      <c r="B3" s="1" t="s">
        <v>325</v>
      </c>
      <c r="C3" s="44" t="s">
        <v>356</v>
      </c>
      <c r="D3" s="44" t="s">
        <v>355</v>
      </c>
      <c r="E3" s="70">
        <f t="shared" si="0"/>
        <v>1.6154570385004039</v>
      </c>
      <c r="F3" s="71">
        <f t="shared" si="1"/>
        <v>1</v>
      </c>
      <c r="G3" s="74">
        <v>230119</v>
      </c>
      <c r="H3" s="75">
        <v>1</v>
      </c>
      <c r="I3" s="76">
        <v>1</v>
      </c>
      <c r="J3" s="76">
        <v>1</v>
      </c>
      <c r="K3" s="76">
        <v>1</v>
      </c>
      <c r="L3" s="76">
        <v>376559</v>
      </c>
    </row>
    <row r="4" spans="1:12">
      <c r="A4" s="44">
        <v>3</v>
      </c>
      <c r="B4" s="1" t="s">
        <v>327</v>
      </c>
      <c r="C4" s="44" t="s">
        <v>357</v>
      </c>
      <c r="D4" s="44" t="s">
        <v>355</v>
      </c>
      <c r="E4" s="70">
        <f t="shared" si="0"/>
        <v>1.6153720296914542</v>
      </c>
      <c r="F4" s="71">
        <f t="shared" si="1"/>
        <v>1</v>
      </c>
      <c r="G4" s="74">
        <v>34468</v>
      </c>
      <c r="H4" s="75">
        <v>1</v>
      </c>
      <c r="I4" s="76">
        <v>1</v>
      </c>
      <c r="J4" s="76">
        <v>1</v>
      </c>
      <c r="K4" s="76">
        <v>1</v>
      </c>
      <c r="L4" s="76">
        <v>56403</v>
      </c>
    </row>
    <row r="5" spans="1:12">
      <c r="A5" s="44">
        <v>4</v>
      </c>
      <c r="B5" s="1" t="s">
        <v>329</v>
      </c>
      <c r="C5" s="44" t="s">
        <v>358</v>
      </c>
      <c r="D5" s="44" t="s">
        <v>355</v>
      </c>
      <c r="E5" s="70">
        <f t="shared" si="0"/>
        <v>1.6153505718322132</v>
      </c>
      <c r="F5" s="71">
        <f t="shared" si="1"/>
        <v>1</v>
      </c>
      <c r="G5" s="74">
        <v>27227</v>
      </c>
      <c r="H5" s="75">
        <v>1</v>
      </c>
      <c r="I5" s="76">
        <v>1</v>
      </c>
      <c r="J5" s="76">
        <v>1</v>
      </c>
      <c r="K5" s="76">
        <v>1</v>
      </c>
      <c r="L5" s="76">
        <v>44555</v>
      </c>
    </row>
    <row r="6" spans="1:12">
      <c r="A6" s="44">
        <v>5</v>
      </c>
      <c r="B6" s="1" t="s">
        <v>337</v>
      </c>
      <c r="C6" s="44" t="s">
        <v>359</v>
      </c>
      <c r="D6" s="44" t="s">
        <v>355</v>
      </c>
      <c r="E6" s="70">
        <f t="shared" si="0"/>
        <v>1.6153615078362542</v>
      </c>
      <c r="F6" s="71">
        <f t="shared" si="1"/>
        <v>1</v>
      </c>
      <c r="G6" s="74">
        <v>30427</v>
      </c>
      <c r="H6" s="75">
        <v>1</v>
      </c>
      <c r="I6" s="76">
        <v>1</v>
      </c>
      <c r="J6" s="76">
        <v>1</v>
      </c>
      <c r="K6" s="76">
        <v>1</v>
      </c>
      <c r="L6" s="76">
        <v>49791</v>
      </c>
    </row>
    <row r="7" spans="1:12">
      <c r="A7" s="44">
        <v>6</v>
      </c>
      <c r="B7" s="1" t="s">
        <v>331</v>
      </c>
      <c r="C7" s="44" t="s">
        <v>360</v>
      </c>
      <c r="D7" s="44" t="s">
        <v>355</v>
      </c>
      <c r="E7" s="70">
        <f t="shared" si="0"/>
        <v>1.6154496350858336</v>
      </c>
      <c r="F7" s="71">
        <f t="shared" si="1"/>
        <v>1</v>
      </c>
      <c r="G7" s="74">
        <v>146984</v>
      </c>
      <c r="H7" s="75">
        <v>1</v>
      </c>
      <c r="I7" s="76">
        <v>1</v>
      </c>
      <c r="J7" s="76">
        <v>1</v>
      </c>
      <c r="K7" s="76">
        <v>1</v>
      </c>
      <c r="L7" s="76">
        <v>240521</v>
      </c>
    </row>
    <row r="8" spans="1:12">
      <c r="A8" s="44">
        <v>7</v>
      </c>
      <c r="B8" s="1" t="s">
        <v>333</v>
      </c>
      <c r="C8" s="44" t="s">
        <v>361</v>
      </c>
      <c r="D8" s="44" t="s">
        <v>355</v>
      </c>
      <c r="E8" s="70">
        <f t="shared" si="0"/>
        <v>1.6154436234795038</v>
      </c>
      <c r="F8" s="71">
        <f t="shared" si="1"/>
        <v>1</v>
      </c>
      <c r="G8" s="74">
        <v>120950</v>
      </c>
      <c r="H8" s="75">
        <v>1</v>
      </c>
      <c r="I8" s="76">
        <v>1</v>
      </c>
      <c r="J8" s="76">
        <v>1</v>
      </c>
      <c r="K8" s="76">
        <v>1</v>
      </c>
      <c r="L8" s="76">
        <v>197919</v>
      </c>
    </row>
    <row r="9" spans="1:12">
      <c r="A9" s="44">
        <v>8</v>
      </c>
      <c r="B9" s="1" t="s">
        <v>335</v>
      </c>
      <c r="C9" s="44" t="s">
        <v>362</v>
      </c>
      <c r="D9" s="44" t="s">
        <v>355</v>
      </c>
      <c r="E9" s="70">
        <f t="shared" si="0"/>
        <v>1.6154255413212075</v>
      </c>
      <c r="F9" s="71">
        <f t="shared" si="1"/>
        <v>1</v>
      </c>
      <c r="G9" s="74">
        <v>71922</v>
      </c>
      <c r="H9" s="75">
        <v>1</v>
      </c>
      <c r="I9" s="76">
        <v>1</v>
      </c>
      <c r="J9" s="76">
        <v>1</v>
      </c>
      <c r="K9" s="76">
        <v>1</v>
      </c>
      <c r="L9" s="76">
        <v>117692</v>
      </c>
    </row>
    <row r="10" spans="1:12">
      <c r="A10" s="44">
        <v>9</v>
      </c>
      <c r="B10" s="1" t="s">
        <v>339</v>
      </c>
      <c r="C10" s="44" t="s">
        <v>363</v>
      </c>
      <c r="D10" s="44" t="s">
        <v>355</v>
      </c>
      <c r="E10" s="70">
        <f t="shared" si="0"/>
        <v>1.6153956044100442</v>
      </c>
      <c r="F10" s="71">
        <f t="shared" si="1"/>
        <v>1</v>
      </c>
      <c r="G10" s="74">
        <v>44899</v>
      </c>
      <c r="H10" s="75">
        <v>1</v>
      </c>
      <c r="I10" s="76">
        <v>1</v>
      </c>
      <c r="J10" s="76">
        <v>1</v>
      </c>
      <c r="K10" s="76">
        <v>1</v>
      </c>
      <c r="L10" s="76">
        <v>73472</v>
      </c>
    </row>
    <row r="11" spans="1:12">
      <c r="A11" s="44">
        <v>10</v>
      </c>
      <c r="B11" s="1" t="s">
        <v>341</v>
      </c>
      <c r="C11" s="44" t="s">
        <v>364</v>
      </c>
      <c r="D11" s="44" t="s">
        <v>355</v>
      </c>
      <c r="E11" s="70">
        <f t="shared" si="0"/>
        <v>1.6154663904427837</v>
      </c>
      <c r="F11" s="71">
        <f t="shared" si="1"/>
        <v>1</v>
      </c>
      <c r="G11" s="74">
        <v>593417</v>
      </c>
      <c r="H11" s="75">
        <v>1</v>
      </c>
      <c r="I11" s="76">
        <v>1</v>
      </c>
      <c r="J11" s="76">
        <v>1</v>
      </c>
      <c r="K11" s="76">
        <v>1</v>
      </c>
      <c r="L11" s="76">
        <v>971047</v>
      </c>
    </row>
    <row r="12" spans="1:12">
      <c r="A12" s="44">
        <v>11</v>
      </c>
      <c r="B12" s="1" t="s">
        <v>343</v>
      </c>
      <c r="C12" s="44" t="s">
        <v>365</v>
      </c>
      <c r="D12" s="44" t="s">
        <v>355</v>
      </c>
      <c r="E12" s="70">
        <f t="shared" si="0"/>
        <v>1.6154642784151885</v>
      </c>
      <c r="F12" s="71">
        <f t="shared" si="1"/>
        <v>1</v>
      </c>
      <c r="G12" s="74">
        <v>427241</v>
      </c>
      <c r="H12" s="75">
        <v>1</v>
      </c>
      <c r="I12" s="76">
        <v>1</v>
      </c>
      <c r="J12" s="76">
        <v>1</v>
      </c>
      <c r="K12" s="76">
        <v>1</v>
      </c>
      <c r="L12" s="76">
        <v>699123</v>
      </c>
    </row>
    <row r="13" spans="1:12">
      <c r="A13" s="44">
        <v>12</v>
      </c>
      <c r="B13" s="1" t="s">
        <v>345</v>
      </c>
      <c r="C13" s="44" t="s">
        <v>366</v>
      </c>
      <c r="D13" s="44" t="s">
        <v>355</v>
      </c>
      <c r="E13" s="70">
        <f t="shared" si="0"/>
        <v>1.6153842676391237</v>
      </c>
      <c r="F13" s="71">
        <f t="shared" si="1"/>
        <v>1</v>
      </c>
      <c r="G13" s="74">
        <v>38627</v>
      </c>
      <c r="H13" s="75">
        <v>1</v>
      </c>
      <c r="I13" s="76">
        <v>1</v>
      </c>
      <c r="J13" s="76">
        <v>1</v>
      </c>
      <c r="K13" s="76">
        <v>1</v>
      </c>
      <c r="L13" s="76">
        <v>63209</v>
      </c>
    </row>
  </sheetData>
  <conditionalFormatting sqref="E2:E13">
    <cfRule type="cellIs" dxfId="7" priority="1" operator="greaterThan">
      <formula>0.15</formula>
    </cfRule>
  </conditionalFormatting>
  <conditionalFormatting sqref="G2:L13">
    <cfRule type="cellIs" dxfId="6" priority="241" stopIfTrue="1" operator="greaterThan">
      <formula>$G2</formula>
    </cfRule>
    <cfRule type="cellIs" dxfId="5" priority="242" operator="lessThan">
      <formula>#REF!</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3">
    <tabColor theme="4"/>
  </sheetPr>
  <dimension ref="B2:AQ54"/>
  <sheetViews>
    <sheetView showGridLines="0" zoomScaleNormal="100" workbookViewId="0">
      <selection sqref="A1:A2"/>
    </sheetView>
  </sheetViews>
  <sheetFormatPr defaultColWidth="11.42578125" defaultRowHeight="14.45"/>
  <cols>
    <col min="1" max="1" width="5.5703125" customWidth="1"/>
    <col min="2" max="2" width="7.85546875" customWidth="1"/>
    <col min="3" max="3" width="23.28515625" customWidth="1"/>
    <col min="4" max="4" width="32.28515625" customWidth="1"/>
    <col min="5" max="5" width="33.7109375" customWidth="1"/>
    <col min="6" max="6" width="8.5703125" customWidth="1"/>
    <col min="7" max="7" width="11.42578125" customWidth="1"/>
    <col min="8" max="8" width="14" bestFit="1" customWidth="1"/>
    <col min="9" max="9" width="14" customWidth="1"/>
    <col min="10" max="10" width="14.85546875" customWidth="1"/>
    <col min="11" max="15" width="14.42578125" customWidth="1"/>
    <col min="16" max="16" width="14.140625" customWidth="1"/>
    <col min="17" max="18" width="13.85546875" customWidth="1"/>
    <col min="19" max="19" width="14.28515625" customWidth="1"/>
    <col min="20" max="20" width="16" bestFit="1" customWidth="1"/>
    <col min="21" max="21" width="16.140625" bestFit="1" customWidth="1"/>
    <col min="22" max="22" width="11.42578125" customWidth="1"/>
    <col min="23" max="23" width="13.140625" bestFit="1" customWidth="1"/>
    <col min="24" max="25" width="11.42578125" customWidth="1"/>
    <col min="26" max="26" width="8" customWidth="1"/>
  </cols>
  <sheetData>
    <row r="2" spans="2:27" ht="18">
      <c r="B2" s="598" t="e" cm="1">
        <f t="array" aca="1" ref="B2" ca="1">"RESUMEN COTIZACIONES DE PRECIOS - "&amp;MID(CELL("FILENAME",A1),FIND("[",CELL("FILENAME",A1))+1,FIND("]",CELL("FILENAME",A1))-FIND("[",CELL("FILENAME",A1))-6)</f>
        <v>#VALUE!</v>
      </c>
      <c r="C2" s="598"/>
      <c r="D2" s="598"/>
      <c r="E2" s="598"/>
      <c r="F2" s="598"/>
      <c r="G2" s="598"/>
      <c r="H2" s="598"/>
      <c r="I2" s="598"/>
      <c r="J2" s="598"/>
      <c r="K2" s="598"/>
      <c r="L2" s="598"/>
      <c r="M2" s="598"/>
      <c r="N2" s="598"/>
      <c r="O2" s="598"/>
      <c r="P2" s="598"/>
      <c r="Q2" s="598"/>
      <c r="R2" s="598"/>
      <c r="S2" s="598"/>
      <c r="T2" s="598"/>
      <c r="U2" s="598"/>
      <c r="V2" s="598"/>
      <c r="W2" s="598"/>
      <c r="X2" s="598"/>
    </row>
    <row r="3" spans="2:27" ht="57.75" customHeight="1" thickBot="1">
      <c r="H3" s="13" t="s">
        <v>367</v>
      </c>
      <c r="I3" s="13" t="s">
        <v>368</v>
      </c>
      <c r="J3" s="13" t="s">
        <v>369</v>
      </c>
      <c r="K3" s="13" t="s">
        <v>370</v>
      </c>
      <c r="L3" s="13" t="s">
        <v>371</v>
      </c>
      <c r="M3" s="13" t="s">
        <v>372</v>
      </c>
      <c r="N3" s="13" t="s">
        <v>373</v>
      </c>
      <c r="O3" s="13" t="s">
        <v>374</v>
      </c>
      <c r="P3" s="13"/>
      <c r="Q3" s="13"/>
      <c r="R3" s="13"/>
      <c r="S3" s="13"/>
    </row>
    <row r="4" spans="2:27" ht="26.45">
      <c r="B4" s="25" t="s">
        <v>1</v>
      </c>
      <c r="C4" s="26" t="s">
        <v>2</v>
      </c>
      <c r="D4" s="26" t="s">
        <v>3</v>
      </c>
      <c r="E4" s="26" t="s">
        <v>375</v>
      </c>
      <c r="F4" s="26" t="s">
        <v>4</v>
      </c>
      <c r="G4" s="26" t="s">
        <v>5</v>
      </c>
      <c r="H4" s="27" t="s">
        <v>6</v>
      </c>
      <c r="I4" s="27" t="s">
        <v>7</v>
      </c>
      <c r="J4" s="27" t="s">
        <v>8</v>
      </c>
      <c r="K4" s="27" t="s">
        <v>9</v>
      </c>
      <c r="L4" s="27" t="s">
        <v>376</v>
      </c>
      <c r="M4" s="27" t="s">
        <v>377</v>
      </c>
      <c r="N4" s="27" t="s">
        <v>378</v>
      </c>
      <c r="O4" s="27" t="s">
        <v>379</v>
      </c>
      <c r="P4" s="27" t="s">
        <v>380</v>
      </c>
      <c r="Q4" s="27" t="s">
        <v>381</v>
      </c>
      <c r="R4" s="27" t="s">
        <v>382</v>
      </c>
      <c r="S4" s="27" t="s">
        <v>383</v>
      </c>
      <c r="T4" s="28" t="s">
        <v>10</v>
      </c>
      <c r="U4" s="28" t="s">
        <v>11</v>
      </c>
      <c r="V4" s="29" t="s">
        <v>12</v>
      </c>
      <c r="W4" s="29" t="s">
        <v>13</v>
      </c>
      <c r="X4" s="30" t="s">
        <v>14</v>
      </c>
      <c r="Z4" s="57" t="s">
        <v>15</v>
      </c>
      <c r="AA4" s="57" t="s">
        <v>16</v>
      </c>
    </row>
    <row r="5" spans="2:27" ht="20.45">
      <c r="B5" s="31">
        <v>1</v>
      </c>
      <c r="C5" s="20" t="s">
        <v>209</v>
      </c>
      <c r="D5" s="20" t="s">
        <v>384</v>
      </c>
      <c r="E5" s="20" t="s">
        <v>385</v>
      </c>
      <c r="F5" s="21" t="s">
        <v>19</v>
      </c>
      <c r="G5" s="21">
        <v>1</v>
      </c>
      <c r="H5" s="33" t="s">
        <v>386</v>
      </c>
      <c r="I5" s="33" t="s">
        <v>387</v>
      </c>
      <c r="J5" s="33" t="s">
        <v>388</v>
      </c>
      <c r="K5" s="45" t="s">
        <v>389</v>
      </c>
      <c r="L5" s="33" t="s">
        <v>390</v>
      </c>
      <c r="M5" s="17">
        <f>TalentoHumano_2022!I22</f>
        <v>9684576</v>
      </c>
      <c r="N5" s="17"/>
      <c r="O5" s="17"/>
      <c r="P5" s="17"/>
      <c r="Q5" s="17"/>
      <c r="R5" s="17"/>
      <c r="S5" s="17"/>
      <c r="T5" s="17">
        <f t="shared" ref="T5:T19" si="0">IFERROR(IF(X5&gt;(0.15),ROUND(MEDIAN(H5:S5),0),ROUND(AVERAGE(H5:S5),0)),"")</f>
        <v>9684576</v>
      </c>
      <c r="U5" s="18">
        <f t="shared" ref="U5:U19" si="1">IFERROR(T5*G5,"")</f>
        <v>9684576</v>
      </c>
      <c r="V5" s="18" t="s">
        <v>391</v>
      </c>
      <c r="W5" s="17" t="str">
        <f t="shared" ref="W5:W19" si="2">IFERROR(STDEV(H5:S5),"")</f>
        <v/>
      </c>
      <c r="X5" s="32" t="str">
        <f t="shared" ref="X5:X19" si="3">IFERROR(W5/AVERAGE(H5:S5),"")</f>
        <v/>
      </c>
      <c r="Z5" s="58">
        <f>COUNTIF(H5:S5,"&gt;0")</f>
        <v>1</v>
      </c>
      <c r="AA5" s="1"/>
    </row>
    <row r="6" spans="2:27" ht="20.45">
      <c r="B6" s="31">
        <v>2</v>
      </c>
      <c r="C6" s="20" t="s">
        <v>211</v>
      </c>
      <c r="D6" s="20" t="s">
        <v>392</v>
      </c>
      <c r="E6" s="20" t="s">
        <v>385</v>
      </c>
      <c r="F6" s="21" t="s">
        <v>19</v>
      </c>
      <c r="G6" s="21">
        <v>1</v>
      </c>
      <c r="H6" s="33" t="s">
        <v>393</v>
      </c>
      <c r="I6" s="45" t="s">
        <v>394</v>
      </c>
      <c r="J6" s="45" t="s">
        <v>394</v>
      </c>
      <c r="K6" s="33" t="s">
        <v>395</v>
      </c>
      <c r="L6" s="33" t="s">
        <v>396</v>
      </c>
      <c r="M6" s="17">
        <f>TalentoHumano_2022!I23</f>
        <v>1927273.54428</v>
      </c>
      <c r="N6" s="17"/>
      <c r="O6" s="17"/>
      <c r="P6" s="17"/>
      <c r="Q6" s="17"/>
      <c r="R6" s="17"/>
      <c r="S6" s="17"/>
      <c r="T6" s="17">
        <f t="shared" si="0"/>
        <v>1927274</v>
      </c>
      <c r="U6" s="18">
        <f t="shared" si="1"/>
        <v>1927274</v>
      </c>
      <c r="V6" s="18" t="s">
        <v>391</v>
      </c>
      <c r="W6" s="17" t="str">
        <f t="shared" si="2"/>
        <v/>
      </c>
      <c r="X6" s="32" t="str">
        <f t="shared" si="3"/>
        <v/>
      </c>
      <c r="Z6" s="58">
        <f t="shared" ref="Z6:Z19" si="4">COUNTIF(H6:S6,"&gt;0")</f>
        <v>1</v>
      </c>
      <c r="AA6" s="1"/>
    </row>
    <row r="7" spans="2:27" ht="20.45">
      <c r="B7" s="31">
        <v>3</v>
      </c>
      <c r="C7" s="20" t="s">
        <v>213</v>
      </c>
      <c r="D7" s="20" t="s">
        <v>397</v>
      </c>
      <c r="E7" s="20" t="s">
        <v>385</v>
      </c>
      <c r="F7" s="21" t="s">
        <v>19</v>
      </c>
      <c r="G7" s="21">
        <v>1</v>
      </c>
      <c r="H7" s="33" t="s">
        <v>398</v>
      </c>
      <c r="I7" s="45" t="s">
        <v>399</v>
      </c>
      <c r="J7" s="45" t="s">
        <v>399</v>
      </c>
      <c r="K7" s="33" t="s">
        <v>400</v>
      </c>
      <c r="L7" s="33" t="s">
        <v>401</v>
      </c>
      <c r="M7" s="17">
        <f>TalentoHumano_2022!I24</f>
        <v>2312728.4732400002</v>
      </c>
      <c r="N7" s="17"/>
      <c r="O7" s="17"/>
      <c r="P7" s="17"/>
      <c r="Q7" s="17"/>
      <c r="R7" s="17"/>
      <c r="S7" s="17"/>
      <c r="T7" s="17">
        <f t="shared" si="0"/>
        <v>2312728</v>
      </c>
      <c r="U7" s="18">
        <f t="shared" si="1"/>
        <v>2312728</v>
      </c>
      <c r="V7" s="18" t="s">
        <v>391</v>
      </c>
      <c r="W7" s="17" t="str">
        <f t="shared" si="2"/>
        <v/>
      </c>
      <c r="X7" s="32" t="str">
        <f t="shared" si="3"/>
        <v/>
      </c>
      <c r="Z7" s="58">
        <f t="shared" si="4"/>
        <v>1</v>
      </c>
      <c r="AA7" s="1"/>
    </row>
    <row r="8" spans="2:27" ht="20.45">
      <c r="B8" s="31">
        <v>4</v>
      </c>
      <c r="C8" s="20" t="s">
        <v>323</v>
      </c>
      <c r="D8" s="20" t="s">
        <v>402</v>
      </c>
      <c r="E8" s="20" t="s">
        <v>403</v>
      </c>
      <c r="F8" s="21" t="s">
        <v>19</v>
      </c>
      <c r="G8" s="21">
        <v>1</v>
      </c>
      <c r="H8" s="17">
        <v>100000</v>
      </c>
      <c r="I8" s="17">
        <v>145031</v>
      </c>
      <c r="J8" s="17">
        <v>112500</v>
      </c>
      <c r="K8" s="17">
        <v>112832</v>
      </c>
      <c r="L8" s="17"/>
      <c r="M8" s="17"/>
      <c r="N8" s="17">
        <f>'EstudioMercado 2021'!K6</f>
        <v>150695</v>
      </c>
      <c r="O8" s="17">
        <f>SeguridadScanner!C5</f>
        <v>90417</v>
      </c>
      <c r="P8" s="17"/>
      <c r="Q8" s="17"/>
      <c r="R8" s="17"/>
      <c r="S8" s="17"/>
      <c r="T8" s="17">
        <f t="shared" si="0"/>
        <v>112666</v>
      </c>
      <c r="U8" s="18">
        <f t="shared" si="1"/>
        <v>112666</v>
      </c>
      <c r="V8" s="18" t="s">
        <v>404</v>
      </c>
      <c r="W8" s="17">
        <f t="shared" si="2"/>
        <v>24246.259484024864</v>
      </c>
      <c r="X8" s="32">
        <f t="shared" si="3"/>
        <v>0.2044731816355447</v>
      </c>
      <c r="Z8" s="58">
        <f t="shared" si="4"/>
        <v>6</v>
      </c>
      <c r="AA8" s="59">
        <f>1-(MIN(H8:S8)/T8)</f>
        <v>0.19747749986686314</v>
      </c>
    </row>
    <row r="9" spans="2:27" ht="40.9">
      <c r="B9" s="31">
        <v>5</v>
      </c>
      <c r="C9" s="20" t="s">
        <v>325</v>
      </c>
      <c r="D9" s="20" t="s">
        <v>405</v>
      </c>
      <c r="E9" s="20" t="s">
        <v>406</v>
      </c>
      <c r="F9" s="21" t="s">
        <v>19</v>
      </c>
      <c r="G9" s="21">
        <v>1</v>
      </c>
      <c r="H9" s="17">
        <v>100000</v>
      </c>
      <c r="I9" s="17">
        <v>597528</v>
      </c>
      <c r="J9" s="17">
        <v>231250</v>
      </c>
      <c r="K9" s="17">
        <v>239269</v>
      </c>
      <c r="L9" s="17"/>
      <c r="M9" s="17"/>
      <c r="N9" s="17">
        <f>'EstudioMercado 2021'!K7</f>
        <v>1019576</v>
      </c>
      <c r="O9" s="17">
        <f>SeguridadScanner!C6</f>
        <v>611745</v>
      </c>
      <c r="P9" s="17"/>
      <c r="Q9" s="17"/>
      <c r="R9" s="17"/>
      <c r="S9" s="17"/>
      <c r="T9" s="17">
        <f t="shared" si="0"/>
        <v>418399</v>
      </c>
      <c r="U9" s="18">
        <f t="shared" si="1"/>
        <v>418399</v>
      </c>
      <c r="V9" s="18" t="s">
        <v>404</v>
      </c>
      <c r="W9" s="17">
        <f t="shared" si="2"/>
        <v>342185.98038941727</v>
      </c>
      <c r="X9" s="32">
        <f t="shared" si="3"/>
        <v>0.73342121590891363</v>
      </c>
      <c r="Z9" s="58">
        <f t="shared" si="4"/>
        <v>6</v>
      </c>
      <c r="AA9" s="59">
        <f t="shared" ref="AA9:AA19" si="5">1-(MIN(H9:S9)/T9)</f>
        <v>0.76099369262354832</v>
      </c>
    </row>
    <row r="10" spans="2:27" ht="30.6">
      <c r="B10" s="31">
        <v>6</v>
      </c>
      <c r="C10" s="20" t="s">
        <v>327</v>
      </c>
      <c r="D10" s="20" t="s">
        <v>407</v>
      </c>
      <c r="E10" s="20" t="s">
        <v>408</v>
      </c>
      <c r="F10" s="21" t="s">
        <v>19</v>
      </c>
      <c r="G10" s="21">
        <v>1</v>
      </c>
      <c r="H10" s="17">
        <v>30000</v>
      </c>
      <c r="I10" s="17">
        <v>76384</v>
      </c>
      <c r="J10" s="17">
        <v>33750</v>
      </c>
      <c r="K10" s="17">
        <v>52062</v>
      </c>
      <c r="L10" s="17"/>
      <c r="M10" s="17"/>
      <c r="N10" s="17">
        <f>'EstudioMercado 2021'!K8</f>
        <v>122130</v>
      </c>
      <c r="O10" s="17">
        <f>SeguridadScanner!C7</f>
        <v>73278</v>
      </c>
      <c r="P10" s="17"/>
      <c r="Q10" s="17"/>
      <c r="R10" s="17"/>
      <c r="S10" s="17"/>
      <c r="T10" s="17">
        <f t="shared" si="0"/>
        <v>62670</v>
      </c>
      <c r="U10" s="18">
        <f t="shared" si="1"/>
        <v>62670</v>
      </c>
      <c r="V10" s="18" t="s">
        <v>404</v>
      </c>
      <c r="W10" s="17">
        <f t="shared" si="2"/>
        <v>34146.610904549023</v>
      </c>
      <c r="X10" s="32">
        <f t="shared" si="3"/>
        <v>0.52857985321950796</v>
      </c>
      <c r="Z10" s="58">
        <f t="shared" si="4"/>
        <v>6</v>
      </c>
      <c r="AA10" s="59">
        <f t="shared" si="5"/>
        <v>0.52130205840114885</v>
      </c>
    </row>
    <row r="11" spans="2:27" ht="30.6">
      <c r="B11" s="31">
        <v>7</v>
      </c>
      <c r="C11" s="20" t="s">
        <v>329</v>
      </c>
      <c r="D11" s="20" t="s">
        <v>409</v>
      </c>
      <c r="E11" s="20" t="s">
        <v>410</v>
      </c>
      <c r="F11" s="21" t="s">
        <v>19</v>
      </c>
      <c r="G11" s="21">
        <v>1</v>
      </c>
      <c r="H11" s="17">
        <v>30000</v>
      </c>
      <c r="I11" s="17">
        <v>46947</v>
      </c>
      <c r="J11" s="17">
        <v>25000</v>
      </c>
      <c r="K11" s="17">
        <v>52062</v>
      </c>
      <c r="L11" s="17"/>
      <c r="M11" s="17"/>
      <c r="N11" s="17">
        <f>'EstudioMercado 2021'!K9</f>
        <v>270859</v>
      </c>
      <c r="O11" s="17">
        <f>SeguridadScanner!C8</f>
        <v>162515</v>
      </c>
      <c r="P11" s="17"/>
      <c r="Q11" s="17"/>
      <c r="R11" s="17"/>
      <c r="S11" s="17"/>
      <c r="T11" s="17">
        <f t="shared" si="0"/>
        <v>49505</v>
      </c>
      <c r="U11" s="18">
        <f t="shared" si="1"/>
        <v>49505</v>
      </c>
      <c r="V11" s="18" t="s">
        <v>404</v>
      </c>
      <c r="W11" s="17">
        <f t="shared" si="2"/>
        <v>98703.661847809213</v>
      </c>
      <c r="X11" s="32">
        <f t="shared" si="3"/>
        <v>1.0082381871570258</v>
      </c>
      <c r="Z11" s="58">
        <f t="shared" si="4"/>
        <v>6</v>
      </c>
      <c r="AA11" s="59">
        <f t="shared" si="5"/>
        <v>0.49500050499949499</v>
      </c>
    </row>
    <row r="12" spans="2:27" ht="51">
      <c r="B12" s="31">
        <v>8</v>
      </c>
      <c r="C12" s="20" t="s">
        <v>337</v>
      </c>
      <c r="D12" s="20" t="s">
        <v>411</v>
      </c>
      <c r="E12" s="20" t="s">
        <v>412</v>
      </c>
      <c r="F12" s="21" t="s">
        <v>19</v>
      </c>
      <c r="G12" s="21">
        <v>1</v>
      </c>
      <c r="H12" s="17">
        <v>50000</v>
      </c>
      <c r="I12" s="17">
        <v>85504</v>
      </c>
      <c r="J12" s="17">
        <v>56250</v>
      </c>
      <c r="K12" s="17">
        <v>55037</v>
      </c>
      <c r="L12" s="17"/>
      <c r="M12" s="17"/>
      <c r="N12" s="17">
        <f>'EstudioMercado 2021'!K13</f>
        <v>55608</v>
      </c>
      <c r="O12" s="17">
        <f>SeguridadScanner!C12</f>
        <v>33365</v>
      </c>
      <c r="P12" s="17"/>
      <c r="Q12" s="17"/>
      <c r="R12" s="17"/>
      <c r="S12" s="17"/>
      <c r="T12" s="17">
        <f t="shared" si="0"/>
        <v>55323</v>
      </c>
      <c r="U12" s="18">
        <f t="shared" si="1"/>
        <v>55323</v>
      </c>
      <c r="V12" s="18" t="s">
        <v>404</v>
      </c>
      <c r="W12" s="17">
        <f t="shared" si="2"/>
        <v>16852.082905880401</v>
      </c>
      <c r="X12" s="32">
        <f t="shared" si="3"/>
        <v>0.30114156799204922</v>
      </c>
      <c r="Z12" s="58">
        <f t="shared" si="4"/>
        <v>6</v>
      </c>
      <c r="AA12" s="59">
        <f t="shared" si="5"/>
        <v>0.3969054461977839</v>
      </c>
    </row>
    <row r="13" spans="2:27" ht="112.15">
      <c r="B13" s="31">
        <v>9</v>
      </c>
      <c r="C13" s="20" t="s">
        <v>331</v>
      </c>
      <c r="D13" s="20" t="s">
        <v>413</v>
      </c>
      <c r="E13" s="20" t="s">
        <v>414</v>
      </c>
      <c r="F13" s="21" t="s">
        <v>19</v>
      </c>
      <c r="G13" s="21">
        <v>1</v>
      </c>
      <c r="H13" s="17">
        <v>100000</v>
      </c>
      <c r="I13" s="17">
        <v>933815</v>
      </c>
      <c r="J13" s="17">
        <v>231250</v>
      </c>
      <c r="K13" s="17">
        <v>96687</v>
      </c>
      <c r="L13" s="17"/>
      <c r="M13" s="17"/>
      <c r="N13" s="17">
        <f>'EstudioMercado 2021'!K10</f>
        <v>505400</v>
      </c>
      <c r="O13" s="17">
        <f>SeguridadScanner!C9</f>
        <v>303240</v>
      </c>
      <c r="P13" s="17"/>
      <c r="Q13" s="17"/>
      <c r="R13" s="17"/>
      <c r="S13" s="17"/>
      <c r="T13" s="17">
        <f t="shared" si="0"/>
        <v>267245</v>
      </c>
      <c r="U13" s="18">
        <f t="shared" si="1"/>
        <v>267245</v>
      </c>
      <c r="V13" s="18" t="s">
        <v>404</v>
      </c>
      <c r="W13" s="17">
        <f t="shared" si="2"/>
        <v>318470.97555350314</v>
      </c>
      <c r="X13" s="32">
        <f t="shared" si="3"/>
        <v>0.88040586830444401</v>
      </c>
      <c r="Z13" s="58">
        <f t="shared" si="4"/>
        <v>6</v>
      </c>
      <c r="AA13" s="59">
        <f t="shared" si="5"/>
        <v>0.63820838556380854</v>
      </c>
    </row>
    <row r="14" spans="2:27" ht="71.45">
      <c r="B14" s="31">
        <v>10</v>
      </c>
      <c r="C14" s="20" t="s">
        <v>333</v>
      </c>
      <c r="D14" s="20" t="s">
        <v>415</v>
      </c>
      <c r="E14" s="20" t="s">
        <v>416</v>
      </c>
      <c r="F14" s="21" t="s">
        <v>19</v>
      </c>
      <c r="G14" s="21">
        <v>1</v>
      </c>
      <c r="H14" s="17">
        <v>30000</v>
      </c>
      <c r="I14" s="17">
        <v>388683</v>
      </c>
      <c r="J14" s="17">
        <v>92500</v>
      </c>
      <c r="K14" s="17">
        <v>119000</v>
      </c>
      <c r="L14" s="17"/>
      <c r="M14" s="17"/>
      <c r="N14" s="17">
        <f>'EstudioMercado 2021'!K11</f>
        <v>534700</v>
      </c>
      <c r="O14" s="17">
        <f>SeguridadScanner!C10</f>
        <v>320820</v>
      </c>
      <c r="P14" s="17"/>
      <c r="Q14" s="17"/>
      <c r="R14" s="17"/>
      <c r="S14" s="17"/>
      <c r="T14" s="17">
        <f t="shared" si="0"/>
        <v>219910</v>
      </c>
      <c r="U14" s="18">
        <f t="shared" si="1"/>
        <v>219910</v>
      </c>
      <c r="V14" s="18" t="s">
        <v>404</v>
      </c>
      <c r="W14" s="17">
        <f t="shared" si="2"/>
        <v>197805.82373673093</v>
      </c>
      <c r="X14" s="32">
        <f t="shared" si="3"/>
        <v>0.79883727933536219</v>
      </c>
      <c r="Z14" s="58">
        <f t="shared" si="4"/>
        <v>6</v>
      </c>
      <c r="AA14" s="59">
        <f t="shared" si="5"/>
        <v>0.86358055568186987</v>
      </c>
    </row>
    <row r="15" spans="2:27" ht="122.45">
      <c r="B15" s="31">
        <v>11</v>
      </c>
      <c r="C15" s="20" t="s">
        <v>335</v>
      </c>
      <c r="D15" s="20" t="s">
        <v>417</v>
      </c>
      <c r="E15" s="20" t="s">
        <v>418</v>
      </c>
      <c r="F15" s="21" t="s">
        <v>19</v>
      </c>
      <c r="G15" s="21">
        <v>1</v>
      </c>
      <c r="H15" s="17">
        <v>50000</v>
      </c>
      <c r="I15" s="17">
        <v>174037</v>
      </c>
      <c r="J15" s="17">
        <v>87500</v>
      </c>
      <c r="K15" s="17">
        <v>66937</v>
      </c>
      <c r="L15" s="17"/>
      <c r="M15" s="17"/>
      <c r="N15" s="17">
        <f>'EstudioMercado 2021'!K12</f>
        <v>348977</v>
      </c>
      <c r="O15" s="17">
        <f>SeguridadScanner!C11</f>
        <v>209386</v>
      </c>
      <c r="P15" s="17"/>
      <c r="Q15" s="17"/>
      <c r="R15" s="17"/>
      <c r="S15" s="17"/>
      <c r="T15" s="17">
        <f t="shared" si="0"/>
        <v>130769</v>
      </c>
      <c r="U15" s="18">
        <f t="shared" si="1"/>
        <v>130769</v>
      </c>
      <c r="V15" s="18" t="s">
        <v>404</v>
      </c>
      <c r="W15" s="17">
        <f t="shared" si="2"/>
        <v>113380.66157991847</v>
      </c>
      <c r="X15" s="32">
        <f t="shared" si="3"/>
        <v>0.72614976722686098</v>
      </c>
      <c r="Z15" s="58">
        <f t="shared" si="4"/>
        <v>6</v>
      </c>
      <c r="AA15" s="59">
        <f t="shared" si="5"/>
        <v>0.61764638408185424</v>
      </c>
    </row>
    <row r="16" spans="2:27" ht="112.15">
      <c r="B16" s="31">
        <v>12</v>
      </c>
      <c r="C16" s="20" t="s">
        <v>339</v>
      </c>
      <c r="D16" s="20" t="s">
        <v>419</v>
      </c>
      <c r="E16" s="20" t="s">
        <v>420</v>
      </c>
      <c r="F16" s="21" t="s">
        <v>19</v>
      </c>
      <c r="G16" s="21">
        <v>1</v>
      </c>
      <c r="H16" s="17">
        <v>50000</v>
      </c>
      <c r="I16" s="17">
        <v>154700</v>
      </c>
      <c r="J16" s="17">
        <v>40000</v>
      </c>
      <c r="K16" s="17">
        <v>86275</v>
      </c>
      <c r="L16" s="17"/>
      <c r="M16" s="17"/>
      <c r="N16" s="17">
        <f>'EstudioMercado 2021'!K14</f>
        <v>128328</v>
      </c>
      <c r="O16" s="17">
        <f>SeguridadScanner!C13</f>
        <v>76996</v>
      </c>
      <c r="P16" s="17"/>
      <c r="Q16" s="17"/>
      <c r="R16" s="17"/>
      <c r="S16" s="17"/>
      <c r="T16" s="17">
        <f t="shared" si="0"/>
        <v>81636</v>
      </c>
      <c r="U16" s="18">
        <f t="shared" si="1"/>
        <v>81636</v>
      </c>
      <c r="V16" s="18" t="s">
        <v>404</v>
      </c>
      <c r="W16" s="17">
        <f t="shared" si="2"/>
        <v>44577.622917408538</v>
      </c>
      <c r="X16" s="32">
        <f t="shared" si="3"/>
        <v>0.49872503492352438</v>
      </c>
      <c r="Z16" s="58">
        <f t="shared" si="4"/>
        <v>6</v>
      </c>
      <c r="AA16" s="59">
        <f t="shared" si="5"/>
        <v>0.51002008917634378</v>
      </c>
    </row>
    <row r="17" spans="2:27" ht="81.599999999999994">
      <c r="B17" s="31">
        <v>13</v>
      </c>
      <c r="C17" s="20" t="s">
        <v>341</v>
      </c>
      <c r="D17" s="20" t="s">
        <v>421</v>
      </c>
      <c r="E17" s="20" t="s">
        <v>422</v>
      </c>
      <c r="F17" s="21" t="s">
        <v>19</v>
      </c>
      <c r="G17" s="21">
        <v>1</v>
      </c>
      <c r="H17" s="17"/>
      <c r="I17" s="17"/>
      <c r="J17" s="17"/>
      <c r="K17" s="17"/>
      <c r="L17" s="17"/>
      <c r="M17" s="17"/>
      <c r="N17" s="17">
        <f>'EstudioMercado 2021'!K15</f>
        <v>1348676</v>
      </c>
      <c r="O17" s="17">
        <f>SeguridadScanner!C14</f>
        <v>809206</v>
      </c>
      <c r="P17" s="17"/>
      <c r="Q17" s="17"/>
      <c r="R17" s="17"/>
      <c r="S17" s="17"/>
      <c r="T17" s="17">
        <f t="shared" si="0"/>
        <v>1078941</v>
      </c>
      <c r="U17" s="18">
        <f t="shared" si="1"/>
        <v>1078941</v>
      </c>
      <c r="V17" s="18" t="s">
        <v>423</v>
      </c>
      <c r="W17" s="17">
        <f t="shared" si="2"/>
        <v>381462.89524670679</v>
      </c>
      <c r="X17" s="32">
        <f t="shared" si="3"/>
        <v>0.35355306290770933</v>
      </c>
      <c r="Z17" s="58">
        <f t="shared" si="4"/>
        <v>2</v>
      </c>
      <c r="AA17" s="59">
        <f t="shared" si="5"/>
        <v>0.24999976829131532</v>
      </c>
    </row>
    <row r="18" spans="2:27" ht="51">
      <c r="B18" s="31">
        <v>14</v>
      </c>
      <c r="C18" s="20" t="s">
        <v>343</v>
      </c>
      <c r="D18" s="20" t="s">
        <v>424</v>
      </c>
      <c r="E18" s="20" t="s">
        <v>425</v>
      </c>
      <c r="F18" s="21" t="s">
        <v>19</v>
      </c>
      <c r="G18" s="21">
        <v>1</v>
      </c>
      <c r="H18" s="17"/>
      <c r="I18" s="17"/>
      <c r="J18" s="17"/>
      <c r="K18" s="17"/>
      <c r="L18" s="17"/>
      <c r="M18" s="17"/>
      <c r="N18" s="17">
        <f>'EstudioMercado 2021'!K16</f>
        <v>971003</v>
      </c>
      <c r="O18" s="17">
        <f>SeguridadScanner!C15</f>
        <v>582602</v>
      </c>
      <c r="P18" s="17"/>
      <c r="Q18" s="17"/>
      <c r="R18" s="17"/>
      <c r="S18" s="17"/>
      <c r="T18" s="17">
        <f t="shared" si="0"/>
        <v>776803</v>
      </c>
      <c r="U18" s="18">
        <f t="shared" si="1"/>
        <v>776803</v>
      </c>
      <c r="V18" s="18" t="s">
        <v>426</v>
      </c>
      <c r="W18" s="17">
        <f t="shared" si="2"/>
        <v>274640.98091963626</v>
      </c>
      <c r="X18" s="32">
        <f t="shared" si="3"/>
        <v>0.35355316302359513</v>
      </c>
      <c r="Z18" s="58">
        <f t="shared" si="4"/>
        <v>2</v>
      </c>
      <c r="AA18" s="59">
        <f t="shared" si="5"/>
        <v>0.25000032183191878</v>
      </c>
    </row>
    <row r="19" spans="2:27" ht="71.45">
      <c r="B19" s="31">
        <v>15</v>
      </c>
      <c r="C19" s="20" t="s">
        <v>345</v>
      </c>
      <c r="D19" s="20" t="s">
        <v>427</v>
      </c>
      <c r="E19" s="20" t="s">
        <v>428</v>
      </c>
      <c r="F19" s="21" t="s">
        <v>19</v>
      </c>
      <c r="G19" s="21">
        <v>1</v>
      </c>
      <c r="H19" s="17"/>
      <c r="I19" s="17"/>
      <c r="J19" s="17"/>
      <c r="K19" s="17"/>
      <c r="L19" s="17"/>
      <c r="M19" s="17"/>
      <c r="N19" s="17">
        <f>'EstudioMercado 2021'!K17</f>
        <v>87790</v>
      </c>
      <c r="O19" s="17">
        <f>SeguridadScanner!C16</f>
        <v>52674</v>
      </c>
      <c r="P19" s="17"/>
      <c r="Q19" s="17"/>
      <c r="R19" s="17"/>
      <c r="S19" s="17"/>
      <c r="T19" s="17">
        <f t="shared" si="0"/>
        <v>70232</v>
      </c>
      <c r="U19" s="18">
        <f t="shared" si="1"/>
        <v>70232</v>
      </c>
      <c r="V19" s="18" t="s">
        <v>429</v>
      </c>
      <c r="W19" s="17">
        <f t="shared" si="2"/>
        <v>24830.761728146805</v>
      </c>
      <c r="X19" s="32">
        <f t="shared" si="3"/>
        <v>0.35355339059327379</v>
      </c>
      <c r="Z19" s="58">
        <f t="shared" si="4"/>
        <v>2</v>
      </c>
      <c r="AA19" s="59">
        <f t="shared" si="5"/>
        <v>0.25</v>
      </c>
    </row>
    <row r="20" spans="2:27" ht="15" thickBot="1">
      <c r="G20" s="22" t="s">
        <v>35</v>
      </c>
      <c r="H20" s="23">
        <f>SUM(H5:H19)</f>
        <v>540000</v>
      </c>
      <c r="I20" s="23">
        <f>SUM(I5:I19)</f>
        <v>2602629</v>
      </c>
      <c r="J20" s="23">
        <f>SUM(J5:J19)</f>
        <v>910000</v>
      </c>
      <c r="K20" s="23">
        <f>SUM(K5:K19)</f>
        <v>880161</v>
      </c>
      <c r="L20" s="23">
        <f t="shared" ref="L20:S20" si="6">SUM(L5:L19)</f>
        <v>0</v>
      </c>
      <c r="M20" s="23">
        <f t="shared" si="6"/>
        <v>13924578.017519999</v>
      </c>
      <c r="N20" s="23">
        <f t="shared" si="6"/>
        <v>5543742</v>
      </c>
      <c r="O20" s="23">
        <f t="shared" si="6"/>
        <v>3326244</v>
      </c>
      <c r="P20" s="23">
        <f t="shared" si="6"/>
        <v>0</v>
      </c>
      <c r="Q20" s="23">
        <f t="shared" si="6"/>
        <v>0</v>
      </c>
      <c r="R20" s="23">
        <f t="shared" si="6"/>
        <v>0</v>
      </c>
      <c r="S20" s="23">
        <f t="shared" si="6"/>
        <v>0</v>
      </c>
      <c r="T20" s="23">
        <f>SUM(T5:T19)</f>
        <v>17248677</v>
      </c>
      <c r="U20" s="24">
        <f>SUM(U5:U19)</f>
        <v>17248677</v>
      </c>
      <c r="V20" s="19"/>
      <c r="W20" s="19"/>
    </row>
    <row r="21" spans="2:27">
      <c r="H21" s="9"/>
      <c r="I21" s="9"/>
      <c r="J21" s="9"/>
      <c r="K21" s="9"/>
      <c r="L21" s="9"/>
      <c r="M21" s="9"/>
      <c r="N21" s="9"/>
      <c r="O21" s="9"/>
      <c r="P21" s="9"/>
      <c r="Q21" s="9"/>
      <c r="R21" s="9"/>
      <c r="S21" s="9"/>
      <c r="T21" s="9"/>
    </row>
    <row r="22" spans="2:27">
      <c r="I22" s="9"/>
    </row>
    <row r="23" spans="2:27">
      <c r="I23" s="9"/>
    </row>
    <row r="24" spans="2:27">
      <c r="H24" s="12"/>
      <c r="I24" s="9"/>
    </row>
    <row r="25" spans="2:27">
      <c r="H25" s="9"/>
      <c r="I25" s="9"/>
    </row>
    <row r="26" spans="2:27">
      <c r="I26" s="9"/>
    </row>
    <row r="27" spans="2:27">
      <c r="H27" s="9"/>
      <c r="I27" s="9"/>
    </row>
    <row r="28" spans="2:27">
      <c r="H28" s="9"/>
      <c r="I28" s="9"/>
    </row>
    <row r="29" spans="2:27">
      <c r="H29" s="9"/>
      <c r="I29" s="9"/>
    </row>
    <row r="30" spans="2:27">
      <c r="H30" s="9"/>
      <c r="I30" s="9"/>
    </row>
    <row r="31" spans="2:27">
      <c r="H31" s="9"/>
      <c r="I31" s="9"/>
    </row>
    <row r="32" spans="2:27">
      <c r="H32" s="9"/>
      <c r="I32" s="9"/>
    </row>
    <row r="33" spans="8:9">
      <c r="H33" s="9"/>
      <c r="I33" s="9"/>
    </row>
    <row r="34" spans="8:9">
      <c r="H34" s="9"/>
      <c r="I34" s="9"/>
    </row>
    <row r="35" spans="8:9">
      <c r="H35" s="9"/>
      <c r="I35" s="9"/>
    </row>
    <row r="36" spans="8:9">
      <c r="H36" s="9"/>
      <c r="I36" s="9"/>
    </row>
    <row r="37" spans="8:9">
      <c r="H37" s="9"/>
      <c r="I37" s="9"/>
    </row>
    <row r="38" spans="8:9">
      <c r="H38" s="9"/>
      <c r="I38" s="9"/>
    </row>
    <row r="39" spans="8:9">
      <c r="H39" s="9"/>
      <c r="I39" s="9"/>
    </row>
    <row r="40" spans="8:9">
      <c r="H40" s="9"/>
      <c r="I40" s="9"/>
    </row>
    <row r="41" spans="8:9">
      <c r="H41" s="9"/>
      <c r="I41" s="9"/>
    </row>
    <row r="42" spans="8:9">
      <c r="I42" s="9"/>
    </row>
    <row r="43" spans="8:9">
      <c r="I43" s="9"/>
    </row>
    <row r="44" spans="8:9">
      <c r="I44" s="9"/>
    </row>
    <row r="45" spans="8:9">
      <c r="I45" s="9"/>
    </row>
    <row r="46" spans="8:9">
      <c r="I46" s="9"/>
    </row>
    <row r="47" spans="8:9">
      <c r="I47" s="9"/>
    </row>
    <row r="48" spans="8:9">
      <c r="I48" s="9"/>
    </row>
    <row r="49" spans="9:43">
      <c r="I49" s="9"/>
    </row>
    <row r="50" spans="9:43">
      <c r="I50" s="9"/>
    </row>
    <row r="51" spans="9:43">
      <c r="I51" s="9"/>
    </row>
    <row r="54" spans="9:43">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row>
  </sheetData>
  <autoFilter ref="B4:Z5" xr:uid="{00000000-0009-0000-0000-00000A000000}"/>
  <mergeCells count="1">
    <mergeCell ref="B2:X2"/>
  </mergeCells>
  <conditionalFormatting sqref="D4">
    <cfRule type="duplicateValues" dxfId="4" priority="26"/>
  </conditionalFormatting>
  <conditionalFormatting sqref="H5:K5 M5:S5">
    <cfRule type="colorScale" priority="27">
      <colorScale>
        <cfvo type="min"/>
        <cfvo type="percentile" val="50"/>
        <cfvo type="max"/>
        <color rgb="FF00B050"/>
        <color rgb="FFFFFF00"/>
        <color rgb="FFFF0000"/>
      </colorScale>
    </cfRule>
  </conditionalFormatting>
  <conditionalFormatting sqref="H6:S6">
    <cfRule type="colorScale" priority="24">
      <colorScale>
        <cfvo type="min"/>
        <cfvo type="percentile" val="50"/>
        <cfvo type="max"/>
        <color rgb="FF00B050"/>
        <color rgb="FFFFFF00"/>
        <color rgb="FFFF0000"/>
      </colorScale>
    </cfRule>
  </conditionalFormatting>
  <conditionalFormatting sqref="H7:S7">
    <cfRule type="colorScale" priority="22">
      <colorScale>
        <cfvo type="min"/>
        <cfvo type="percentile" val="50"/>
        <cfvo type="max"/>
        <color rgb="FF00B050"/>
        <color rgb="FFFFFF00"/>
        <color rgb="FFFF0000"/>
      </colorScale>
    </cfRule>
  </conditionalFormatting>
  <conditionalFormatting sqref="H8:S8">
    <cfRule type="colorScale" priority="20">
      <colorScale>
        <cfvo type="min"/>
        <cfvo type="percentile" val="50"/>
        <cfvo type="max"/>
        <color rgb="FF00B050"/>
        <color rgb="FFFFFF00"/>
        <color rgb="FFFF0000"/>
      </colorScale>
    </cfRule>
  </conditionalFormatting>
  <conditionalFormatting sqref="H9:S9">
    <cfRule type="colorScale" priority="18">
      <colorScale>
        <cfvo type="min"/>
        <cfvo type="percentile" val="50"/>
        <cfvo type="max"/>
        <color rgb="FF00B050"/>
        <color rgb="FFFFFF00"/>
        <color rgb="FFFF0000"/>
      </colorScale>
    </cfRule>
  </conditionalFormatting>
  <conditionalFormatting sqref="H10:S10">
    <cfRule type="colorScale" priority="16">
      <colorScale>
        <cfvo type="min"/>
        <cfvo type="percentile" val="50"/>
        <cfvo type="max"/>
        <color rgb="FF00B050"/>
        <color rgb="FFFFFF00"/>
        <color rgb="FFFF0000"/>
      </colorScale>
    </cfRule>
  </conditionalFormatting>
  <conditionalFormatting sqref="H11:S11">
    <cfRule type="colorScale" priority="14">
      <colorScale>
        <cfvo type="min"/>
        <cfvo type="percentile" val="50"/>
        <cfvo type="max"/>
        <color rgb="FF00B050"/>
        <color rgb="FFFFFF00"/>
        <color rgb="FFFF0000"/>
      </colorScale>
    </cfRule>
  </conditionalFormatting>
  <conditionalFormatting sqref="H12:S12">
    <cfRule type="colorScale" priority="12">
      <colorScale>
        <cfvo type="min"/>
        <cfvo type="percentile" val="50"/>
        <cfvo type="max"/>
        <color rgb="FF00B050"/>
        <color rgb="FFFFFF00"/>
        <color rgb="FFFF0000"/>
      </colorScale>
    </cfRule>
  </conditionalFormatting>
  <conditionalFormatting sqref="H13:S13">
    <cfRule type="colorScale" priority="10">
      <colorScale>
        <cfvo type="min"/>
        <cfvo type="percentile" val="50"/>
        <cfvo type="max"/>
        <color rgb="FF00B050"/>
        <color rgb="FFFFFF00"/>
        <color rgb="FFFF0000"/>
      </colorScale>
    </cfRule>
  </conditionalFormatting>
  <conditionalFormatting sqref="H14:S14">
    <cfRule type="colorScale" priority="8">
      <colorScale>
        <cfvo type="min"/>
        <cfvo type="percentile" val="50"/>
        <cfvo type="max"/>
        <color rgb="FF00B050"/>
        <color rgb="FFFFFF00"/>
        <color rgb="FFFF0000"/>
      </colorScale>
    </cfRule>
  </conditionalFormatting>
  <conditionalFormatting sqref="H15:S15 H17:S18">
    <cfRule type="colorScale" priority="6">
      <colorScale>
        <cfvo type="min"/>
        <cfvo type="percentile" val="50"/>
        <cfvo type="max"/>
        <color rgb="FF00B050"/>
        <color rgb="FFFFFF00"/>
        <color rgb="FFFF0000"/>
      </colorScale>
    </cfRule>
  </conditionalFormatting>
  <conditionalFormatting sqref="H16:S16">
    <cfRule type="colorScale" priority="2">
      <colorScale>
        <cfvo type="min"/>
        <cfvo type="percentile" val="50"/>
        <cfvo type="max"/>
        <color rgb="FF00B050"/>
        <color rgb="FFFFFF00"/>
        <color rgb="FFFF0000"/>
      </colorScale>
    </cfRule>
  </conditionalFormatting>
  <conditionalFormatting sqref="H19:S19">
    <cfRule type="colorScale" priority="4">
      <colorScale>
        <cfvo type="min"/>
        <cfvo type="percentile" val="50"/>
        <cfvo type="max"/>
        <color rgb="FF00B050"/>
        <color rgb="FFFFFF00"/>
        <color rgb="FFFF0000"/>
      </colorScale>
    </cfRule>
  </conditionalFormatting>
  <conditionalFormatting sqref="L5">
    <cfRule type="colorScale" priority="3">
      <colorScale>
        <cfvo type="min"/>
        <cfvo type="percentile" val="50"/>
        <cfvo type="max"/>
        <color rgb="FF00B050"/>
        <color rgb="FFFFFF00"/>
        <color rgb="FFFF0000"/>
      </colorScale>
    </cfRule>
  </conditionalFormatting>
  <conditionalFormatting sqref="X5:X19">
    <cfRule type="cellIs" dxfId="3" priority="1" operator="greaterThan">
      <formula>0.15</formula>
    </cfRule>
  </conditionalFormatting>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4">
    <tabColor theme="4"/>
    <pageSetUpPr fitToPage="1"/>
  </sheetPr>
  <dimension ref="B2:I28"/>
  <sheetViews>
    <sheetView showGridLines="0" topLeftCell="A8" workbookViewId="0">
      <selection activeCell="A19" sqref="A19"/>
    </sheetView>
  </sheetViews>
  <sheetFormatPr defaultColWidth="11.5703125" defaultRowHeight="14.45"/>
  <cols>
    <col min="1" max="1" width="2.42578125" customWidth="1"/>
    <col min="2" max="2" width="2.28515625" bestFit="1" customWidth="1"/>
    <col min="3" max="3" width="38" customWidth="1"/>
    <col min="4" max="4" width="15.85546875" bestFit="1" customWidth="1"/>
    <col min="5" max="5" width="15.28515625" bestFit="1" customWidth="1"/>
    <col min="6" max="6" width="11.28515625" bestFit="1" customWidth="1"/>
    <col min="7" max="7" width="14.28515625" bestFit="1" customWidth="1"/>
    <col min="8" max="8" width="10.42578125" bestFit="1" customWidth="1"/>
    <col min="9" max="9" width="11.85546875" bestFit="1" customWidth="1"/>
  </cols>
  <sheetData>
    <row r="2" spans="2:5">
      <c r="B2" s="717" t="s">
        <v>430</v>
      </c>
      <c r="C2" s="717"/>
      <c r="D2" s="717"/>
      <c r="E2" s="717"/>
    </row>
    <row r="4" spans="2:5" ht="29.45" customHeight="1">
      <c r="B4" s="718" t="s">
        <v>431</v>
      </c>
      <c r="C4" s="719"/>
      <c r="D4" s="719"/>
      <c r="E4" s="719"/>
    </row>
    <row r="14" spans="2:5" ht="47.45" customHeight="1">
      <c r="B14" s="719" t="s">
        <v>432</v>
      </c>
      <c r="C14" s="719"/>
      <c r="D14" s="719"/>
      <c r="E14" s="719"/>
    </row>
    <row r="15" spans="2:5" ht="33" customHeight="1">
      <c r="B15" s="34"/>
      <c r="C15" s="34"/>
      <c r="D15" s="34"/>
      <c r="E15" s="34"/>
    </row>
    <row r="16" spans="2:5">
      <c r="B16" s="34"/>
      <c r="C16" s="48" t="s">
        <v>433</v>
      </c>
      <c r="D16" s="48" t="s">
        <v>434</v>
      </c>
      <c r="E16" s="48" t="s">
        <v>435</v>
      </c>
    </row>
    <row r="17" spans="2:9" ht="28.15" customHeight="1">
      <c r="B17" s="34"/>
      <c r="C17" s="36" t="s">
        <v>436</v>
      </c>
      <c r="D17" s="35">
        <v>9504000</v>
      </c>
      <c r="E17" s="54">
        <f>D17+((D17*10%)*19%)</f>
        <v>9684576</v>
      </c>
    </row>
    <row r="18" spans="2:9">
      <c r="B18" s="34"/>
      <c r="C18" s="34"/>
      <c r="D18" s="37"/>
      <c r="E18" s="34"/>
    </row>
    <row r="19" spans="2:9" ht="27.6" customHeight="1">
      <c r="B19" s="719"/>
      <c r="C19" s="719"/>
      <c r="D19" s="719"/>
      <c r="E19" s="719"/>
    </row>
    <row r="20" spans="2:9">
      <c r="B20" s="34"/>
      <c r="C20" s="34"/>
      <c r="D20" s="34"/>
      <c r="E20" s="34"/>
    </row>
    <row r="21" spans="2:9" ht="43.15">
      <c r="B21" s="48" t="s">
        <v>437</v>
      </c>
      <c r="C21" s="48" t="s">
        <v>433</v>
      </c>
      <c r="D21" s="48" t="s">
        <v>438</v>
      </c>
      <c r="E21" s="49">
        <v>0.08</v>
      </c>
      <c r="F21" s="48" t="s">
        <v>439</v>
      </c>
      <c r="G21" s="50">
        <v>0.1</v>
      </c>
      <c r="H21" s="51">
        <v>0.19</v>
      </c>
      <c r="I21" s="53" t="s">
        <v>440</v>
      </c>
    </row>
    <row r="22" spans="2:9" ht="33.6" customHeight="1">
      <c r="B22" s="52">
        <v>1</v>
      </c>
      <c r="C22" s="55" t="s">
        <v>230</v>
      </c>
      <c r="D22" s="46">
        <v>8800000</v>
      </c>
      <c r="E22" s="46">
        <f>D22*$E$21</f>
        <v>704000</v>
      </c>
      <c r="F22" s="46">
        <f>D22+E22</f>
        <v>9504000</v>
      </c>
      <c r="G22" s="47">
        <f>F22*$G$21</f>
        <v>950400</v>
      </c>
      <c r="H22" s="47">
        <f>G22*$H$21</f>
        <v>180576</v>
      </c>
      <c r="I22" s="46">
        <f>F22+H22</f>
        <v>9684576</v>
      </c>
    </row>
    <row r="23" spans="2:9" ht="33.6" customHeight="1">
      <c r="B23" s="52">
        <v>2</v>
      </c>
      <c r="C23" s="55" t="s">
        <v>231</v>
      </c>
      <c r="D23" s="46">
        <v>1751239</v>
      </c>
      <c r="E23" s="46">
        <f>D23*$E$21</f>
        <v>140099.12</v>
      </c>
      <c r="F23" s="46">
        <f>D23+E23</f>
        <v>1891338.12</v>
      </c>
      <c r="G23" s="47">
        <f>F23*$G$21</f>
        <v>189133.81200000003</v>
      </c>
      <c r="H23" s="47">
        <f>G23*$H$21</f>
        <v>35935.424280000007</v>
      </c>
      <c r="I23" s="46">
        <f>F23+H23</f>
        <v>1927273.54428</v>
      </c>
    </row>
    <row r="24" spans="2:9" ht="33.6" customHeight="1">
      <c r="B24" s="52">
        <v>3</v>
      </c>
      <c r="C24" s="55" t="s">
        <v>233</v>
      </c>
      <c r="D24" s="46">
        <v>2101487</v>
      </c>
      <c r="E24" s="46">
        <f>D24*$E$21</f>
        <v>168118.96</v>
      </c>
      <c r="F24" s="46">
        <f>D24+E24</f>
        <v>2269605.96</v>
      </c>
      <c r="G24" s="47">
        <f>F24*$G$21</f>
        <v>226960.59600000002</v>
      </c>
      <c r="H24" s="47">
        <f>G24*$H$21</f>
        <v>43122.513240000007</v>
      </c>
      <c r="I24" s="46">
        <f>F24+H24</f>
        <v>2312728.4732400002</v>
      </c>
    </row>
    <row r="26" spans="2:9" ht="28.9" customHeight="1">
      <c r="C26" s="719" t="s">
        <v>441</v>
      </c>
      <c r="D26" s="719"/>
      <c r="E26" s="719"/>
    </row>
    <row r="28" spans="2:9">
      <c r="D28" s="56"/>
    </row>
  </sheetData>
  <mergeCells count="5">
    <mergeCell ref="B2:E2"/>
    <mergeCell ref="B4:E4"/>
    <mergeCell ref="B14:E14"/>
    <mergeCell ref="B19:E19"/>
    <mergeCell ref="C26:E26"/>
  </mergeCells>
  <pageMargins left="0.7" right="0.7" top="0.75" bottom="0.75" header="0.3" footer="0.3"/>
  <pageSetup scale="75" fitToHeight="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5">
    <tabColor theme="4"/>
  </sheetPr>
  <dimension ref="A3:P41"/>
  <sheetViews>
    <sheetView workbookViewId="0">
      <selection activeCell="A19" sqref="A19"/>
    </sheetView>
  </sheetViews>
  <sheetFormatPr defaultColWidth="0" defaultRowHeight="14.45"/>
  <cols>
    <col min="1" max="1" width="6.5703125" customWidth="1"/>
    <col min="2" max="2" width="5" customWidth="1"/>
    <col min="3" max="3" width="28.5703125" customWidth="1"/>
    <col min="4" max="4" width="64" customWidth="1"/>
    <col min="5" max="5" width="27.7109375" customWidth="1"/>
    <col min="6" max="6" width="9.5703125" customWidth="1"/>
    <col min="7" max="7" width="9.140625" customWidth="1"/>
    <col min="8" max="8" width="14" bestFit="1" customWidth="1"/>
    <col min="9" max="11" width="15" customWidth="1"/>
    <col min="12" max="12" width="39.28515625" customWidth="1"/>
    <col min="13" max="13" width="14.140625" customWidth="1"/>
    <col min="14" max="15" width="12.140625" customWidth="1"/>
    <col min="16" max="16" width="11.42578125" customWidth="1"/>
    <col min="17" max="16384" width="11.42578125" hidden="1"/>
  </cols>
  <sheetData>
    <row r="3" spans="2:15" ht="18">
      <c r="B3" s="598" t="s">
        <v>442</v>
      </c>
      <c r="C3" s="598"/>
      <c r="D3" s="598"/>
      <c r="E3" s="598"/>
      <c r="F3" s="598"/>
      <c r="G3" s="598"/>
      <c r="H3" s="598"/>
      <c r="I3" s="598"/>
      <c r="J3" s="598"/>
      <c r="K3" s="598"/>
      <c r="L3" s="598"/>
      <c r="M3" s="598"/>
      <c r="N3" s="598"/>
      <c r="O3" s="16"/>
    </row>
    <row r="4" spans="2:15">
      <c r="K4">
        <v>6.94</v>
      </c>
    </row>
    <row r="5" spans="2:15" ht="51">
      <c r="B5" s="4" t="s">
        <v>1</v>
      </c>
      <c r="C5" s="5" t="s">
        <v>2</v>
      </c>
      <c r="D5" s="5" t="s">
        <v>3</v>
      </c>
      <c r="E5" s="5" t="s">
        <v>375</v>
      </c>
      <c r="F5" s="5" t="s">
        <v>4</v>
      </c>
      <c r="G5" s="5" t="s">
        <v>5</v>
      </c>
      <c r="H5" s="6" t="s">
        <v>10</v>
      </c>
      <c r="I5" s="6" t="s">
        <v>11</v>
      </c>
      <c r="J5" s="6" t="s">
        <v>443</v>
      </c>
      <c r="K5" s="6" t="s">
        <v>444</v>
      </c>
      <c r="L5" s="7" t="s">
        <v>12</v>
      </c>
      <c r="M5" s="7" t="s">
        <v>13</v>
      </c>
      <c r="N5" s="7" t="s">
        <v>14</v>
      </c>
      <c r="O5" s="7" t="s">
        <v>445</v>
      </c>
    </row>
    <row r="6" spans="2:15">
      <c r="B6" s="1">
        <v>1</v>
      </c>
      <c r="C6" s="1" t="s">
        <v>324</v>
      </c>
      <c r="D6" s="1" t="s">
        <v>324</v>
      </c>
      <c r="E6" s="1" t="s">
        <v>446</v>
      </c>
      <c r="F6" s="1" t="s">
        <v>447</v>
      </c>
      <c r="G6" s="1">
        <v>1</v>
      </c>
      <c r="H6" s="3">
        <v>845497</v>
      </c>
      <c r="I6" s="3">
        <v>845497</v>
      </c>
      <c r="J6" s="3">
        <f>H6/6</f>
        <v>140916.16666666666</v>
      </c>
      <c r="K6" s="3">
        <f>INT(J6*(1+($K$4/100)))</f>
        <v>150695</v>
      </c>
      <c r="L6" s="1" t="s">
        <v>448</v>
      </c>
      <c r="M6" s="3">
        <v>1195641.0719667082</v>
      </c>
      <c r="N6" s="2">
        <v>0.77661903429267598</v>
      </c>
      <c r="O6" s="2" t="s">
        <v>449</v>
      </c>
    </row>
    <row r="7" spans="2:15">
      <c r="B7" s="1">
        <v>2</v>
      </c>
      <c r="C7" s="1" t="s">
        <v>326</v>
      </c>
      <c r="D7" s="1" t="s">
        <v>326</v>
      </c>
      <c r="E7" s="1" t="s">
        <v>446</v>
      </c>
      <c r="F7" s="1" t="s">
        <v>447</v>
      </c>
      <c r="G7" s="1">
        <v>1</v>
      </c>
      <c r="H7" s="3">
        <v>5720459</v>
      </c>
      <c r="I7" s="3">
        <v>5720459</v>
      </c>
      <c r="J7" s="3">
        <f t="shared" ref="J7:J23" si="0">H7/6</f>
        <v>953409.83333333337</v>
      </c>
      <c r="K7" s="3">
        <f t="shared" ref="K7:K23" si="1">INT(J7*(1+($K$4/100)))</f>
        <v>1019576</v>
      </c>
      <c r="L7" s="1" t="s">
        <v>448</v>
      </c>
      <c r="M7" s="3">
        <v>2756247.666831959</v>
      </c>
      <c r="N7" s="2">
        <v>0.43877428315636491</v>
      </c>
      <c r="O7" s="2" t="s">
        <v>449</v>
      </c>
    </row>
    <row r="8" spans="2:15">
      <c r="B8" s="1">
        <v>3</v>
      </c>
      <c r="C8" s="1" t="s">
        <v>328</v>
      </c>
      <c r="D8" s="1" t="s">
        <v>450</v>
      </c>
      <c r="E8" s="1" t="s">
        <v>446</v>
      </c>
      <c r="F8" s="1" t="s">
        <v>447</v>
      </c>
      <c r="G8" s="1">
        <v>2</v>
      </c>
      <c r="H8" s="3">
        <v>685227</v>
      </c>
      <c r="I8" s="3">
        <v>1370454</v>
      </c>
      <c r="J8" s="3">
        <f t="shared" si="0"/>
        <v>114204.5</v>
      </c>
      <c r="K8" s="3">
        <f t="shared" si="1"/>
        <v>122130</v>
      </c>
      <c r="L8" s="1" t="s">
        <v>448</v>
      </c>
      <c r="M8" s="3">
        <v>492105.50992136786</v>
      </c>
      <c r="N8" s="2">
        <v>0.50933297579728454</v>
      </c>
      <c r="O8" s="2" t="s">
        <v>449</v>
      </c>
    </row>
    <row r="9" spans="2:15">
      <c r="B9" s="1">
        <v>4</v>
      </c>
      <c r="C9" s="1" t="s">
        <v>330</v>
      </c>
      <c r="D9" s="1" t="s">
        <v>330</v>
      </c>
      <c r="E9" s="1" t="s">
        <v>446</v>
      </c>
      <c r="F9" s="1" t="s">
        <v>447</v>
      </c>
      <c r="G9" s="1">
        <v>14</v>
      </c>
      <c r="H9" s="3">
        <v>1519689</v>
      </c>
      <c r="I9" s="3">
        <v>21275646</v>
      </c>
      <c r="J9" s="3">
        <f t="shared" si="0"/>
        <v>253281.5</v>
      </c>
      <c r="K9" s="3">
        <f t="shared" si="1"/>
        <v>270859</v>
      </c>
      <c r="L9" s="1" t="s">
        <v>448</v>
      </c>
      <c r="M9" s="3">
        <v>3876654.5054641115</v>
      </c>
      <c r="N9" s="2">
        <v>1.1799028763896082</v>
      </c>
      <c r="O9" s="2" t="s">
        <v>449</v>
      </c>
    </row>
    <row r="10" spans="2:15">
      <c r="B10" s="1">
        <v>5</v>
      </c>
      <c r="C10" s="1" t="s">
        <v>332</v>
      </c>
      <c r="D10" s="1" t="s">
        <v>332</v>
      </c>
      <c r="E10" s="1" t="s">
        <v>446</v>
      </c>
      <c r="F10" s="1" t="s">
        <v>447</v>
      </c>
      <c r="G10" s="1">
        <v>1</v>
      </c>
      <c r="H10" s="3">
        <v>2835612</v>
      </c>
      <c r="I10" s="3">
        <v>2835612</v>
      </c>
      <c r="J10" s="3">
        <f t="shared" si="0"/>
        <v>472602</v>
      </c>
      <c r="K10" s="3">
        <f t="shared" si="1"/>
        <v>505400</v>
      </c>
      <c r="L10" s="1" t="s">
        <v>448</v>
      </c>
      <c r="M10" s="3">
        <v>851142.97936732182</v>
      </c>
      <c r="N10" s="2">
        <v>0.31298918458818675</v>
      </c>
      <c r="O10" s="2" t="s">
        <v>449</v>
      </c>
    </row>
    <row r="11" spans="2:15">
      <c r="B11" s="1">
        <v>6</v>
      </c>
      <c r="C11" s="1" t="s">
        <v>334</v>
      </c>
      <c r="D11" s="1" t="s">
        <v>451</v>
      </c>
      <c r="E11" s="1" t="s">
        <v>446</v>
      </c>
      <c r="F11" s="1" t="s">
        <v>447</v>
      </c>
      <c r="G11" s="1">
        <v>1</v>
      </c>
      <c r="H11" s="3">
        <v>3000000</v>
      </c>
      <c r="I11" s="3">
        <v>3000000</v>
      </c>
      <c r="J11" s="3">
        <f t="shared" si="0"/>
        <v>500000</v>
      </c>
      <c r="K11" s="3">
        <f t="shared" si="1"/>
        <v>534700</v>
      </c>
      <c r="L11" s="1" t="s">
        <v>448</v>
      </c>
      <c r="M11" s="3">
        <v>1552108.8306279019</v>
      </c>
      <c r="N11" s="2">
        <v>0.43949089335761332</v>
      </c>
      <c r="O11" s="2" t="s">
        <v>449</v>
      </c>
    </row>
    <row r="12" spans="2:15">
      <c r="B12" s="1">
        <v>7</v>
      </c>
      <c r="C12" s="1" t="s">
        <v>336</v>
      </c>
      <c r="D12" s="1" t="s">
        <v>452</v>
      </c>
      <c r="E12" s="1" t="s">
        <v>446</v>
      </c>
      <c r="F12" s="1" t="s">
        <v>447</v>
      </c>
      <c r="G12" s="1">
        <v>1</v>
      </c>
      <c r="H12" s="3">
        <v>1957981</v>
      </c>
      <c r="I12" s="3">
        <v>1957981</v>
      </c>
      <c r="J12" s="3">
        <f t="shared" si="0"/>
        <v>326330.16666666669</v>
      </c>
      <c r="K12" s="3">
        <f t="shared" si="1"/>
        <v>348977</v>
      </c>
      <c r="L12" s="1" t="s">
        <v>448</v>
      </c>
      <c r="M12" s="3">
        <v>1357306.0115969654</v>
      </c>
      <c r="N12" s="2">
        <v>0.64077746152813209</v>
      </c>
      <c r="O12" s="2" t="s">
        <v>449</v>
      </c>
    </row>
    <row r="13" spans="2:15">
      <c r="B13" s="1">
        <v>8</v>
      </c>
      <c r="C13" s="1" t="s">
        <v>453</v>
      </c>
      <c r="D13" s="1" t="s">
        <v>454</v>
      </c>
      <c r="E13" s="1" t="s">
        <v>446</v>
      </c>
      <c r="F13" s="1" t="s">
        <v>447</v>
      </c>
      <c r="G13" s="1">
        <v>2</v>
      </c>
      <c r="H13" s="3">
        <v>312000</v>
      </c>
      <c r="I13" s="3">
        <v>624000</v>
      </c>
      <c r="J13" s="3">
        <f t="shared" si="0"/>
        <v>52000</v>
      </c>
      <c r="K13" s="3">
        <f t="shared" si="1"/>
        <v>55608</v>
      </c>
      <c r="L13" s="1" t="s">
        <v>448</v>
      </c>
      <c r="M13" s="3">
        <v>192461.38885542209</v>
      </c>
      <c r="N13" s="2">
        <v>0.56724978447558638</v>
      </c>
      <c r="O13" s="2" t="s">
        <v>449</v>
      </c>
    </row>
    <row r="14" spans="2:15">
      <c r="B14" s="1">
        <v>9</v>
      </c>
      <c r="C14" s="1" t="s">
        <v>455</v>
      </c>
      <c r="D14" s="1" t="s">
        <v>456</v>
      </c>
      <c r="E14" s="1" t="s">
        <v>446</v>
      </c>
      <c r="F14" s="1" t="s">
        <v>447</v>
      </c>
      <c r="G14" s="1">
        <v>2</v>
      </c>
      <c r="H14" s="3">
        <v>720000</v>
      </c>
      <c r="I14" s="3">
        <v>1440000</v>
      </c>
      <c r="J14" s="3">
        <f t="shared" si="0"/>
        <v>120000</v>
      </c>
      <c r="K14" s="3">
        <f t="shared" si="1"/>
        <v>128328</v>
      </c>
      <c r="L14" s="1" t="s">
        <v>448</v>
      </c>
      <c r="M14" s="3">
        <v>292957.62451487052</v>
      </c>
      <c r="N14" s="2">
        <v>0.41417048956772551</v>
      </c>
      <c r="O14" s="2" t="s">
        <v>449</v>
      </c>
    </row>
    <row r="15" spans="2:15">
      <c r="B15" s="1">
        <v>10</v>
      </c>
      <c r="C15" s="1" t="s">
        <v>342</v>
      </c>
      <c r="D15" s="1" t="s">
        <v>457</v>
      </c>
      <c r="E15" s="1" t="s">
        <v>446</v>
      </c>
      <c r="F15" s="1" t="s">
        <v>447</v>
      </c>
      <c r="G15" s="1">
        <v>2</v>
      </c>
      <c r="H15" s="3">
        <v>7566916</v>
      </c>
      <c r="I15" s="3">
        <v>15133832</v>
      </c>
      <c r="J15" s="3">
        <f t="shared" si="0"/>
        <v>1261152.6666666667</v>
      </c>
      <c r="K15" s="3">
        <f t="shared" si="1"/>
        <v>1348676</v>
      </c>
      <c r="L15" s="1" t="s">
        <v>448</v>
      </c>
      <c r="M15" s="3">
        <v>4930032.3956326945</v>
      </c>
      <c r="N15" s="2">
        <v>0.58377975707013863</v>
      </c>
      <c r="O15" s="2" t="s">
        <v>449</v>
      </c>
    </row>
    <row r="16" spans="2:15">
      <c r="B16" s="1">
        <v>11</v>
      </c>
      <c r="C16" s="1" t="s">
        <v>458</v>
      </c>
      <c r="D16" s="1" t="s">
        <v>459</v>
      </c>
      <c r="E16" s="1" t="s">
        <v>446</v>
      </c>
      <c r="F16" s="1" t="s">
        <v>447</v>
      </c>
      <c r="G16" s="1">
        <v>1</v>
      </c>
      <c r="H16" s="3">
        <v>5447936</v>
      </c>
      <c r="I16" s="3">
        <v>5447936</v>
      </c>
      <c r="J16" s="3">
        <f t="shared" si="0"/>
        <v>907989.33333333337</v>
      </c>
      <c r="K16" s="3">
        <f t="shared" si="1"/>
        <v>971003</v>
      </c>
      <c r="L16" s="1" t="s">
        <v>448</v>
      </c>
      <c r="M16" s="3">
        <v>5286413.9029493909</v>
      </c>
      <c r="N16" s="2">
        <v>0.802212398015823</v>
      </c>
      <c r="O16" s="2" t="s">
        <v>449</v>
      </c>
    </row>
    <row r="17" spans="2:15">
      <c r="B17" s="1">
        <v>12</v>
      </c>
      <c r="C17" s="1" t="s">
        <v>460</v>
      </c>
      <c r="D17" s="1" t="s">
        <v>460</v>
      </c>
      <c r="E17" s="1" t="s">
        <v>446</v>
      </c>
      <c r="F17" s="1" t="s">
        <v>447</v>
      </c>
      <c r="G17" s="1">
        <v>4</v>
      </c>
      <c r="H17" s="3">
        <v>492557</v>
      </c>
      <c r="I17" s="3">
        <v>1970228</v>
      </c>
      <c r="J17" s="3">
        <f t="shared" si="0"/>
        <v>82092.833333333328</v>
      </c>
      <c r="K17" s="3">
        <f t="shared" si="1"/>
        <v>87790</v>
      </c>
      <c r="L17" s="1" t="s">
        <v>448</v>
      </c>
      <c r="M17" s="3">
        <v>2371493.4107962656</v>
      </c>
      <c r="N17" s="2">
        <v>1.4601441528036985</v>
      </c>
      <c r="O17" s="2" t="s">
        <v>449</v>
      </c>
    </row>
    <row r="18" spans="2:15">
      <c r="B18" s="1">
        <v>13</v>
      </c>
      <c r="C18" s="1" t="s">
        <v>460</v>
      </c>
      <c r="D18" s="1" t="s">
        <v>460</v>
      </c>
      <c r="E18" s="1" t="s">
        <v>446</v>
      </c>
      <c r="F18" s="1" t="s">
        <v>447</v>
      </c>
      <c r="G18" s="1">
        <v>2</v>
      </c>
      <c r="H18" s="3">
        <v>492557</v>
      </c>
      <c r="I18" s="3">
        <v>985114</v>
      </c>
      <c r="J18" s="3">
        <f t="shared" si="0"/>
        <v>82092.833333333328</v>
      </c>
      <c r="K18" s="3">
        <f t="shared" si="1"/>
        <v>87790</v>
      </c>
      <c r="L18" s="1" t="s">
        <v>448</v>
      </c>
      <c r="M18" s="3">
        <v>2371493.4107962656</v>
      </c>
      <c r="N18" s="2">
        <v>1.4601441528036985</v>
      </c>
      <c r="O18" s="2" t="s">
        <v>449</v>
      </c>
    </row>
    <row r="19" spans="2:15">
      <c r="B19" s="1">
        <v>14</v>
      </c>
      <c r="C19" s="1" t="s">
        <v>461</v>
      </c>
      <c r="D19" s="1" t="s">
        <v>461</v>
      </c>
      <c r="E19" s="1" t="s">
        <v>446</v>
      </c>
      <c r="F19" s="1" t="s">
        <v>447</v>
      </c>
      <c r="G19" s="1">
        <v>1</v>
      </c>
      <c r="H19" s="3">
        <v>52792136</v>
      </c>
      <c r="I19" s="3">
        <v>52792136</v>
      </c>
      <c r="J19" s="3">
        <f t="shared" si="0"/>
        <v>8798689.333333334</v>
      </c>
      <c r="K19" s="3">
        <f t="shared" si="1"/>
        <v>9409318</v>
      </c>
      <c r="L19" s="1" t="s">
        <v>448</v>
      </c>
      <c r="M19" s="3" t="s">
        <v>462</v>
      </c>
      <c r="N19" s="2" t="s">
        <v>462</v>
      </c>
      <c r="O19" s="2" t="s">
        <v>462</v>
      </c>
    </row>
    <row r="20" spans="2:15">
      <c r="B20" s="1">
        <v>15</v>
      </c>
      <c r="C20" s="1" t="s">
        <v>461</v>
      </c>
      <c r="D20" s="1" t="s">
        <v>461</v>
      </c>
      <c r="E20" s="1" t="s">
        <v>446</v>
      </c>
      <c r="F20" s="1" t="s">
        <v>447</v>
      </c>
      <c r="G20" s="1">
        <v>1</v>
      </c>
      <c r="H20" s="3">
        <v>52792136</v>
      </c>
      <c r="I20" s="3">
        <v>52792136</v>
      </c>
      <c r="J20" s="3">
        <f t="shared" si="0"/>
        <v>8798689.333333334</v>
      </c>
      <c r="K20" s="3">
        <f t="shared" si="1"/>
        <v>9409318</v>
      </c>
      <c r="L20" s="1" t="s">
        <v>448</v>
      </c>
      <c r="M20" s="3" t="s">
        <v>462</v>
      </c>
      <c r="N20" s="2" t="s">
        <v>462</v>
      </c>
      <c r="O20" s="2" t="s">
        <v>462</v>
      </c>
    </row>
    <row r="21" spans="2:15">
      <c r="B21" s="1">
        <v>16</v>
      </c>
      <c r="C21" s="1" t="s">
        <v>463</v>
      </c>
      <c r="D21" s="1" t="s">
        <v>463</v>
      </c>
      <c r="E21" s="1" t="s">
        <v>446</v>
      </c>
      <c r="F21" s="1" t="s">
        <v>447</v>
      </c>
      <c r="G21" s="1">
        <v>1</v>
      </c>
      <c r="H21" s="3">
        <v>12607044</v>
      </c>
      <c r="I21" s="3">
        <v>12607044</v>
      </c>
      <c r="J21" s="3">
        <f t="shared" si="0"/>
        <v>2101174</v>
      </c>
      <c r="K21" s="3">
        <f t="shared" si="1"/>
        <v>2246995</v>
      </c>
      <c r="L21" s="1" t="s">
        <v>448</v>
      </c>
      <c r="M21" s="3" t="s">
        <v>462</v>
      </c>
      <c r="N21" s="2" t="s">
        <v>462</v>
      </c>
      <c r="O21" s="2" t="s">
        <v>462</v>
      </c>
    </row>
    <row r="22" spans="2:15">
      <c r="B22" s="1">
        <v>17</v>
      </c>
      <c r="C22" s="1" t="s">
        <v>463</v>
      </c>
      <c r="D22" s="1" t="s">
        <v>463</v>
      </c>
      <c r="E22" s="1" t="s">
        <v>446</v>
      </c>
      <c r="F22" s="1" t="s">
        <v>447</v>
      </c>
      <c r="G22" s="1">
        <v>1</v>
      </c>
      <c r="H22" s="3">
        <v>12607044</v>
      </c>
      <c r="I22" s="3">
        <v>12607044</v>
      </c>
      <c r="J22" s="3">
        <f t="shared" si="0"/>
        <v>2101174</v>
      </c>
      <c r="K22" s="3">
        <f t="shared" si="1"/>
        <v>2246995</v>
      </c>
      <c r="L22" s="1" t="s">
        <v>448</v>
      </c>
      <c r="M22" s="3" t="s">
        <v>462</v>
      </c>
      <c r="N22" s="2" t="s">
        <v>462</v>
      </c>
      <c r="O22" s="2" t="s">
        <v>462</v>
      </c>
    </row>
    <row r="23" spans="2:15">
      <c r="B23" s="1">
        <v>18</v>
      </c>
      <c r="C23" s="1" t="s">
        <v>463</v>
      </c>
      <c r="D23" s="1" t="s">
        <v>463</v>
      </c>
      <c r="E23" s="1" t="s">
        <v>446</v>
      </c>
      <c r="F23" s="1" t="s">
        <v>447</v>
      </c>
      <c r="G23" s="1">
        <v>1</v>
      </c>
      <c r="H23" s="3">
        <v>12607044</v>
      </c>
      <c r="I23" s="3">
        <v>12607044</v>
      </c>
      <c r="J23" s="3">
        <f t="shared" si="0"/>
        <v>2101174</v>
      </c>
      <c r="K23" s="3">
        <f t="shared" si="1"/>
        <v>2246995</v>
      </c>
      <c r="L23" s="1" t="s">
        <v>448</v>
      </c>
      <c r="M23" s="3" t="s">
        <v>462</v>
      </c>
      <c r="N23" s="2" t="s">
        <v>462</v>
      </c>
      <c r="O23" s="2" t="s">
        <v>462</v>
      </c>
    </row>
    <row r="24" spans="2:15">
      <c r="H24" s="3">
        <v>175001835</v>
      </c>
      <c r="I24" s="3">
        <v>206012163</v>
      </c>
      <c r="J24" s="14"/>
      <c r="K24" s="14"/>
      <c r="M24" s="14"/>
      <c r="N24" s="15"/>
      <c r="O24" s="15"/>
    </row>
    <row r="25" spans="2:15">
      <c r="D25" s="9"/>
      <c r="H25" s="14"/>
      <c r="I25" s="14"/>
      <c r="J25" s="14"/>
      <c r="K25" s="14"/>
      <c r="M25" s="14"/>
      <c r="N25" s="15"/>
      <c r="O25" s="15"/>
    </row>
    <row r="26" spans="2:15" ht="15" customHeight="1">
      <c r="H26" s="14"/>
      <c r="I26" s="14"/>
      <c r="J26" s="14"/>
      <c r="K26" s="14"/>
      <c r="M26" s="14"/>
      <c r="N26" s="15"/>
      <c r="O26" s="15"/>
    </row>
    <row r="27" spans="2:15" ht="15" customHeight="1" thickBot="1"/>
    <row r="28" spans="2:15" ht="15" customHeight="1">
      <c r="I28" s="599" t="s">
        <v>49</v>
      </c>
      <c r="J28" s="38"/>
      <c r="K28" s="38"/>
      <c r="L28" s="602" t="s">
        <v>464</v>
      </c>
      <c r="M28" s="603"/>
      <c r="N28" s="604"/>
      <c r="O28" s="8"/>
    </row>
    <row r="29" spans="2:15" ht="15" customHeight="1">
      <c r="I29" s="600"/>
      <c r="J29" s="39"/>
      <c r="K29" s="39"/>
      <c r="L29" s="605" t="s">
        <v>465</v>
      </c>
      <c r="M29" s="606"/>
      <c r="N29" s="607"/>
      <c r="O29" s="8"/>
    </row>
    <row r="30" spans="2:15" ht="15" customHeight="1" thickBot="1">
      <c r="C30" s="11"/>
      <c r="I30" s="601"/>
      <c r="J30" s="40"/>
      <c r="K30" s="40"/>
      <c r="L30" s="608" t="s">
        <v>466</v>
      </c>
      <c r="M30" s="609"/>
      <c r="N30" s="610"/>
      <c r="O30" s="8"/>
    </row>
    <row r="31" spans="2:15" ht="15" customHeight="1">
      <c r="C31" s="11"/>
      <c r="L31" s="720" t="s">
        <v>467</v>
      </c>
      <c r="M31" s="720"/>
      <c r="N31" s="720"/>
      <c r="O31" s="8"/>
    </row>
    <row r="32" spans="2:15" ht="15" customHeight="1">
      <c r="C32" s="11"/>
    </row>
    <row r="33" spans="3:3" ht="15" customHeight="1">
      <c r="C33" s="11"/>
    </row>
    <row r="34" spans="3:3" ht="15" customHeight="1">
      <c r="C34" s="10"/>
    </row>
    <row r="35" spans="3:3" ht="15" customHeight="1">
      <c r="C35" s="10"/>
    </row>
    <row r="36" spans="3:3" ht="15" customHeight="1">
      <c r="C36" s="10"/>
    </row>
    <row r="37" spans="3:3" ht="15" customHeight="1">
      <c r="C37" s="10"/>
    </row>
    <row r="38" spans="3:3" ht="15" customHeight="1">
      <c r="C38" s="10"/>
    </row>
    <row r="39" spans="3:3" ht="15" customHeight="1">
      <c r="C39" s="10"/>
    </row>
    <row r="40" spans="3:3" ht="15" customHeight="1">
      <c r="C40" s="10"/>
    </row>
    <row r="41" spans="3:3" ht="15" customHeight="1">
      <c r="C41" s="10"/>
    </row>
  </sheetData>
  <mergeCells count="6">
    <mergeCell ref="L31:N31"/>
    <mergeCell ref="B3:N3"/>
    <mergeCell ref="I28:I30"/>
    <mergeCell ref="L28:N28"/>
    <mergeCell ref="L29:N29"/>
    <mergeCell ref="L30:N30"/>
  </mergeCells>
  <conditionalFormatting sqref="N6:N23 N24:O26">
    <cfRule type="cellIs" dxfId="2" priority="1" operator="greaterThan">
      <formula>0.15</formula>
    </cfRule>
  </conditionalFormatting>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6">
    <tabColor theme="4"/>
  </sheetPr>
  <dimension ref="A1:C18"/>
  <sheetViews>
    <sheetView workbookViewId="0">
      <selection activeCell="A19" sqref="A19"/>
    </sheetView>
  </sheetViews>
  <sheetFormatPr defaultColWidth="11.42578125" defaultRowHeight="14.45"/>
  <cols>
    <col min="1" max="1" width="68.85546875" customWidth="1"/>
    <col min="2" max="2" width="11.85546875" bestFit="1" customWidth="1"/>
    <col min="3" max="3" width="17.28515625" customWidth="1"/>
  </cols>
  <sheetData>
    <row r="1" spans="1:3" ht="18">
      <c r="A1" s="598" t="s">
        <v>374</v>
      </c>
      <c r="B1" s="598"/>
      <c r="C1" s="598"/>
    </row>
    <row r="3" spans="1:3" ht="14.45" customHeight="1">
      <c r="A3" s="716" t="s">
        <v>259</v>
      </c>
      <c r="B3" s="721" t="s">
        <v>269</v>
      </c>
      <c r="C3" s="721"/>
    </row>
    <row r="4" spans="1:3" ht="36">
      <c r="A4" s="716"/>
      <c r="B4" s="41" t="s">
        <v>322</v>
      </c>
      <c r="C4" s="41" t="s">
        <v>468</v>
      </c>
    </row>
    <row r="5" spans="1:3">
      <c r="A5" s="1" t="s">
        <v>324</v>
      </c>
      <c r="B5" s="42">
        <v>84550</v>
      </c>
      <c r="C5" s="43">
        <f>INT(B5*(1+('EstudioMercado 2021'!$K$4/100)))</f>
        <v>90417</v>
      </c>
    </row>
    <row r="6" spans="1:3">
      <c r="A6" s="1" t="s">
        <v>326</v>
      </c>
      <c r="B6" s="42">
        <v>572046</v>
      </c>
      <c r="C6" s="43">
        <f>INT(B6*(1+('EstudioMercado 2021'!$K$4/100)))</f>
        <v>611745</v>
      </c>
    </row>
    <row r="7" spans="1:3">
      <c r="A7" s="1" t="s">
        <v>328</v>
      </c>
      <c r="B7" s="42">
        <v>68523</v>
      </c>
      <c r="C7" s="43">
        <f>INT(B7*(1+('EstudioMercado 2021'!$K$4/100)))</f>
        <v>73278</v>
      </c>
    </row>
    <row r="8" spans="1:3">
      <c r="A8" s="1" t="s">
        <v>330</v>
      </c>
      <c r="B8" s="42">
        <v>151969</v>
      </c>
      <c r="C8" s="43">
        <f>INT(B8*(1+('EstudioMercado 2021'!$K$4/100)))</f>
        <v>162515</v>
      </c>
    </row>
    <row r="9" spans="1:3">
      <c r="A9" s="1" t="s">
        <v>332</v>
      </c>
      <c r="B9" s="42">
        <v>283561</v>
      </c>
      <c r="C9" s="43">
        <f>INT(B9*(1+('EstudioMercado 2021'!$K$4/100)))</f>
        <v>303240</v>
      </c>
    </row>
    <row r="10" spans="1:3">
      <c r="A10" s="1" t="s">
        <v>334</v>
      </c>
      <c r="B10" s="42">
        <v>300000</v>
      </c>
      <c r="C10" s="43">
        <f>INT(B10*(1+('EstudioMercado 2021'!$K$4/100)))</f>
        <v>320820</v>
      </c>
    </row>
    <row r="11" spans="1:3">
      <c r="A11" s="1" t="s">
        <v>336</v>
      </c>
      <c r="B11" s="42">
        <v>195798</v>
      </c>
      <c r="C11" s="43">
        <f>INT(B11*(1+('EstudioMercado 2021'!$K$4/100)))</f>
        <v>209386</v>
      </c>
    </row>
    <row r="12" spans="1:3">
      <c r="A12" s="1" t="s">
        <v>338</v>
      </c>
      <c r="B12" s="42">
        <v>31200</v>
      </c>
      <c r="C12" s="43">
        <f>INT(B12*(1+('EstudioMercado 2021'!$K$4/100)))</f>
        <v>33365</v>
      </c>
    </row>
    <row r="13" spans="1:3">
      <c r="A13" s="1" t="s">
        <v>340</v>
      </c>
      <c r="B13" s="42">
        <v>72000</v>
      </c>
      <c r="C13" s="43">
        <f>INT(B13*(1+('EstudioMercado 2021'!$K$4/100)))</f>
        <v>76996</v>
      </c>
    </row>
    <row r="14" spans="1:3">
      <c r="A14" s="1" t="s">
        <v>342</v>
      </c>
      <c r="B14" s="42">
        <v>756692</v>
      </c>
      <c r="C14" s="43">
        <f>INT(B14*(1+('EstudioMercado 2021'!$K$4/100)))</f>
        <v>809206</v>
      </c>
    </row>
    <row r="15" spans="1:3">
      <c r="A15" s="1" t="s">
        <v>344</v>
      </c>
      <c r="B15" s="42">
        <v>544794</v>
      </c>
      <c r="C15" s="43">
        <f>INT(B15*(1+('EstudioMercado 2021'!$K$4/100)))</f>
        <v>582602</v>
      </c>
    </row>
    <row r="16" spans="1:3">
      <c r="A16" s="1" t="s">
        <v>346</v>
      </c>
      <c r="B16" s="42">
        <v>49256</v>
      </c>
      <c r="C16" s="43">
        <f>INT(B16*(1+('EstudioMercado 2021'!$K$4/100)))</f>
        <v>52674</v>
      </c>
    </row>
    <row r="17" spans="1:3">
      <c r="A17" s="1" t="s">
        <v>230</v>
      </c>
      <c r="B17" s="42">
        <v>8798689</v>
      </c>
      <c r="C17" s="43">
        <f>INT(B17*(1+('EstudioMercado 2021'!$K$4/100)))</f>
        <v>9409318</v>
      </c>
    </row>
    <row r="18" spans="1:3">
      <c r="A18" s="1" t="s">
        <v>233</v>
      </c>
      <c r="B18" s="42">
        <v>2101174</v>
      </c>
      <c r="C18" s="43">
        <f>INT(B18*(1+('EstudioMercado 2021'!$K$4/100)))</f>
        <v>2246995</v>
      </c>
    </row>
  </sheetData>
  <mergeCells count="3">
    <mergeCell ref="A3:A4"/>
    <mergeCell ref="B3:C3"/>
    <mergeCell ref="A1:C1"/>
  </mergeCells>
  <conditionalFormatting sqref="B5:B18">
    <cfRule type="cellIs" dxfId="1" priority="3" operator="greaterThan">
      <formula>$C5</formula>
    </cfRule>
  </conditionalFormatting>
  <conditionalFormatting sqref="B17:B18">
    <cfRule type="cellIs" dxfId="0" priority="1" operator="equal">
      <formula>$C17</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2C942EBCDD5F5479D5600AA1BD6F9D6" ma:contentTypeVersion="14" ma:contentTypeDescription="Crear nuevo documento." ma:contentTypeScope="" ma:versionID="c8a6f30ebf6fedd5251bee4404f27c4f">
  <xsd:schema xmlns:xsd="http://www.w3.org/2001/XMLSchema" xmlns:xs="http://www.w3.org/2001/XMLSchema" xmlns:p="http://schemas.microsoft.com/office/2006/metadata/properties" xmlns:ns2="e8dacc14-b369-4826-b0bc-ab1ab45fffcd" xmlns:ns3="9c9a1cef-5b6b-42b1-990c-2ae96b3a73fe" targetNamespace="http://schemas.microsoft.com/office/2006/metadata/properties" ma:root="true" ma:fieldsID="376f06e66c19646c3445f06c37ba4dad" ns2:_="" ns3:_="">
    <xsd:import namespace="e8dacc14-b369-4826-b0bc-ab1ab45fffcd"/>
    <xsd:import namespace="9c9a1cef-5b6b-42b1-990c-2ae96b3a73fe"/>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dacc14-b369-4826-b0bc-ab1ab45fff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c9a1cef-5b6b-42b1-990c-2ae96b3a73f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bb89307-f604-429a-bd33-87a61bd88920}" ma:internalName="TaxCatchAll" ma:showField="CatchAllData" ma:web="9c9a1cef-5b6b-42b1-990c-2ae96b3a73fe">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8dacc14-b369-4826-b0bc-ab1ab45fffcd">
      <Terms xmlns="http://schemas.microsoft.com/office/infopath/2007/PartnerControls"/>
    </lcf76f155ced4ddcb4097134ff3c332f>
    <TaxCatchAll xmlns="9c9a1cef-5b6b-42b1-990c-2ae96b3a73fe" xsi:nil="true"/>
  </documentManagement>
</p:properties>
</file>

<file path=customXml/itemProps1.xml><?xml version="1.0" encoding="utf-8"?>
<ds:datastoreItem xmlns:ds="http://schemas.openxmlformats.org/officeDocument/2006/customXml" ds:itemID="{22DA79BE-447C-4CFC-BEEB-B702104F9FAC}"/>
</file>

<file path=customXml/itemProps2.xml><?xml version="1.0" encoding="utf-8"?>
<ds:datastoreItem xmlns:ds="http://schemas.openxmlformats.org/officeDocument/2006/customXml" ds:itemID="{9A701A47-34FA-41FE-AD73-9C34AAA1809A}"/>
</file>

<file path=customXml/itemProps3.xml><?xml version="1.0" encoding="utf-8"?>
<ds:datastoreItem xmlns:ds="http://schemas.openxmlformats.org/officeDocument/2006/customXml" ds:itemID="{1D4D2728-57CB-4B1F-BE14-A13998A514E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Javier Arguellez Palacios</dc:creator>
  <cp:keywords/>
  <dc:description/>
  <cp:lastModifiedBy/>
  <cp:revision/>
  <dcterms:created xsi:type="dcterms:W3CDTF">2020-08-20T21:27:39Z</dcterms:created>
  <dcterms:modified xsi:type="dcterms:W3CDTF">2026-09-14T19:54:07Z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0x01010032C942EBCDD5F5479D5600AA1BD6F9D6</vt:lpwstr>
  </property>
  <property fmtid="{D5CDD505-2E9C-101B-9397-08002B2CF9AE}" pid="3" name="MediaServiceImageTags">
    <vt:lpwstr/>
  </property>
</Properties>
</file>