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codeName="ThisWorkbook" defaultThemeVersion="166925"/>
  <mc:AlternateContent xmlns:mc="http://schemas.openxmlformats.org/markup-compatibility/2006">
    <mc:Choice Requires="x15">
      <x15ac:absPath xmlns:x15ac="http://schemas.microsoft.com/office/spreadsheetml/2010/11/ac" url="https://gobiernobogota-my.sharepoint.com/personal/katherine_quintin_gobiernobogota_gov_co/Documents/KENNEDY/7. Formulación 2026/17. Funcionamiento/VIGILANCIA Y SEGURIDAD M. CUANTÍA/ESTUDIO DEL SECTOR/"/>
    </mc:Choice>
  </mc:AlternateContent>
  <xr:revisionPtr revIDLastSave="0" documentId="8_{61C71972-9409-4336-ACC8-473CCF62204A}" xr6:coauthVersionLast="47" xr6:coauthVersionMax="47" xr10:uidLastSave="{00000000-0000-0000-0000-000000000000}"/>
  <bookViews>
    <workbookView xWindow="-108" yWindow="-108" windowWidth="23256" windowHeight="12456" firstSheet="4" activeTab="4" xr2:uid="{00000000-000D-0000-FFFF-FFFF00000000}"/>
  </bookViews>
  <sheets>
    <sheet name="CosteoIndividual" sheetId="5" state="hidden" r:id="rId1"/>
    <sheet name="Proyección_Bolsa" sheetId="22" state="hidden" r:id="rId2"/>
    <sheet name="ProyecciónResolución2026 (2)" sheetId="28" state="hidden" r:id="rId3"/>
    <sheet name="RECURSO HUMANO 2026 " sheetId="29" state="hidden" r:id="rId4"/>
    <sheet name="COMPONENTES LOGIS Y TECN" sheetId="25" r:id="rId5"/>
    <sheet name="Hoja6" sheetId="20" state="hidden" r:id="rId6"/>
    <sheet name="ServiciosDeVigilancia" sheetId="17" state="hidden" r:id="rId7"/>
    <sheet name="matriz calculo 2025" sheetId="23" state="hidden" r:id="rId8"/>
    <sheet name="FDLBOSALIC 003-2021 (59820)" sheetId="13" state="hidden" r:id="rId9"/>
    <sheet name="338-2022 CTO-PS (72300)" sheetId="14" state="hidden" r:id="rId10"/>
    <sheet name="EstudioMercado 2022" sheetId="11" state="hidden" r:id="rId11"/>
    <sheet name="TalentoHumano_2022" sheetId="8" state="hidden" r:id="rId12"/>
    <sheet name="EstudioMercado 2021" sheetId="9" state="hidden" r:id="rId13"/>
    <sheet name="SeguridadScanner" sheetId="10" state="hidden" r:id="rId14"/>
  </sheets>
  <definedNames>
    <definedName name="_xlnm._FilterDatabase" localSheetId="0" hidden="1">CosteoIndividual!$B$5:$Q$6</definedName>
    <definedName name="_xlnm._FilterDatabase" localSheetId="10" hidden="1">'EstudioMercado 2022'!$B$4:$Z$5</definedName>
    <definedName name="_xlnm._FilterDatabase" localSheetId="1" hidden="1">Proyección_Bolsa!$B$5:$K$6</definedName>
    <definedName name="_xlnm._FilterDatabase" localSheetId="3" hidden="1">'RECURSO HUMANO 2026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25" l="1"/>
  <c r="H22" i="25"/>
  <c r="I22" i="25" s="1"/>
  <c r="H23" i="25"/>
  <c r="I23" i="25" s="1"/>
  <c r="H21" i="25"/>
  <c r="I21" i="25" s="1"/>
  <c r="I24" i="25" l="1"/>
  <c r="H24" i="25"/>
  <c r="L7" i="25" l="1"/>
  <c r="L8" i="25"/>
  <c r="L9" i="25"/>
  <c r="L10" i="25"/>
  <c r="L12" i="25"/>
  <c r="L13" i="25"/>
  <c r="L14" i="25"/>
  <c r="L15" i="25"/>
  <c r="E7" i="29"/>
  <c r="I12" i="25"/>
  <c r="I15" i="25"/>
  <c r="I14" i="25"/>
  <c r="I13" i="25"/>
  <c r="I7" i="25"/>
  <c r="I8" i="25"/>
  <c r="I9" i="25"/>
  <c r="I10" i="25"/>
  <c r="I6" i="25"/>
  <c r="I16" i="25" l="1"/>
  <c r="M15" i="25" l="1"/>
  <c r="M14" i="25"/>
  <c r="M13" i="25"/>
  <c r="M12" i="25"/>
  <c r="M7" i="25"/>
  <c r="M8" i="25"/>
  <c r="M9" i="25"/>
  <c r="M10" i="25"/>
  <c r="M6" i="25"/>
  <c r="L16" i="25" l="1"/>
  <c r="G15" i="28" l="1"/>
  <c r="G16" i="28"/>
  <c r="G17" i="28"/>
  <c r="G18" i="28"/>
  <c r="G14" i="28"/>
  <c r="I15" i="28" l="1"/>
  <c r="J15" i="28" s="1"/>
  <c r="I16" i="28"/>
  <c r="J16" i="28" s="1"/>
  <c r="I17" i="28"/>
  <c r="J17" i="28" s="1"/>
  <c r="I18" i="28"/>
  <c r="J18" i="28" s="1"/>
  <c r="I14" i="28"/>
  <c r="J14" i="28" s="1"/>
  <c r="K14" i="28" s="1"/>
  <c r="G19" i="28"/>
  <c r="F18" i="28"/>
  <c r="E17" i="28"/>
  <c r="C52" i="28"/>
  <c r="C31" i="28" s="1"/>
  <c r="D47" i="28"/>
  <c r="C32" i="28"/>
  <c r="D23" i="28"/>
  <c r="D22" i="28"/>
  <c r="C22" i="28"/>
  <c r="D21" i="28"/>
  <c r="C21" i="28"/>
  <c r="D19" i="28"/>
  <c r="C18" i="28"/>
  <c r="E18" i="28" s="1"/>
  <c r="C17" i="28"/>
  <c r="F17" i="28" s="1"/>
  <c r="C10" i="28"/>
  <c r="C16" i="28" s="1"/>
  <c r="F16" i="28" s="1"/>
  <c r="M16" i="25"/>
  <c r="E26" i="25" s="1"/>
  <c r="D7" i="29" l="1"/>
  <c r="E16" i="28"/>
  <c r="C40" i="28"/>
  <c r="C41" i="28"/>
  <c r="C15" i="28"/>
  <c r="C33" i="28"/>
  <c r="C38" i="28" s="1"/>
  <c r="N40" i="28"/>
  <c r="I40" i="28"/>
  <c r="J40" i="28" s="1"/>
  <c r="K18" i="28"/>
  <c r="L18" i="28" s="1"/>
  <c r="C14" i="28"/>
  <c r="F14" i="28" l="1"/>
  <c r="E14" i="28"/>
  <c r="F15" i="28"/>
  <c r="E15" i="28"/>
  <c r="C37" i="28"/>
  <c r="N37" i="28" s="1"/>
  <c r="M18" i="28"/>
  <c r="C39" i="28"/>
  <c r="N39" i="28" s="1"/>
  <c r="I41" i="28"/>
  <c r="J41" i="28" s="1"/>
  <c r="N41" i="28"/>
  <c r="K40" i="28"/>
  <c r="L40" i="28" s="1"/>
  <c r="M40" i="28" s="1"/>
  <c r="K15" i="28"/>
  <c r="L15" i="28" s="1"/>
  <c r="K17" i="28"/>
  <c r="L17" i="28" s="1"/>
  <c r="K16" i="28"/>
  <c r="L16" i="28" s="1"/>
  <c r="I37" i="28"/>
  <c r="J37" i="28" s="1"/>
  <c r="N38" i="28"/>
  <c r="I38" i="28"/>
  <c r="J38" i="28" s="1"/>
  <c r="I39" i="28" l="1"/>
  <c r="J39" i="28" s="1"/>
  <c r="M15" i="28"/>
  <c r="K41" i="28"/>
  <c r="L41" i="28" s="1"/>
  <c r="M41" i="28"/>
  <c r="K38" i="28"/>
  <c r="L38" i="28" s="1"/>
  <c r="M38" i="28" s="1"/>
  <c r="K39" i="28"/>
  <c r="L39" i="28" s="1"/>
  <c r="M39" i="28" s="1"/>
  <c r="K37" i="28"/>
  <c r="L37" i="28" s="1"/>
  <c r="M37" i="28" s="1"/>
  <c r="M16" i="28"/>
  <c r="M17" i="28"/>
  <c r="L14" i="28"/>
  <c r="M14" i="28" l="1"/>
  <c r="D5" i="29" l="1"/>
  <c r="E5" i="29" s="1"/>
  <c r="D6" i="29"/>
  <c r="E6" i="29" s="1"/>
  <c r="D4" i="29"/>
  <c r="E4" i="29" s="1"/>
  <c r="N11" i="5"/>
  <c r="B9" i="5"/>
  <c r="B10" i="5" s="1"/>
  <c r="B11" i="5" s="1"/>
  <c r="B12" i="5" s="1"/>
  <c r="B13" i="5" s="1"/>
  <c r="B14" i="5" s="1"/>
  <c r="B15" i="5" s="1"/>
  <c r="B16" i="5" s="1"/>
  <c r="B17" i="5" s="1"/>
  <c r="B18" i="5" s="1"/>
  <c r="B19" i="5" s="1"/>
  <c r="B20" i="5" s="1"/>
  <c r="B21" i="5" s="1"/>
  <c r="B10" i="22"/>
  <c r="B11" i="22" s="1"/>
  <c r="B12" i="22" s="1"/>
  <c r="B13" i="22" s="1"/>
  <c r="B14" i="22" s="1"/>
  <c r="B15" i="22" s="1"/>
  <c r="B16" i="22" s="1"/>
  <c r="D8" i="29" l="1"/>
  <c r="E8" i="29"/>
  <c r="B7" i="22"/>
  <c r="B8" i="22" s="1"/>
  <c r="B26" i="23"/>
  <c r="F25" i="23"/>
  <c r="G25" i="23" s="1"/>
  <c r="G24" i="23"/>
  <c r="F24" i="23"/>
  <c r="G23" i="23"/>
  <c r="F23" i="23"/>
  <c r="G22" i="23"/>
  <c r="F22" i="23"/>
  <c r="G21" i="23"/>
  <c r="F21" i="23"/>
  <c r="G20" i="23"/>
  <c r="F20" i="23"/>
  <c r="G19" i="23"/>
  <c r="F19" i="23"/>
  <c r="G18" i="23"/>
  <c r="F18" i="23"/>
  <c r="G17" i="23"/>
  <c r="F17" i="23"/>
  <c r="G11" i="23"/>
  <c r="F11" i="23"/>
  <c r="B11" i="23"/>
  <c r="K4" i="23"/>
  <c r="K3" i="23"/>
  <c r="K2" i="23"/>
  <c r="H22" i="5"/>
  <c r="I22" i="5"/>
  <c r="J22" i="5"/>
  <c r="G26" i="23" l="1"/>
  <c r="H25" i="23"/>
  <c r="I25" i="23" s="1"/>
  <c r="J25" i="23" s="1"/>
  <c r="K25" i="23" s="1"/>
  <c r="L25" i="23" s="1"/>
  <c r="M25" i="23" s="1"/>
  <c r="N25" i="23" s="1"/>
  <c r="F26" i="23"/>
  <c r="O25" i="23" l="1"/>
  <c r="G10" i="5" l="1"/>
  <c r="G9" i="5"/>
  <c r="G6" i="5"/>
  <c r="G8" i="5"/>
  <c r="N8" i="5" s="1"/>
  <c r="O8" i="5" s="1"/>
  <c r="K8" i="5" s="1"/>
  <c r="N10" i="5" l="1"/>
  <c r="O10" i="5" s="1"/>
  <c r="K10" i="5" s="1"/>
  <c r="L10" i="5" s="1"/>
  <c r="N9" i="5"/>
  <c r="O9" i="5" s="1"/>
  <c r="K9" i="5" s="1"/>
  <c r="L9" i="5" s="1"/>
  <c r="G7" i="5"/>
  <c r="I17" i="17"/>
  <c r="I16" i="17"/>
  <c r="I11" i="17"/>
  <c r="R10" i="5" l="1"/>
  <c r="R9" i="5"/>
  <c r="N14" i="5"/>
  <c r="O14" i="5" s="1"/>
  <c r="K14" i="5" s="1"/>
  <c r="I13" i="17"/>
  <c r="N17" i="5"/>
  <c r="N21" i="5"/>
  <c r="N18" i="5"/>
  <c r="N15" i="5"/>
  <c r="N19" i="5"/>
  <c r="I12" i="17"/>
  <c r="I15" i="17"/>
  <c r="N16" i="5"/>
  <c r="N20" i="5"/>
  <c r="H11" i="17"/>
  <c r="H15" i="17"/>
  <c r="L14" i="5" l="1"/>
  <c r="G9" i="22" s="1"/>
  <c r="H9" i="22" s="1"/>
  <c r="R14" i="5"/>
  <c r="O19" i="5"/>
  <c r="K19" i="5" s="1"/>
  <c r="O15" i="5"/>
  <c r="K15" i="5" s="1"/>
  <c r="O18" i="5"/>
  <c r="K18" i="5" s="1"/>
  <c r="O20" i="5"/>
  <c r="K20" i="5" s="1"/>
  <c r="O16" i="5"/>
  <c r="K16" i="5" s="1"/>
  <c r="O21" i="5"/>
  <c r="K21" i="5" s="1"/>
  <c r="O17" i="5"/>
  <c r="K17" i="5" s="1"/>
  <c r="H16" i="17"/>
  <c r="K11" i="17"/>
  <c r="L11" i="17" s="1"/>
  <c r="K15" i="17"/>
  <c r="L15" i="17" s="1"/>
  <c r="H13" i="17"/>
  <c r="H12" i="17"/>
  <c r="H17" i="17"/>
  <c r="L20" i="5" l="1"/>
  <c r="G15" i="22" s="1"/>
  <c r="H15" i="22" s="1"/>
  <c r="L18" i="5"/>
  <c r="G13" i="22" s="1"/>
  <c r="H13" i="22" s="1"/>
  <c r="L15" i="5"/>
  <c r="G10" i="22" s="1"/>
  <c r="H10" i="22" s="1"/>
  <c r="L17" i="5"/>
  <c r="G12" i="22" s="1"/>
  <c r="H12" i="22" s="1"/>
  <c r="L21" i="5"/>
  <c r="G16" i="22" s="1"/>
  <c r="H16" i="22" s="1"/>
  <c r="L16" i="5"/>
  <c r="G11" i="22" s="1"/>
  <c r="H11" i="22" s="1"/>
  <c r="L19" i="5"/>
  <c r="G14" i="22" s="1"/>
  <c r="H14" i="22" s="1"/>
  <c r="M15" i="17"/>
  <c r="N15" i="17" s="1"/>
  <c r="O15" i="17" s="1"/>
  <c r="M11" i="17"/>
  <c r="N11" i="17" s="1"/>
  <c r="O11" i="17" s="1"/>
  <c r="K13" i="17"/>
  <c r="L13" i="17" s="1"/>
  <c r="K17" i="17"/>
  <c r="L17" i="17" s="1"/>
  <c r="K16" i="17"/>
  <c r="L16" i="17" s="1"/>
  <c r="K12" i="17"/>
  <c r="L12" i="17" s="1"/>
  <c r="R15" i="5" l="1"/>
  <c r="R19" i="5"/>
  <c r="O11" i="5"/>
  <c r="N12" i="5"/>
  <c r="R18" i="5"/>
  <c r="R20" i="5"/>
  <c r="R21" i="5"/>
  <c r="N13" i="5"/>
  <c r="R16" i="5"/>
  <c r="R17" i="5"/>
  <c r="M13" i="17"/>
  <c r="N13" i="17" s="1"/>
  <c r="O13" i="17" s="1"/>
  <c r="M17" i="17"/>
  <c r="N17" i="17" s="1"/>
  <c r="O17" i="17" s="1"/>
  <c r="M12" i="17"/>
  <c r="N12" i="17" s="1"/>
  <c r="O12" i="17" s="1"/>
  <c r="M16" i="17"/>
  <c r="N16" i="17" s="1"/>
  <c r="O16" i="17" s="1"/>
  <c r="R11" i="5" l="1"/>
  <c r="O12" i="5"/>
  <c r="K12" i="5" s="1"/>
  <c r="O13" i="5"/>
  <c r="K13" i="5" s="1"/>
  <c r="O20" i="17"/>
  <c r="L12" i="5" l="1"/>
  <c r="L13" i="5"/>
  <c r="G6" i="22"/>
  <c r="H6" i="22" s="1"/>
  <c r="R13" i="5" l="1"/>
  <c r="R12" i="5"/>
  <c r="G8" i="22"/>
  <c r="H8" i="22" s="1"/>
  <c r="G7" i="22"/>
  <c r="H7" i="22" s="1"/>
  <c r="E3" i="14"/>
  <c r="F3" i="14" s="1"/>
  <c r="E4" i="14"/>
  <c r="F4" i="14" s="1"/>
  <c r="E5" i="14"/>
  <c r="F5" i="14" s="1"/>
  <c r="E6" i="14"/>
  <c r="F6" i="14" s="1"/>
  <c r="E7" i="14"/>
  <c r="F7" i="14" s="1"/>
  <c r="E8" i="14"/>
  <c r="F8" i="14" s="1"/>
  <c r="E9" i="14"/>
  <c r="F9" i="14" s="1"/>
  <c r="E10" i="14"/>
  <c r="F10" i="14" s="1"/>
  <c r="E11" i="14"/>
  <c r="F11" i="14" s="1"/>
  <c r="E12" i="14"/>
  <c r="F12" i="14" s="1"/>
  <c r="E13" i="14"/>
  <c r="F13" i="14" s="1"/>
  <c r="E2" i="14"/>
  <c r="F2" i="14" s="1"/>
  <c r="H17" i="22" l="1"/>
  <c r="G17" i="22"/>
  <c r="R8" i="5"/>
  <c r="C4" i="13"/>
  <c r="D4" i="13" s="1"/>
  <c r="C5" i="13"/>
  <c r="D5" i="13" s="1"/>
  <c r="C6" i="13"/>
  <c r="D6" i="13" s="1"/>
  <c r="C7" i="13"/>
  <c r="D7" i="13" s="1"/>
  <c r="C8" i="13"/>
  <c r="D8" i="13" s="1"/>
  <c r="C9" i="13"/>
  <c r="D9" i="13" s="1"/>
  <c r="C10" i="13"/>
  <c r="D10" i="13" s="1"/>
  <c r="C11" i="13"/>
  <c r="D11" i="13" s="1"/>
  <c r="C12" i="13"/>
  <c r="D12" i="13" s="1"/>
  <c r="C13" i="13"/>
  <c r="D13" i="13" s="1"/>
  <c r="C14" i="13"/>
  <c r="D14" i="13" s="1"/>
  <c r="C3" i="13"/>
  <c r="D3" i="13" s="1"/>
  <c r="L8" i="5" l="1"/>
  <c r="G22" i="5" l="1"/>
  <c r="S20" i="11" l="1"/>
  <c r="R20" i="11"/>
  <c r="Q20" i="11"/>
  <c r="P20" i="11"/>
  <c r="L20" i="11"/>
  <c r="K20" i="11"/>
  <c r="J20" i="11"/>
  <c r="I20" i="11"/>
  <c r="H20" i="11"/>
  <c r="B2" i="11" a="1"/>
  <c r="E17" i="8" l="1"/>
  <c r="E22" i="8"/>
  <c r="F22" i="8" s="1"/>
  <c r="E23" i="8"/>
  <c r="F23" i="8" s="1"/>
  <c r="G23" i="8" s="1"/>
  <c r="H23" i="8" s="1"/>
  <c r="E24" i="8"/>
  <c r="F24" i="8" s="1"/>
  <c r="G24" i="8" s="1"/>
  <c r="H24" i="8" s="1"/>
  <c r="I23" i="8" l="1"/>
  <c r="M6" i="11" s="1"/>
  <c r="G22" i="8"/>
  <c r="H22" i="8" s="1"/>
  <c r="I22" i="8" s="1"/>
  <c r="M5" i="11" s="1"/>
  <c r="I24" i="8"/>
  <c r="M7" i="11" s="1"/>
  <c r="C6" i="10"/>
  <c r="O9" i="11" s="1"/>
  <c r="C7" i="10"/>
  <c r="O10" i="11" s="1"/>
  <c r="C8" i="10"/>
  <c r="O11" i="11" s="1"/>
  <c r="C9" i="10"/>
  <c r="O13" i="11" s="1"/>
  <c r="C10" i="10"/>
  <c r="O14" i="11" s="1"/>
  <c r="C11" i="10"/>
  <c r="O15" i="11" s="1"/>
  <c r="C12" i="10"/>
  <c r="O12" i="11" s="1"/>
  <c r="C13" i="10"/>
  <c r="O16" i="11" s="1"/>
  <c r="C14" i="10"/>
  <c r="O17" i="11" s="1"/>
  <c r="C15" i="10"/>
  <c r="O18" i="11" s="1"/>
  <c r="C16" i="10"/>
  <c r="O19" i="11" s="1"/>
  <c r="C17" i="10"/>
  <c r="C18" i="10"/>
  <c r="C5" i="10"/>
  <c r="O8" i="11" s="1"/>
  <c r="O20" i="11" l="1"/>
  <c r="Z5" i="11"/>
  <c r="M20" i="11"/>
  <c r="W5" i="11"/>
  <c r="X5" i="11" s="1"/>
  <c r="T5" i="11" s="1"/>
  <c r="W6" i="11"/>
  <c r="X6" i="11" s="1"/>
  <c r="T6" i="11" s="1"/>
  <c r="U6" i="11" s="1"/>
  <c r="Z6" i="11"/>
  <c r="Z7" i="11"/>
  <c r="W7" i="11"/>
  <c r="X7" i="11" s="1"/>
  <c r="T7" i="11" s="1"/>
  <c r="U7" i="11" s="1"/>
  <c r="K7" i="9"/>
  <c r="N9" i="11" s="1"/>
  <c r="K8" i="9"/>
  <c r="N10" i="11" s="1"/>
  <c r="K9" i="9"/>
  <c r="N11" i="11" s="1"/>
  <c r="K16" i="9"/>
  <c r="N18" i="11" s="1"/>
  <c r="K17" i="9"/>
  <c r="N19" i="11" s="1"/>
  <c r="Z19" i="11" s="1"/>
  <c r="K18" i="9"/>
  <c r="K19" i="9"/>
  <c r="K20" i="9"/>
  <c r="K21" i="9"/>
  <c r="J7" i="9"/>
  <c r="J8" i="9"/>
  <c r="J9" i="9"/>
  <c r="J10" i="9"/>
  <c r="K10" i="9" s="1"/>
  <c r="N13" i="11" s="1"/>
  <c r="J11" i="9"/>
  <c r="K11" i="9" s="1"/>
  <c r="N14" i="11" s="1"/>
  <c r="J12" i="9"/>
  <c r="K12" i="9" s="1"/>
  <c r="N15" i="11" s="1"/>
  <c r="J13" i="9"/>
  <c r="K13" i="9" s="1"/>
  <c r="N12" i="11" s="1"/>
  <c r="J14" i="9"/>
  <c r="K14" i="9" s="1"/>
  <c r="N16" i="11" s="1"/>
  <c r="J15" i="9"/>
  <c r="K15" i="9" s="1"/>
  <c r="N17" i="11" s="1"/>
  <c r="J16" i="9"/>
  <c r="J17" i="9"/>
  <c r="J18" i="9"/>
  <c r="J19" i="9"/>
  <c r="J20" i="9"/>
  <c r="J21" i="9"/>
  <c r="J22" i="9"/>
  <c r="K22" i="9" s="1"/>
  <c r="J23" i="9"/>
  <c r="K23" i="9" s="1"/>
  <c r="J6" i="9"/>
  <c r="K6" i="9" s="1"/>
  <c r="N8" i="11" s="1"/>
  <c r="Z12" i="11" l="1"/>
  <c r="W12" i="11"/>
  <c r="X12" i="11" s="1"/>
  <c r="T12" i="11" s="1"/>
  <c r="Z15" i="11"/>
  <c r="W15" i="11"/>
  <c r="X15" i="11" s="1"/>
  <c r="T15" i="11" s="1"/>
  <c r="W17" i="11"/>
  <c r="X17" i="11" s="1"/>
  <c r="T17" i="11" s="1"/>
  <c r="Z17" i="11"/>
  <c r="N20" i="11"/>
  <c r="W8" i="11"/>
  <c r="X8" i="11" s="1"/>
  <c r="T8" i="11" s="1"/>
  <c r="Z8" i="11"/>
  <c r="Z14" i="11"/>
  <c r="W14" i="11"/>
  <c r="X14" i="11" s="1"/>
  <c r="T14" i="11" s="1"/>
  <c r="W13" i="11"/>
  <c r="X13" i="11" s="1"/>
  <c r="T13" i="11" s="1"/>
  <c r="Z13" i="11"/>
  <c r="W16" i="11"/>
  <c r="X16" i="11" s="1"/>
  <c r="T16" i="11" s="1"/>
  <c r="Z16" i="11"/>
  <c r="W10" i="11"/>
  <c r="X10" i="11" s="1"/>
  <c r="T10" i="11" s="1"/>
  <c r="Z10" i="11"/>
  <c r="W9" i="11"/>
  <c r="X9" i="11" s="1"/>
  <c r="T9" i="11" s="1"/>
  <c r="Z9" i="11"/>
  <c r="W19" i="11"/>
  <c r="X19" i="11" s="1"/>
  <c r="T19" i="11" s="1"/>
  <c r="Z11" i="11"/>
  <c r="W11" i="11"/>
  <c r="X11" i="11" s="1"/>
  <c r="T11" i="11" s="1"/>
  <c r="Z18" i="11"/>
  <c r="W18" i="11"/>
  <c r="X18" i="11" s="1"/>
  <c r="T18" i="11" s="1"/>
  <c r="U5" i="11"/>
  <c r="N7" i="5"/>
  <c r="AA18" i="11" l="1"/>
  <c r="U18" i="11"/>
  <c r="AA13" i="11"/>
  <c r="U13" i="11"/>
  <c r="AA17" i="11"/>
  <c r="U17" i="11"/>
  <c r="U8" i="11"/>
  <c r="U20" i="11" s="1"/>
  <c r="AA8" i="11"/>
  <c r="U15" i="11"/>
  <c r="AA15" i="11"/>
  <c r="AA11" i="11"/>
  <c r="U11" i="11"/>
  <c r="AA14" i="11"/>
  <c r="U14" i="11"/>
  <c r="U9" i="11"/>
  <c r="AA9" i="11"/>
  <c r="U12" i="11"/>
  <c r="AA12" i="11"/>
  <c r="AA19" i="11"/>
  <c r="U19" i="11"/>
  <c r="AA10" i="11"/>
  <c r="U10" i="11"/>
  <c r="U16" i="11"/>
  <c r="AA16" i="11"/>
  <c r="T20" i="11"/>
  <c r="O7" i="5"/>
  <c r="K7" i="5" l="1"/>
  <c r="R7" i="5" l="1"/>
  <c r="L7" i="5"/>
  <c r="N6" i="5" l="1"/>
  <c r="O6" i="5" l="1"/>
  <c r="K6" i="5" s="1"/>
  <c r="R6" i="5" l="1"/>
  <c r="K22" i="5"/>
  <c r="L6" i="5"/>
  <c r="L22" i="5" s="1"/>
  <c r="M8" i="23" l="1"/>
  <c r="H8" i="23" l="1"/>
  <c r="I2" i="23"/>
  <c r="M23" i="23"/>
  <c r="M17" i="23"/>
  <c r="M24" i="23"/>
  <c r="M21" i="23"/>
  <c r="N8" i="23"/>
  <c r="M10" i="23"/>
  <c r="M9" i="23"/>
  <c r="E8" i="23"/>
  <c r="D8" i="23"/>
  <c r="N24" i="23" l="1"/>
  <c r="N21" i="23"/>
  <c r="N23" i="23"/>
  <c r="N17" i="23"/>
  <c r="I8" i="23"/>
  <c r="H21" i="23"/>
  <c r="H24" i="23"/>
  <c r="H23" i="23"/>
  <c r="H17" i="23"/>
  <c r="H10" i="23"/>
  <c r="I4" i="23"/>
  <c r="M18" i="23"/>
  <c r="M11" i="23"/>
  <c r="N9" i="23"/>
  <c r="I3" i="23"/>
  <c r="H9" i="23"/>
  <c r="N10" i="23"/>
  <c r="M22" i="23"/>
  <c r="M19" i="23"/>
  <c r="M20" i="23"/>
  <c r="E10" i="23"/>
  <c r="D10" i="23"/>
  <c r="E9" i="23"/>
  <c r="E18" i="23" s="1"/>
  <c r="D9" i="23"/>
  <c r="D18" i="23" s="1"/>
  <c r="D23" i="23"/>
  <c r="D17" i="23"/>
  <c r="D21" i="23"/>
  <c r="D24" i="23"/>
  <c r="E23" i="23"/>
  <c r="E17" i="23"/>
  <c r="E24" i="23"/>
  <c r="E21" i="23"/>
  <c r="I23" i="23" l="1"/>
  <c r="I17" i="23"/>
  <c r="I24" i="23"/>
  <c r="I21" i="23"/>
  <c r="J8" i="23"/>
  <c r="H11" i="23"/>
  <c r="I9" i="23"/>
  <c r="H18" i="23"/>
  <c r="N18" i="23"/>
  <c r="N11" i="23"/>
  <c r="M26" i="23"/>
  <c r="H19" i="23"/>
  <c r="H20" i="23"/>
  <c r="I10" i="23"/>
  <c r="H22" i="23"/>
  <c r="N22" i="23"/>
  <c r="N19" i="23"/>
  <c r="N20" i="23"/>
  <c r="E22" i="23"/>
  <c r="E19" i="23"/>
  <c r="E20" i="23"/>
  <c r="D22" i="23"/>
  <c r="D20" i="23"/>
  <c r="D19" i="23"/>
  <c r="D11" i="23"/>
  <c r="K8" i="23" l="1"/>
  <c r="J23" i="23"/>
  <c r="J17" i="23"/>
  <c r="J24" i="23"/>
  <c r="J21" i="23"/>
  <c r="E26" i="23"/>
  <c r="N26" i="23"/>
  <c r="H26" i="23"/>
  <c r="I20" i="23"/>
  <c r="J10" i="23"/>
  <c r="I22" i="23"/>
  <c r="I19" i="23"/>
  <c r="J9" i="23"/>
  <c r="I11" i="23"/>
  <c r="I18" i="23"/>
  <c r="D26" i="23"/>
  <c r="K24" i="23" l="1"/>
  <c r="K21" i="23"/>
  <c r="L8" i="23"/>
  <c r="K23" i="23"/>
  <c r="K17" i="23"/>
  <c r="I26" i="23"/>
  <c r="J11" i="23"/>
  <c r="J18" i="23"/>
  <c r="K9" i="23"/>
  <c r="K10" i="23"/>
  <c r="J20" i="23"/>
  <c r="J22" i="23"/>
  <c r="J19" i="23"/>
  <c r="L23" i="23" l="1"/>
  <c r="O23" i="23" s="1"/>
  <c r="L17" i="23"/>
  <c r="O17" i="23" s="1"/>
  <c r="L21" i="23"/>
  <c r="O21" i="23" s="1"/>
  <c r="L24" i="23"/>
  <c r="O24" i="23" s="1"/>
  <c r="O8" i="23"/>
  <c r="J26" i="23"/>
  <c r="K20" i="23"/>
  <c r="L10" i="23"/>
  <c r="K22" i="23"/>
  <c r="K19" i="23"/>
  <c r="L9" i="23"/>
  <c r="K18" i="23"/>
  <c r="K11" i="23"/>
  <c r="K26" i="23" l="1"/>
  <c r="L18" i="23"/>
  <c r="O18" i="23" s="1"/>
  <c r="L11" i="23"/>
  <c r="O9" i="23"/>
  <c r="L19" i="23"/>
  <c r="O19" i="23" s="1"/>
  <c r="L20" i="23"/>
  <c r="O20" i="23" s="1"/>
  <c r="L22" i="23"/>
  <c r="O22" i="23" s="1"/>
  <c r="O10" i="23"/>
  <c r="D32" i="23" l="1"/>
  <c r="D33" i="23"/>
  <c r="D34" i="23"/>
  <c r="O11" i="23"/>
  <c r="L26" i="23"/>
  <c r="O26" i="23" s="1"/>
  <c r="E15" i="29" l="1"/>
  <c r="D9" i="29" l="1"/>
  <c r="E9" i="29" s="1"/>
  <c r="B2"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tc={63765E9C-699E-49F3-A751-E777EA4B0C23}</author>
  </authors>
  <commentList>
    <comment ref="D1" authorId="0" shapeId="0" xr:uid="{63765E9C-699E-49F3-A751-E777EA4B0C23}">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@William Jose Solis Ochoa, EL FORMATO DE OFERTA ECONOMICA DEBE AJUSTARSE, DADO QUE DEBE INCLUIR EL VALOR DEL PERSONAL PARA QUE SE ALLEGUE EL VALOR TOTAL.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Nelson Javier Arguellez Palacios</author>
  </authors>
  <commentList>
    <comment ref="O9" authorId="0" shapeId="0" xr:uid="{00000000-0006-0000-0600-000001000000}">
      <text>
        <r>
          <rPr>
            <b/>
            <sz val="9"/>
            <color indexed="81"/>
            <rFont val="Tahoma"/>
            <family val="2"/>
          </rPr>
          <t>Ajuste a 100</t>
        </r>
        <r>
          <rPr>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<sst xmlns="http://schemas.openxmlformats.org/spreadsheetml/2006/main" count="851" uniqueCount="419">
  <si>
    <t>Proyección Resolución 
CIRCULAR EXTERNA 
N° 20251300000115CS</t>
  </si>
  <si>
    <t>ITEM</t>
  </si>
  <si>
    <t>PRODUCTO O SERVICIO</t>
  </si>
  <si>
    <t>ESPECIFICACION TECNICA</t>
  </si>
  <si>
    <t>UNIDAD DE MEDIDA A COTIZAR</t>
  </si>
  <si>
    <t>CANTIDAD A COTIZAR</t>
  </si>
  <si>
    <t>Cotización 1
VALOR UNITARIO (INCLUIDO IVA SI APLICA)</t>
  </si>
  <si>
    <t>Cotización 2
VALOR UNITARIO (INCLUIDO IVA SI APLICA)</t>
  </si>
  <si>
    <t>Cotización 3
VALOR UNITARIO (INCLUIDO IVA SI APLICA)</t>
  </si>
  <si>
    <t>Cotización 4
VALOR UNITARIO (INCLUIDO IVA SI APLICA)</t>
  </si>
  <si>
    <t>VALOR UNITARIO PROMEDIO O MEDIANA (INCLUIDO IVA SI APLICA)</t>
  </si>
  <si>
    <t>VALOR PROMEDIO O MEDIANA TOTAL (INCLUIDO IVA SI APLICA)</t>
  </si>
  <si>
    <t>FUENTE DE CONSULTA</t>
  </si>
  <si>
    <t>DESVIACIÓN ESTÁNDAR</t>
  </si>
  <si>
    <t>SI DESVEST ES &gt;15% SE PROMEDIA CON MEDIANA</t>
  </si>
  <si>
    <t>Cotizaciones Elemento</t>
  </si>
  <si>
    <t>Probabilidad de ahorro</t>
  </si>
  <si>
    <t>Talento humano</t>
  </si>
  <si>
    <t>Servicio humano SIN ARMA (24 horas del día de Lunes a Domingo) - Mes de servicio (Incluye Impuestos, Seguros, AIU)</t>
  </si>
  <si>
    <t>Mes</t>
  </si>
  <si>
    <t>Servicio humano CON ARMA (24 horas del día de Lunes a Domingo) - Mes de servicio (Incluye Impuestos, Seguros, AIU)</t>
  </si>
  <si>
    <t>Servicio humano CON CANINO (24 horas del día de Lunes a Domingo) - Mes de servicio (Incluye Impuestos, Seguros, AIU)</t>
  </si>
  <si>
    <t>Servicio humano sin arma (12 horas diarias de lunes a viernes sin festivos)</t>
  </si>
  <si>
    <t>Servicio humano sin arma (12 horas diarias de lunes a sábado sin festivos)</t>
  </si>
  <si>
    <t>Servicio Alquiler</t>
  </si>
  <si>
    <t>CCTV compuesto por 140 cámaras Tipo domo IP  - Precio Alquiler Por Mes</t>
  </si>
  <si>
    <t>Brazos para soporte de cámaras  - Precio Alquiler Por Mes</t>
  </si>
  <si>
    <t>Alquiler RACK para Instalación de los equipos de grabación  - Precio Alquiler Por Mes</t>
  </si>
  <si>
    <t>Monitores LED de 50”  -  Precio Alquiler Por Mes</t>
  </si>
  <si>
    <t>Kit´s de alarma - Precio Alquiler Por Mes</t>
  </si>
  <si>
    <t>Computadores de escritorio - Precio Alquiler Por Mes</t>
  </si>
  <si>
    <t>Impresoras térmicas para stikers - Precio Alquiler Por Mes</t>
  </si>
  <si>
    <t xml:space="preserve"> Lector de registro de cedula - Precio Alquiler Por Mes</t>
  </si>
  <si>
    <t>Equipo biométrico - Precio Alquiler Por Mes</t>
  </si>
  <si>
    <t>Baños portátiles con sistema flushing con bomba de piso - Precio Alquiler Por Mes</t>
  </si>
  <si>
    <t>Unitario</t>
  </si>
  <si>
    <t xml:space="preserve">PROYECCIÓN COSTOS </t>
  </si>
  <si>
    <t>VALORES UNITARIOS</t>
  </si>
  <si>
    <t>VALOR UNITARIO ANTES DE IVA</t>
  </si>
  <si>
    <t>CCTV</t>
  </si>
  <si>
    <t>Brazo soporte</t>
  </si>
  <si>
    <t>RACK</t>
  </si>
  <si>
    <t>MONITORES</t>
  </si>
  <si>
    <t>ALARMA</t>
  </si>
  <si>
    <t>COMPUTADOR</t>
  </si>
  <si>
    <t>IMPRESORA</t>
  </si>
  <si>
    <t>LECTOR</t>
  </si>
  <si>
    <t>BIOMETRICO</t>
  </si>
  <si>
    <t>BAÑOS</t>
  </si>
  <si>
    <t>Elaborado por:</t>
  </si>
  <si>
    <t>ESTIMACIÓN DE COSTOS 2026</t>
  </si>
  <si>
    <t>CIRCULAR 20251300000115CS</t>
  </si>
  <si>
    <t>ESTIMACIÓN DE COSTOS DEL 15/07/2026 - 31/12/2026</t>
  </si>
  <si>
    <t>Tarifa Base Personal</t>
  </si>
  <si>
    <t>Base de incremento por costos</t>
  </si>
  <si>
    <t>Valor estimado antes de variables</t>
  </si>
  <si>
    <t>SERVICIO</t>
  </si>
  <si>
    <t xml:space="preserve"> VALOR </t>
  </si>
  <si>
    <t xml:space="preserve"> SEGURO DE VIDA  </t>
  </si>
  <si>
    <t xml:space="preserve">VARIABLE PROPORCIONALIDAD </t>
  </si>
  <si>
    <t xml:space="preserve">VALOR 25 DIAS </t>
  </si>
  <si>
    <t xml:space="preserve">Porcentaje de gastos de administración y supervisión </t>
  </si>
  <si>
    <t>Gasto de Administración y de supervisión</t>
  </si>
  <si>
    <t xml:space="preserve"> TOTAL SIN IVA </t>
  </si>
  <si>
    <t xml:space="preserve"> AIU 10% DEL SERVICIO </t>
  </si>
  <si>
    <t xml:space="preserve"> IVA 19% </t>
  </si>
  <si>
    <t xml:space="preserve"> TOTAL CON IVA </t>
  </si>
  <si>
    <t>24 HORAS</t>
  </si>
  <si>
    <t>ESTIMACIÓN DE COSTOS 2027</t>
  </si>
  <si>
    <t>ESTIMACION AÑO  2027</t>
  </si>
  <si>
    <t>ESTIMACIÓN DE COSTOS DEL 01/01/2027 - 14/07/2027</t>
  </si>
  <si>
    <t>Porcentaje</t>
  </si>
  <si>
    <t xml:space="preserve"> A y S</t>
  </si>
  <si>
    <t>Año</t>
  </si>
  <si>
    <t>Aumento</t>
  </si>
  <si>
    <t>Salario Mínimo</t>
  </si>
  <si>
    <t xml:space="preserve">PROMEDIO </t>
  </si>
  <si>
    <t>RECURSO HUMANO - ALCALDIA LOCAL DE KENNEDY</t>
  </si>
  <si>
    <t>CIRCULAR EXTERNA N° 20251300000115CS - 30 diciembre de 2025 SuperVigilancia</t>
  </si>
  <si>
    <t>UBICACIÓN</t>
  </si>
  <si>
    <t>No PUESTOS</t>
  </si>
  <si>
    <t>CARACTERISTICAS</t>
  </si>
  <si>
    <t xml:space="preserve">25 DIAS </t>
  </si>
  <si>
    <t>SUMATORIA</t>
  </si>
  <si>
    <t>Servicio humano sin arma las 24 horas del día de Lunes a Domingo</t>
  </si>
  <si>
    <t>Servicio humano CON arma las 24 horas del día de Lunes a Domingo</t>
  </si>
  <si>
    <t>SEDE CARVAJAL</t>
  </si>
  <si>
    <t>VALOR TOTAL TALENTO HUMANO</t>
  </si>
  <si>
    <t xml:space="preserve">VALOR TOTAL DE LA PROPUESTA OFERTADA </t>
  </si>
  <si>
    <t>FONDO DE DESARROLLO LOCAL DE KENNEDY</t>
  </si>
  <si>
    <t xml:space="preserve">FORMATO DE PROPUESTA ECONOMICA </t>
  </si>
  <si>
    <t xml:space="preserve">OBJETO: CONTRATAR LA PRESTACIÓN DEL SERVICIO INTEGRAL DE VIGILANCIA Y SEGURIDAD PRIVADA EN LA MODALIDAD DE VIGILANCIA FIJA, CON MEDIO HUMANO CON Y SIN ARMA, Y MEDIOS TECNOLÓGICOS, PARA LA PROTECCIÓN DE LAS PERSONAS, BIENES MUEBLES E INMUEBLES Y DEMÁS INTERESES PATRIMONIALES DEL FONDO DESARROLLO LOCAL DE KENNEDY Y DE AQUELLOS POR LOS CUALES SEA O LLEGARE A SER LEGALMENTE RESPONSABLE. </t>
  </si>
  <si>
    <t>Items</t>
  </si>
  <si>
    <t>Nombre</t>
  </si>
  <si>
    <t>Descripción</t>
  </si>
  <si>
    <t xml:space="preserve">Meses </t>
  </si>
  <si>
    <t xml:space="preserve">Unidad de
Medida </t>
  </si>
  <si>
    <t>Cantidad</t>
  </si>
  <si>
    <t>VALOR UNITARIO TECHO ANTES DE IVA
(A)</t>
  </si>
  <si>
    <t>VALOR UNITARIO TECHO INCLUIDO IVA
(B)</t>
  </si>
  <si>
    <t>VALOR TOTAL INCLUIDO IVA 
(B* Cantidad * Meses)</t>
  </si>
  <si>
    <t xml:space="preserve">VALOR UNITARIO ANTES DE IVA </t>
  </si>
  <si>
    <t>% IVA</t>
  </si>
  <si>
    <t xml:space="preserve">VALOR UNITARIO INCLUIDO IVA </t>
  </si>
  <si>
    <t xml:space="preserve">VALOR TOTAL OFERTA INCLUIDO IVA </t>
  </si>
  <si>
    <t>CIRCUITO CERRADO DE TELEVISIÓN ALK</t>
  </si>
  <si>
    <t xml:space="preserve">Alquiler de Cámaras de video vigilancia Tipo domo IP  P </t>
  </si>
  <si>
    <t xml:space="preserve">REQUERIMIENTOS TÉCNICOS MÍNIMOS
cámaras Tipo do-mo IP
• Resolución mínima: 2 megapíxeles (Full HD) o superior.
• Sensibilidad lumínica:0.001 Lux @ (F1.0, AGC ON), 0 Lux con iluminación infrarroja o luz blanca.
• Compresión de video: H.265 / H.265+ / H.264 / H.264+.
• Ángulo de visión: Panorámica: 0° a 360°, Inclinación: 0° a 75°, Rotación: 0° a 360°. Lente mínimo 2.8 mm con FOV amplio.
• Protocolos: TCP/IP, HTTP, HTTPS, DHCP, DNS, RTP, RTSP, NTP, IGMP, IPv4/IPv6, SSL/TLS.
• Compatibilidad: Compatible con el sistema actual de la Alcaldía y protocolo ONVIF Perfil S/G/T.
• Interfaz de red: Puerto Ethernet RJ45 10/100 Mbps autoadaptativo.
• Alimentación: 12 VDC ±25% y/o PoE IEEE 802.3af Clase 3.
• Consumo máximo: 6.5 W por cámara.
• Protección: IP66 o superior para exterior, IK10 cuando aplique en zonas de riesgo o exposición.
• Cableado:Se deberá conservar el cableado existente si cumple condiciones técnicas.
En caso contrario, se deberá suministrar e instalar cableado UTP categoría 6A en cobre certificado.
• Instalación: Incluye suministro, instalación, configuración, integración, pruebas y puesta en marcha del sistema completo.
Almacenamiento: la infraestructura de almacenamiento (servidores, NVR, discos duros tipo Surveillance o Enterprise) necesaria para garantizar la grabación continua (24/7) de las 140 cámaras por un periodo mínimo de 90 días (3 meses).
Electrónica de Red (Switches): El servicio incluye el suministro y configuración de los switches administrables necesarios. El contratista deberá proveer equipos con puertos suficientes y capacidad Power over Ethernet (PoE) para energizar el 100% de las cámaras sin interrupciones.                                                                                                                                                             DEBE QUEDAR INSTALADO Y EN FUNCIONAMIENTO CON EL  CABLEADO QUE SEA REQUERIDO PARA SU FUNCIONAMIENTO
</t>
  </si>
  <si>
    <t>mes</t>
  </si>
  <si>
    <t>Alquiler Brazos para soporte de cámaras</t>
  </si>
  <si>
    <t xml:space="preserve">Brazos para soporte de cámaras de 0.5 metros a un metro metálico de color blanco o negro 
Con instalación y puesta en marcha ( EN LOS DOS COSTADOS DE LA ALCALDIA - DERECHA E IZQUIERDA CON VISTA AL PARQUEADERO)
</t>
  </si>
  <si>
    <t>Alquiler de RACK  mural para Instalación de los switches por piso</t>
  </si>
  <si>
    <t>Rack mural tipo gabinete cerrado para telecomunicaciones, con las siguientes características mínimas:
• Formato estándar de 19 pulgadas.
• Estructura metálica de alta resistencia.
• Montaje en pared.
• Puerta frontal con ventilación lateral y cerradura.
• Organización interna mediante patch panel, bandejas y organizadores horizontales de cableado.
• Espacio para instalación de switches, NVR y equipos de videovigilancia.
• Regleta eléctrica interna (PDU) mínimo de 6 tomas.
• Ventilación activa o ventiladores superiores.
Dimensiones mínimas recomendadas:
• Altura: entre 12U y 15U.
• Fondo mínimo: 60 cm.
• Capacidad de carga mínima: 40 kg.
Debe permitir la instalación y correcta operación de:
• Switches administrables y/o PoE.
• Equipos de videovigilancia tipo NVR.
• Patch panel.
• Organizadores de cableado.
• Cableado estructurado UTP y/o fibra óptica.
El rack deberá garantizar adecuada ventilación, distribución eléctrica y organización del cableado para asegurar el correcto funcionamiento de los equipos tecnológicos.
Debe incluir:
• Instalación.
• Configuración.
• Organización interna del cableado.
• Puesta en marcha.
• Todos los accesorios requeridos para su correcto funcionamiento.</t>
  </si>
  <si>
    <t xml:space="preserve">Aquiler de rack de piso para instalación de los NVR </t>
  </si>
  <si>
    <t>Rack de Piso (Gabinete Principal) para alojamiento de NVR y Core de red, con las siguientes características mínimas:
• Formato estándar de 19 pulgadas.
• Estructura metálica en acero laminado en frío de alta resistencia.
• Gabinete autosoportado (de piso) con rodachinas de alta resistencia y niveladores.
• Puerta frontal y posterior microperforadas (malla) para garantizar un flujo de aire óptimo y disipación de calor, ambas con cerradura de seguridad.
• Paneles laterales desmontables con cerradura.
• Organización interna mediante patch panel, bandejas de alta resistencia y organizadores de cableado verticales y horizontales.
• Espacio y profundidad adecuada para instalación de switches core, servidores de videovigilancia (NVR) de gran formato y sistemas de alimentación ininterrumpida (UPS).
• Regletas eléctricas (PDU): Mínimo dos (2) regletas de montaje vertical con mínimo 10 tomas cada una.
• Sistema de ventilación activa en el techo (mínimo 4 ventiladores).
Dimensiones mínimas recomendadas:
• Altura: entre 32U y 42U
• Fondo mínimo: 100 cm (1000 mm). 
• Capacidad de carga estática mínima: 800 kg.
Debe permitir la instalación y correcta operación de:
• Servidores de almacenamiento y/o equipos de videovigilancia tipo NVR de alta densidad.
• Switches administrables de distribución/core.
• Patch panel y organizadores de cableado de alta densidad.
• Cableado estructurado UTP y/o fibra óptica (bandejas de empalme).</t>
  </si>
  <si>
    <t xml:space="preserve">Alquiler de Monitores LED de 50” </t>
  </si>
  <si>
    <t xml:space="preserve">Con entradas: VGA, DVI, HDMI, USB con bocinas internas y soporte de fijación tipo pared y/o tipo mesa. 
Estos monitores deben quedar instaladas en los mismos puntos con los que actualmente cuenta el Fondo Local de Kennedy o en su defecto los puntos recomendados por el área de TIC con instalación y puesta en marcha 
</t>
  </si>
  <si>
    <t>SISTEMAS PARA EL CONTROL DE ACCESO INTEGRAL</t>
  </si>
  <si>
    <t>Computadores de escritorio</t>
  </si>
  <si>
    <t>Las especificaciones de los computado-res de escritorio mínimo deben tener las siguientes características: 
• Procesador (CPU): Intel Core i5 de 14ª generación en adelante o AMD Ryzen 5 (serie 5000 o superior)
• Memoria RAM:16 GB DDR5 (mínimo)
• Almacenamiento: 512  GB SSD (mínimo)
• Sistema Operativo: Windows: Win-dows 11 Pro
• Monitor: de 24 pulgadas Full HD (mínimo)
• Conectividad: Ethernet (RJ45), Conexión a WiFi (integrado), Bluetooth (integrado)
• Puertos: 4 puertos USB 3.0 (Minimo), 1 puerto HDMI o DisplayPort
• Periféricos: Teclado y mouse alambrcos conexión USB
• Cámara web HD integrada en el monitor
• Lectores o dispositivos adicionales según operación (eje: lector de có-digo de barras)
• Seguridad: Antivirus Licenciado 
DEBE TENER SOFTWARE REGISTRO DE VISITANTES Y DEBE QUEDAR INSTALADO Y EN FUNCIONAMIENTO CON EL  CABLEADO QUE SEA REQUERIDO PARA SU FUNCIONAMIENTO</t>
  </si>
  <si>
    <t xml:space="preserve">Impresoras térmicas para stikers </t>
  </si>
  <si>
    <t xml:space="preserve">Impresoras térmicas para impresión de stickers de ingreso de visitantes. 
El equipo deberá permitir la identificación de los visitantes mediante la impresión de información como: nombre completo, tipo y número de documento, fotografía, hora de ingreso, oficina a la cual se dirige y persona que autoriza el ingreso. 
Así mismo, el elemento deberá contar con tecnología de impresión térmica y ser compatible con el sistema operativo de los computadores de la entidad y sercompatible con e programa y equipos suministrados, incluyendo rollos de uso y de backup requeridos,                                                                         CON INSTALACION Y PUESTA EN MARCHA -  Y CABLEADO QUE SEA REQUERIDO PARA SU FUNCIONAMIENTO </t>
  </si>
  <si>
    <t>Lector de registro de cedulas</t>
  </si>
  <si>
    <t xml:space="preserve">Lector código de barras de las cedulas de ciudadania que permita registrar automáticamente en la base de datos la información de los visitantes. </t>
  </si>
  <si>
    <t>Equipo biométrico</t>
  </si>
  <si>
    <t xml:space="preserve">Con su respectivo enrolador que permita el registro de huellas, sensor óptico, control de tiempo y asistencia, comunicación TCP/IP, RS-485, identificación de huella en 1 segundo, mínimo 10.000 usuarios 
 Mínimo 50.000 eventos, kit de alimentación, software para el registro y salida de visitantes que será instalado en un equipo de cómputo de la entidad con entrega mensual de 20.000 stickers o etiquetas.  Con instalación y puesta en marcha </t>
  </si>
  <si>
    <t>TALENTO HUMANO</t>
  </si>
  <si>
    <t>No. PUESTOS</t>
  </si>
  <si>
    <t>VALOR UNITARIO TECHO DEL SERVICIO</t>
  </si>
  <si>
    <t>VALOR TOTAL DEL SERVICIO - 25 DÍAS</t>
  </si>
  <si>
    <t>TOTAL PUESTOS DE TRABAJO</t>
  </si>
  <si>
    <t>SEDE KENNEDY</t>
  </si>
  <si>
    <t>VALOR PROPUESTA ECONOMICA (TALENTO HUMANO + TECNOLOGICO Y LOGISITICO</t>
  </si>
  <si>
    <r>
      <rPr>
        <b/>
        <sz val="10"/>
        <color rgb="FF000000"/>
        <rFont val="Arial Narrow"/>
      </rPr>
      <t>Nota 1:</t>
    </r>
    <r>
      <rPr>
        <sz val="10"/>
        <color rgb="FF000000"/>
        <rFont val="Arial Narrow"/>
      </rPr>
      <t xml:space="preserve"> Columnas </t>
    </r>
    <r>
      <rPr>
        <b/>
        <u/>
        <sz val="10"/>
        <color rgb="FF000000"/>
        <rFont val="Arial Narrow"/>
      </rPr>
      <t>J</t>
    </r>
    <r>
      <rPr>
        <sz val="10"/>
        <color rgb="FF000000"/>
        <rFont val="Arial Narrow"/>
      </rPr>
      <t xml:space="preserve"> : El proponente debe diligenciar el valor unitario </t>
    </r>
    <r>
      <rPr>
        <b/>
        <u/>
        <sz val="10"/>
        <color rgb="FF000000"/>
        <rFont val="Arial Narrow"/>
      </rPr>
      <t>ANTES DE  IVA</t>
    </r>
    <r>
      <rPr>
        <sz val="10"/>
        <color rgb="FF000000"/>
        <rFont val="Arial Narrow"/>
      </rPr>
      <t xml:space="preserve">  ofertado para cada bien/servicio tecnológico y logístico. Dicho valor no debe superar el valor de referencia.</t>
    </r>
  </si>
  <si>
    <r>
      <rPr>
        <b/>
        <sz val="10"/>
        <rFont val="Arial Narrow"/>
        <family val="2"/>
      </rPr>
      <t>Nota 2:</t>
    </r>
    <r>
      <rPr>
        <sz val="10"/>
        <rFont val="Arial Narrow"/>
        <family val="2"/>
      </rPr>
      <t xml:space="preserve"> La sección  (Talento Humano) corresponde exactamente a la hoja "RECURSO HUMANO 2026" del Estudio de Mercado, con base en la Circular Externa N° 20251300000115CS del 30 de diciembre de 2025 de la Superintendencia de Vigilancia y Seguridad Privada. Los valores ya incluyen impuestos, seguros y AIU y NO son modificables por el proponente.</t>
    </r>
  </si>
  <si>
    <r>
      <rPr>
        <b/>
        <sz val="10"/>
        <rFont val="Arial Narrow"/>
        <family val="2"/>
      </rPr>
      <t>Nota 3:</t>
    </r>
    <r>
      <rPr>
        <sz val="10"/>
        <rFont val="Arial Narrow"/>
        <family val="2"/>
      </rPr>
      <t xml:space="preserve"> La sección de (Tecnológico y Logístico) toma como referencia el valor total para el Estudio de Mercado de cada ítem (hoja COMPONENTES LOGIS Y TECN, columna "Valor total para el Estudio de Mercado").</t>
    </r>
  </si>
  <si>
    <r>
      <rPr>
        <b/>
        <sz val="10"/>
        <rFont val="Arial Narrow"/>
        <family val="2"/>
      </rPr>
      <t>Nota 4</t>
    </r>
    <r>
      <rPr>
        <sz val="10"/>
        <rFont val="Arial Narrow"/>
        <family val="2"/>
      </rPr>
      <t>: El oferente en su propuesta no podrá modificar las características técnicas</t>
    </r>
  </si>
  <si>
    <r>
      <rPr>
        <b/>
        <sz val="10"/>
        <rFont val="Arial Narrow"/>
        <family val="2"/>
      </rPr>
      <t>Nota 5</t>
    </r>
    <r>
      <rPr>
        <sz val="10"/>
        <rFont val="Arial Narrow"/>
        <family val="2"/>
      </rPr>
      <t>: Los valores unitarios no pueden ser mayores a los definidos en el presupuesto oficial</t>
    </r>
  </si>
  <si>
    <r>
      <rPr>
        <b/>
        <sz val="10"/>
        <rFont val="Arial Narrow"/>
        <family val="2"/>
      </rPr>
      <t>Nota 6:</t>
    </r>
    <r>
      <rPr>
        <sz val="10"/>
        <rFont val="Arial Narrow"/>
        <family val="2"/>
      </rPr>
      <t xml:space="preserve"> La propuesta económica no debe presentar centavos, por tanto, el proponente deberá aproximarla al peso, ya sea por exceso si es mayor a 0.50, o por defecto si es menor o igual a 0.50</t>
    </r>
  </si>
  <si>
    <r>
      <rPr>
        <b/>
        <sz val="10"/>
        <rFont val="Arial Narrow"/>
        <family val="2"/>
      </rPr>
      <t>Nota 7</t>
    </r>
    <r>
      <rPr>
        <sz val="10"/>
        <rFont val="Arial Narrow"/>
        <family val="2"/>
      </rPr>
      <t>: El valor de la propuesta no podrá ser superior al presupuesto oficial establecido</t>
    </r>
  </si>
  <si>
    <r>
      <rPr>
        <b/>
        <sz val="10"/>
        <rFont val="Arial Narrow"/>
        <family val="2"/>
      </rPr>
      <t>Nota 8</t>
    </r>
    <r>
      <rPr>
        <sz val="10"/>
        <rFont val="Arial Narrow"/>
        <family val="2"/>
      </rPr>
      <t>: El presente formato no debe  modificarse  so pena de rechazo</t>
    </r>
  </si>
  <si>
    <r>
      <rPr>
        <b/>
        <sz val="10"/>
        <rFont val="Arial Narrow"/>
        <family val="2"/>
      </rPr>
      <t>Nota 9</t>
    </r>
    <r>
      <rPr>
        <sz val="10"/>
        <rFont val="Arial Narrow"/>
        <family val="2"/>
      </rPr>
      <t>: No se aceptan ofertar parciales.</t>
    </r>
  </si>
  <si>
    <t>ENERO-JUNIO 2025</t>
  </si>
  <si>
    <t>ENERO-MAYO 2025</t>
  </si>
  <si>
    <t>ENERO-ABRIL 2025</t>
  </si>
  <si>
    <t>ENERO-MARZO 2025</t>
  </si>
  <si>
    <t>ENERO-FEBRERO 2025</t>
  </si>
  <si>
    <t>ENEERO 2025</t>
  </si>
  <si>
    <t>FICHA TECNICA CON ESPECIFICACIONES PARA COTIZACIÓN PROCESO DE COTIZACIÓN FDLB-SIP-C-008-2024</t>
  </si>
  <si>
    <t>DIRIGIDA A ALCALDÍA LOCAL DE BOSA - NIT 899.999.061-9</t>
  </si>
  <si>
    <t>Los valores base estan de acuerdo a las tarifas reglamentadas en la Circular Nº  20231300001105 "tarifas mínimas servicios vigilancia y seguridad privada vigencia 2024". Diligencie unicamente los campos en amarillo en caso de que la proyección realizada este de acuerdo con los valores proporcionados por la Superintendencia de Vigilancia, en caso de evidenciar que los valores presentan errores, diligencie los mismos de acuerdo a lo establecido por la circular y sus tablas de costos.</t>
  </si>
  <si>
    <t>Ver Circular</t>
  </si>
  <si>
    <t>ESPECIFICACION TECNICA
(Detalle especificaciones tecnicas del elemento, Marca, Serial, ETC)</t>
  </si>
  <si>
    <t>DESCRIPCION TECNICA
(Especifique mas detalles en caso de ser necesario)</t>
  </si>
  <si>
    <t xml:space="preserve"> SEGURO DE VIDA
(Valor por mes)  </t>
  </si>
  <si>
    <t xml:space="preserve"> AIU 10% DEL SERVICIO (artículo 462-1 del estatuto tributario)</t>
  </si>
  <si>
    <t xml:space="preserve"> IVA 19% (Aclarado DIAN)</t>
  </si>
  <si>
    <t xml:space="preserve"> TOTAL (INCLUYE A Y S, IVA, SEGUROS)</t>
  </si>
  <si>
    <t>TARIFAS DEL 14/07/2024 AL 31/12/2024</t>
  </si>
  <si>
    <t>TARIFAS SERVICIOS DE VIGILANCIA DESDE 15/07/2024 A 31/12/2024 - TENER EN CUENTA NORMATIVIDAD Circular externa 20231300001105 tarifas mínimas servicios vigilancia y seguridad privada vigencia 2024</t>
  </si>
  <si>
    <t>Talento Humano Seguridad 1</t>
  </si>
  <si>
    <r>
      <t xml:space="preserve">Servicio humano </t>
    </r>
    <r>
      <rPr>
        <b/>
        <sz val="12"/>
        <color theme="1"/>
        <rFont val="Calibri"/>
        <family val="2"/>
        <scheme val="minor"/>
      </rPr>
      <t>SIN ARMA</t>
    </r>
    <r>
      <rPr>
        <sz val="12"/>
        <color theme="1"/>
        <rFont val="Calibri"/>
        <family val="2"/>
        <scheme val="minor"/>
      </rPr>
      <t xml:space="preserve"> </t>
    </r>
    <r>
      <rPr>
        <b/>
        <sz val="12"/>
        <color theme="1"/>
        <rFont val="Calibri"/>
        <family val="2"/>
        <scheme val="minor"/>
      </rPr>
      <t>(</t>
    </r>
    <r>
      <rPr>
        <b/>
        <sz val="12"/>
        <color theme="9" tint="-0.499984740745262"/>
        <rFont val="Calibri"/>
        <family val="2"/>
        <scheme val="minor"/>
      </rPr>
      <t>24 horas</t>
    </r>
    <r>
      <rPr>
        <sz val="12"/>
        <color theme="9" tint="-0.499984740745262"/>
        <rFont val="Calibri"/>
        <family val="2"/>
        <scheme val="minor"/>
      </rPr>
      <t xml:space="preserve"> del día de Lunes a Domingo)</t>
    </r>
    <r>
      <rPr>
        <sz val="12"/>
        <color theme="1"/>
        <rFont val="Calibri"/>
        <family val="2"/>
        <scheme val="minor"/>
      </rPr>
      <t xml:space="preserve"> - </t>
    </r>
    <r>
      <rPr>
        <b/>
        <sz val="12"/>
        <color rgb="FFFF0000"/>
        <rFont val="Calibri"/>
        <family val="2"/>
        <scheme val="minor"/>
      </rPr>
      <t>Mes de servicio</t>
    </r>
  </si>
  <si>
    <t>Talento Humano Seguridad 2</t>
  </si>
  <si>
    <r>
      <t xml:space="preserve">Servicio humano </t>
    </r>
    <r>
      <rPr>
        <b/>
        <sz val="12"/>
        <color theme="1"/>
        <rFont val="Calibri"/>
        <family val="2"/>
        <scheme val="minor"/>
      </rPr>
      <t>SIN ARMA</t>
    </r>
    <r>
      <rPr>
        <sz val="12"/>
        <color theme="1"/>
        <rFont val="Calibri"/>
        <family val="2"/>
        <scheme val="minor"/>
      </rPr>
      <t xml:space="preserve"> </t>
    </r>
    <r>
      <rPr>
        <sz val="12"/>
        <color theme="5" tint="-0.499984740745262"/>
        <rFont val="Calibri"/>
        <family val="2"/>
        <scheme val="minor"/>
      </rPr>
      <t>(</t>
    </r>
    <r>
      <rPr>
        <b/>
        <sz val="12"/>
        <color theme="5" tint="-0.499984740745262"/>
        <rFont val="Calibri"/>
        <family val="2"/>
        <scheme val="minor"/>
      </rPr>
      <t>8 horas</t>
    </r>
    <r>
      <rPr>
        <sz val="12"/>
        <color theme="5" tint="-0.499984740745262"/>
        <rFont val="Calibri"/>
        <family val="2"/>
        <scheme val="minor"/>
      </rPr>
      <t xml:space="preserve"> diarias de lunes a viernes sin festivos)</t>
    </r>
    <r>
      <rPr>
        <sz val="12"/>
        <color theme="1"/>
        <rFont val="Calibri"/>
        <family val="2"/>
        <scheme val="minor"/>
      </rPr>
      <t xml:space="preserve"> - </t>
    </r>
    <r>
      <rPr>
        <b/>
        <sz val="12"/>
        <color rgb="FFFF0000"/>
        <rFont val="Calibri"/>
        <family val="2"/>
        <scheme val="minor"/>
      </rPr>
      <t>Mes de servicio</t>
    </r>
  </si>
  <si>
    <t>Talento Humano Seguridad 3</t>
  </si>
  <si>
    <r>
      <t xml:space="preserve">Servicio humano </t>
    </r>
    <r>
      <rPr>
        <b/>
        <sz val="12"/>
        <color theme="1"/>
        <rFont val="Calibri"/>
        <family val="2"/>
        <scheme val="minor"/>
      </rPr>
      <t>SIN ARMA</t>
    </r>
    <r>
      <rPr>
        <sz val="12"/>
        <color theme="1"/>
        <rFont val="Calibri"/>
        <family val="2"/>
        <scheme val="minor"/>
      </rPr>
      <t xml:space="preserve"> </t>
    </r>
    <r>
      <rPr>
        <sz val="12"/>
        <color rgb="FF7030A0"/>
        <rFont val="Calibri"/>
        <family val="2"/>
        <scheme val="minor"/>
      </rPr>
      <t>(</t>
    </r>
    <r>
      <rPr>
        <b/>
        <sz val="12"/>
        <color rgb="FF7030A0"/>
        <rFont val="Calibri"/>
        <family val="2"/>
        <scheme val="minor"/>
      </rPr>
      <t>8 horas</t>
    </r>
    <r>
      <rPr>
        <sz val="12"/>
        <color rgb="FF7030A0"/>
        <rFont val="Calibri"/>
        <family val="2"/>
        <scheme val="minor"/>
      </rPr>
      <t xml:space="preserve"> diarias de lunes a sábado sin festivos)</t>
    </r>
    <r>
      <rPr>
        <sz val="12"/>
        <color theme="1"/>
        <rFont val="Calibri"/>
        <family val="2"/>
        <scheme val="minor"/>
      </rPr>
      <t xml:space="preserve"> -</t>
    </r>
    <r>
      <rPr>
        <b/>
        <sz val="12"/>
        <color rgb="FFFF0000"/>
        <rFont val="Calibri"/>
        <family val="2"/>
        <scheme val="minor"/>
      </rPr>
      <t xml:space="preserve"> Mes de servicio</t>
    </r>
  </si>
  <si>
    <t>PROYECCIÓN TARIFAS DEL 01/01/2025 AL 01/07/2025</t>
  </si>
  <si>
    <t>TARIFAS SERVICIOS DE VIGILANCIA DESDE 01/01/2025 A 14/07/2025 - TENER EN CUENTA NORMATIVIDAD Circular externa 20231300001105 tarifas mínimas servicios vigilancia y seguridad privada vigencia 2024 y posible incremento salarial</t>
  </si>
  <si>
    <t>Talento Humano Seguridad 7</t>
  </si>
  <si>
    <t>Talento Humano Seguridad 8</t>
  </si>
  <si>
    <t>Talento Humano Seguridad 9</t>
  </si>
  <si>
    <r>
      <rPr>
        <b/>
        <i/>
        <sz val="14"/>
        <color theme="1"/>
        <rFont val="Calibri"/>
        <family val="2"/>
        <scheme val="minor"/>
      </rPr>
      <t xml:space="preserve">Nota: </t>
    </r>
    <r>
      <rPr>
        <sz val="14"/>
        <color theme="1"/>
        <rFont val="Calibri"/>
        <family val="2"/>
        <scheme val="minor"/>
      </rPr>
      <t xml:space="preserve">Se requieren los valores de referencia por mes, para asi mismo proyectar las cantidades finales. </t>
    </r>
    <r>
      <rPr>
        <b/>
        <i/>
        <sz val="14"/>
        <color theme="1"/>
        <rFont val="Calibri"/>
        <family val="2"/>
        <scheme val="minor"/>
      </rPr>
      <t xml:space="preserve">
</t>
    </r>
    <r>
      <rPr>
        <i/>
        <sz val="14"/>
        <color theme="1"/>
        <rFont val="Calibri"/>
        <family val="2"/>
        <scheme val="minor"/>
      </rPr>
      <t xml:space="preserve">Agradecemos incluir en los valores los costos directos e indirectos (transporte, instalación, desinstalación e impouestos si aplica) que puedan incluir. </t>
    </r>
  </si>
  <si>
    <t>OBSERVACIONES PROVEEDOR</t>
  </si>
  <si>
    <t>Fuentes Consultadas:</t>
  </si>
  <si>
    <t>https://www.supervigilancia.gov.co/publicaciones/10474/circular-tarifas-minimas-para-contratacion-servicios-de-vigilancia-y-seguridad-privada-2024/</t>
  </si>
  <si>
    <t>https://estatuto.co/462-1</t>
  </si>
  <si>
    <t>https://www.gerencie.com/del-iva-en-los-servicios-integrales-de-aseo-y-cafeteria.html</t>
  </si>
  <si>
    <t>tarifas 2025</t>
  </si>
  <si>
    <t>tarifas 2026</t>
  </si>
  <si>
    <t>12 DIAS</t>
  </si>
  <si>
    <t>13 dias</t>
  </si>
  <si>
    <t>Servicio humano sin arma las 24 horas del día de Lunes a Domingo)</t>
  </si>
  <si>
    <t>Servicio humano sin arma (8 horas diarias de lunes a viernes sin festivos)</t>
  </si>
  <si>
    <t xml:space="preserve">9 MESES </t>
  </si>
  <si>
    <t>Servicio humano sin arma (8 horas diarias de lunes a sábado sin festivos)</t>
  </si>
  <si>
    <t>MAYO 19 DIAS</t>
  </si>
  <si>
    <t>JUNIO</t>
  </si>
  <si>
    <t>JULIO 15 DIAS</t>
  </si>
  <si>
    <t>AGOSTO</t>
  </si>
  <si>
    <t>SEPTIEMBRE</t>
  </si>
  <si>
    <t>OCTUBRE</t>
  </si>
  <si>
    <t>NOVIEMBRE</t>
  </si>
  <si>
    <t>DICIEMBRE</t>
  </si>
  <si>
    <t>ENERO</t>
  </si>
  <si>
    <t>FEBRERO 11 DIAS</t>
  </si>
  <si>
    <t>sumatoria</t>
  </si>
  <si>
    <t>DETERMINAR</t>
  </si>
  <si>
    <t>ALCALDIA LOCAL DE BOSA</t>
  </si>
  <si>
    <t>ASOJUNTAS</t>
  </si>
  <si>
    <t>CASA DE PARTICIPACION DE BOSA</t>
  </si>
  <si>
    <t>BODEGA</t>
  </si>
  <si>
    <t>INSPECCIONES</t>
  </si>
  <si>
    <t>Circuito cerrado de television</t>
  </si>
  <si>
    <t>PROYECTO</t>
  </si>
  <si>
    <t>Desarrollo Institucional  2810</t>
  </si>
  <si>
    <t>O21202020080585250</t>
  </si>
  <si>
    <t>FUNCIO</t>
  </si>
  <si>
    <t xml:space="preserve"> Servicios de protección (guardas de seguridad)</t>
  </si>
  <si>
    <t>Llave 2023</t>
  </si>
  <si>
    <t>Elemento</t>
  </si>
  <si>
    <t>Desviación Estandar</t>
  </si>
  <si>
    <t>01 - Rondacol LTDA</t>
  </si>
  <si>
    <t>02 - EXPERTOS SEGURIDAD LTDA</t>
  </si>
  <si>
    <t>03 - VIGIAS</t>
  </si>
  <si>
    <t>04 - UT MONZON 2021</t>
  </si>
  <si>
    <t>05 - ADPORT LTDA</t>
  </si>
  <si>
    <t>06 - MONSERRATE</t>
  </si>
  <si>
    <t>07 - E-SECURITY LTDA</t>
  </si>
  <si>
    <t>08 - HELAM SEGURIDAD LTDA.</t>
  </si>
  <si>
    <t>09 - SEGURIDAD SCANNER LTDA</t>
  </si>
  <si>
    <t>10 - EMPRESA DE VIGILANCIA Y SEGURIDAD PRIVADA CARIMAR LTDA</t>
  </si>
  <si>
    <t>11 - VIGILANCIA SANTAFEREÑA Y CIA LTDA</t>
  </si>
  <si>
    <t>12 - UT LIRA &amp; SHALOM 21</t>
  </si>
  <si>
    <t>13 - AUTENTICA SEGURIDAD LTDA</t>
  </si>
  <si>
    <t>14 - CUIDAR LTDA</t>
  </si>
  <si>
    <t>15 - MAGAL VIGILANCIA Y SEGURIDAD PRIVADA LTDA</t>
  </si>
  <si>
    <t>16 - UNION TEMPORAL LATCOS 2021</t>
  </si>
  <si>
    <t>17 - TAC SEGURIDAD LTDA</t>
  </si>
  <si>
    <t>18 - AZC LTDA</t>
  </si>
  <si>
    <t>19 - COVISUR DE COLOMBIA</t>
  </si>
  <si>
    <t>20 - seguridad lagus ltda</t>
  </si>
  <si>
    <t>21 - SEGURIDAD LASER LTDA</t>
  </si>
  <si>
    <t>22 - Ut Zima - Securbel</t>
  </si>
  <si>
    <t>23 - Avizor Seguridad LTDA</t>
  </si>
  <si>
    <t>24 - Ut Seguridad Suramerica Mastin 2021</t>
  </si>
  <si>
    <t>25 - Gcsi Grupo Colombiano De Seguridad Integral LTDA</t>
  </si>
  <si>
    <t>26 - Compañia De Vigilancia PPH Limitada</t>
  </si>
  <si>
    <t>27 - Tecniseg De Colombia LTDA</t>
  </si>
  <si>
    <t>28 - Unión Temporal Mega Security</t>
  </si>
  <si>
    <t>29 - Sevin LTDA.</t>
  </si>
  <si>
    <t>30 - Protevis LTDA</t>
  </si>
  <si>
    <t>31 - Custodiar Limitada</t>
  </si>
  <si>
    <t>32 - Seguridad Bolivar LTDA</t>
  </si>
  <si>
    <t>33 - Seguridad Digital LTDA</t>
  </si>
  <si>
    <t>34 - Seguridad Nueva Era LTDA</t>
  </si>
  <si>
    <t>35 - Union Temporal Fdlb Cv 2021</t>
  </si>
  <si>
    <t>36 - Buho Seguridad LTDA.</t>
  </si>
  <si>
    <t>37 - Top Guard</t>
  </si>
  <si>
    <t>38 - Serviconfor LTDA</t>
  </si>
  <si>
    <t>39 - Union Temporal Seguridad Gr 2021</t>
  </si>
  <si>
    <t>40 - Compañia Andina De Seguridad Privada LTDA - Andiseg LTDA.</t>
  </si>
  <si>
    <t>41 - Seguridad Thor LTDA</t>
  </si>
  <si>
    <t>42 - Detección LTDA</t>
  </si>
  <si>
    <t>43 - Granadina De Vigilancia Limitada</t>
  </si>
  <si>
    <t>44 - Union Temporal Ac Bosa 2021</t>
  </si>
  <si>
    <t>45 - Servision De Colombia Y Cia LTDA</t>
  </si>
  <si>
    <t>46 - Olimpo Seguridad</t>
  </si>
  <si>
    <t>47 - Anse LTDA</t>
  </si>
  <si>
    <t>48 - Union Temporal Vigsel 2021</t>
  </si>
  <si>
    <t>49 - Lincon Seguridad LTDA</t>
  </si>
  <si>
    <t>50 - Union Temporal Bosa-Caxar-Acon-2021</t>
  </si>
  <si>
    <t>51 - Risk &amp; Solutions Group LTDA</t>
  </si>
  <si>
    <t>52 - Zehirut LTDA</t>
  </si>
  <si>
    <t>53 - Vipcol LTDA</t>
  </si>
  <si>
    <t>54 - Jmsa</t>
  </si>
  <si>
    <t>55 - Televigilancia LTDA.</t>
  </si>
  <si>
    <t>56 - Celar LTDA</t>
  </si>
  <si>
    <t>57 - Seguridad Fenix De Colombia LTDA</t>
  </si>
  <si>
    <t>58 - Seguridad Eliar LTDA</t>
  </si>
  <si>
    <t>59 - Unión Temporal Seguridad P&amp;B 2021</t>
  </si>
  <si>
    <t>60 - Seguridad San Carlos</t>
  </si>
  <si>
    <t>Elemento 2023</t>
  </si>
  <si>
    <t>Valor Unitario Mensual</t>
  </si>
  <si>
    <t>Monitor LCD</t>
  </si>
  <si>
    <t>Monitor LCD de mínimo 24"</t>
  </si>
  <si>
    <t>Computador</t>
  </si>
  <si>
    <t>Computador con monitor LCD</t>
  </si>
  <si>
    <t>Cámara 1</t>
  </si>
  <si>
    <t>Cámara infrarroja</t>
  </si>
  <si>
    <t>Cámara 2</t>
  </si>
  <si>
    <t>Cámara infrarroja de alta resolución para interior</t>
  </si>
  <si>
    <t>Videograbación 1</t>
  </si>
  <si>
    <t xml:space="preserve">Videograbado digital, grabación digital permanente backup mínimo de 30 días y recuperación de novedades en formato de fácil visualización. </t>
  </si>
  <si>
    <t>Software Visitas</t>
  </si>
  <si>
    <t>Software de control de visitantes con biométrico; el cual sea  compatible con Windows 7, vista, Xp y versiones posteriores y base de datos SQL.</t>
  </si>
  <si>
    <t>Lector Codigos</t>
  </si>
  <si>
    <t>Lector de código de las cedulas de ciudadanía.</t>
  </si>
  <si>
    <t>Cámara 3</t>
  </si>
  <si>
    <t>Cámara de alta resolución que permita tener el registro fotográfico de los visitantes</t>
  </si>
  <si>
    <t>Impresora Stickers</t>
  </si>
  <si>
    <t>Maquina impresora de stickers que permita identificar los visitantes que ingresan con datos mínimos</t>
  </si>
  <si>
    <t>Arco Ingreso</t>
  </si>
  <si>
    <t>Arco para el control de ingreso</t>
  </si>
  <si>
    <t>Sistema de Monitoreo</t>
  </si>
  <si>
    <t>Sistema de monitoreo con alarma las 24 horas del día, los 7 días de la semana.</t>
  </si>
  <si>
    <t>Radio de comunicación</t>
  </si>
  <si>
    <t>Radio que permita tener comunicación entre los puestos, la central y la supervisión del contrato (con batería y cargador)</t>
  </si>
  <si>
    <t>LLAVE 2023</t>
  </si>
  <si>
    <t>SEGURIDAD SCANNER LTDA</t>
  </si>
  <si>
    <t>COMPAÑIA DE VIGILANCIA PRIVADA SERSECOL LTDA</t>
  </si>
  <si>
    <t xml:space="preserve">	UT SEGURIDAD 2022</t>
  </si>
  <si>
    <t xml:space="preserve">	SEGURITEL LTDA</t>
  </si>
  <si>
    <t>COMPAÑÍA DE VIGILANCIA PRIVADA VIGILISTA LTDA.</t>
  </si>
  <si>
    <t>ZEHIRUT LTDA</t>
  </si>
  <si>
    <t>Monitor LCD | Monitor LCD O LED de mínimo 24" - Mes de servicio | LCD O LED de 24". Resolucion minima de 1920 * 1080</t>
  </si>
  <si>
    <t>MES</t>
  </si>
  <si>
    <t>Computador | Computador Escritorio con monitor LCD - Mes de servicio | Computador con monitor Lcd o Led con un Procesador Intel core I3 ó AMD R3. Disco duro de 500 GB. RAM de 4 GB. Sistemas operativo Windows 10 especificaciones "minimas"</t>
  </si>
  <si>
    <t>Cámara 1 | Cámara infrarroja de alta resolución para exteriores - Mes de servicio | De alta resolución (1.080 P) para exteriores. 1920×1080 Pixeles full HD, especificaciones "minimas"</t>
  </si>
  <si>
    <t>Cámara 2 | Cámara infrarroja de alta resolución para interior - Mes de servicio | De alta resolución (1.080 P) para interiores. 1920×1080 Pixeles full HD especificaciones "minimas"</t>
  </si>
  <si>
    <t>Cámara 3 | Cámara de alta resolución que permita tener el registro fotográfico de los visitantes; el cual debe ser compatible con el software de control de visitantes, con el fin de que quede en el registro. - Mes de servicio | Cámara de alta resolución que permita tener el registro fotográfico de los visitantes; el cual debe ser compatible con el software de control de visitantes, con el fin de que quede en el registro. - Mes de servicio</t>
  </si>
  <si>
    <t>Videograbación 1 | Videograbado digital, grabación digital permanente backup mínimo de 30 días y recuperación de novedades en formato de fácil visualización. - Mes de servicio | Disco Duro de minimo 4 TB ó 6 TB  (dependiendo la sede)con grabacion digital permanente minimo de 30 dias y recuperacion de novedades en formato de facil visualizacion. Búsqueda exacta (hora/fecha). Reproducir, pausa, detener, rebobinado, reproduccón rápida, reproducción lenta, siguiente archivo, archivo anterior, siguiente cámara, cámara anterior, pantalla completa, repetición, reproducción aleatoria, selecciónde copia de seguridad, zoom digital. Puertos USB, HDMI, Ethernet (RJ-45) y VGA</t>
  </si>
  <si>
    <t>Software Visitas | Software de control de visitantes con biométrico; el cual sea compatible con Windows 7, vista, XP y versiones posteriores y base de datos SQL. - Mes de servicio | Software de control visitantes con biometrico compatible con Windows 10, 8, 7, Vista, XP y base de datos SQL. El cual permita registrar en la base de datos el nombre, fecha y hora del visitante. Debe permitir realizar informes estadísticos de la cantidad de visitantes, hora ingreso-salida, y demás reportes</t>
  </si>
  <si>
    <t>Lector Codigos | Lector de código de las cedulas de ciudadanía, que permita registrar en la base de datos automáticamente los datos de los visitantes. - Mes de servicio | Lector codigo de barras de las cedulas de ciudadanía que permita registrar automaticamente en la base de datos la información de los visitantes. Conexión alambrica via USB. Códigos soportados: CPC Binary, Codabar, Code 11, Code 128, Code 128A, Code 128B, Code 128C, Code 25 (IR 2 of 5), Code 25 (non-IR 2 of 5), Code 32, Code 39, Code 93, DUN 14, EAN 2, EAN 5, EAN-13, EAN-8, Facing Identification Mark, GS1-128 (UCC/EAN-128), HIBC, ITF-14, Intelligent Mail, JAN, Latent image, MSI, PLANET, POSTNET, Pharmacode, Plessey, PostBar, RM4SCC / KIX, S-Code, Telepen, Trioptic, U.P.C.</t>
  </si>
  <si>
    <t>Impresora Stickers | Maquina impresora de stickers que permita identificar los visitantes que ingresan con datos mínimos como: nombre completo, tipo de documento, numero de documento, fotografía, hora de ingreso, oficina a la   cual   se   dirige    y    persona    que    autorizo    el    ingreso El proponente adjudicatario deberá garantizar los insumos necesarios para el adecuado funcionamiento (Stickers adhesivos, tinta y mantenimiento) durante toda la ejecución del contrato. - Mes de servicio | Debe permitir identificar a los visitantes datos como nombre completo, tipo de documento,número de documento, fotografía, hora de ingreso, oficina a la cual se dirige,y quien autoriza. El elemento debe tener tecnología térmica de impresión que debe soportar sistema operativo Windows 7, 8, 10 con conexion alámbrica tipo USB.El proponente adjudicatario deberá garantizar los insumos necesarios para el adecuado funcionamiento (Stickers adhesivos, tinta y mantenimiento) durante toda la ejecución del contrato.</t>
  </si>
  <si>
    <t>Arco Ingreso | Arco para el control de ingreso - Mes de servicio | Arco - de Paso que provee detección superior de objetivos con discriminación desasociada de artículos inofensivos como monedas, joyería, llaves, cajas de cigarros y tacones de zapatos. con detección puntual 33 zonas,  seguridad y confiabilidad con programas preestablecidos para cubrir la mas amplia gama de aplicaciones de seguridad,                                           mes de servicio</t>
  </si>
  <si>
    <t>Sistema de Monitoreo | Sistema de monitoreo con alarma las 24 horas del dia, los 7 dias de la semana. - Mes de servicio | Se requieren unicamente medios tecnológicos y monitoreo de alarma los 7 dias de la semana 24 horas, sin perjuicio de lo anterior, este inmueble puede ser modificado según los intereses de la Entidad</t>
  </si>
  <si>
    <t>Radio de comunicación | Radio que permita tener comunicación entre los puestos, la central y la supervision del contrato (con bateria y cargador) - Mes de servicio | Radioteléfono digital portátil con identificación única de 11 dígitos,  Con tecnología FHSS con 7 zonas de 50 frecuencias que no se repiten para un total de 350 frecuencias disponibles que mejore la seguridad y privacidad de las comunicaciones,                              (con bateria y cargador).                                                        Mes de servicio</t>
  </si>
  <si>
    <t>01 - CORINSA LTDA</t>
  </si>
  <si>
    <t>02 - INTERCONTINENTAL DE SEGURIDAD LIMITADA</t>
  </si>
  <si>
    <t>03 - RISK &amp; SOLUTIONS GROUP LTDA</t>
  </si>
  <si>
    <t>04 - PATROL SECURITY LTDA</t>
  </si>
  <si>
    <t>05 - Convivamos  Seguridad Privada Ltda</t>
  </si>
  <si>
    <t>CIRCULAR (INTERNA O EXTERNA)
Nº 20211300000225</t>
  </si>
  <si>
    <t>Estudio de M;ercado 2021</t>
  </si>
  <si>
    <t>Seguridad Scanner - Contrato 322-2021 CPS (59820)</t>
  </si>
  <si>
    <t>DESCRIPCION TECNICA</t>
  </si>
  <si>
    <t>Cotización 5
VALOR UNITARIO (INCLUIDO IVA SI APLICA)</t>
  </si>
  <si>
    <t>Cotización 6
VALOR UNITARIO (INCLUIDO IVA SI APLICA)</t>
  </si>
  <si>
    <t>Cotización 7
VALOR UNITARIO (INCLUIDO IVA SI APLICA)</t>
  </si>
  <si>
    <t>Cotización 8
VALOR UNITARIO (INCLUIDO IVA SI APLICA)</t>
  </si>
  <si>
    <t>Cotización 9
VALOR UNITARIO (INCLUIDO IVA SI APLICA)</t>
  </si>
  <si>
    <t>Cotización 10
VALOR UNITARIO (INCLUIDO IVA SI APLICA)</t>
  </si>
  <si>
    <t>Cotización11
VALOR UNITARIO (INCLUIDO IVA SI APLICA)</t>
  </si>
  <si>
    <t>Cotización 12
VALOR UNITARIO (INCLUIDO IVA SI APLICA)</t>
  </si>
  <si>
    <r>
      <t xml:space="preserve">Servicio humano sin arma las 24 horas del día de Lunes a Domingo) - </t>
    </r>
    <r>
      <rPr>
        <b/>
        <sz val="8"/>
        <color rgb="FFFF0000"/>
        <rFont val="Calibri"/>
        <family val="2"/>
        <scheme val="minor"/>
      </rPr>
      <t>Mes de servicio</t>
    </r>
  </si>
  <si>
    <t>Tener en cuenta tarifas reglamentadas en la Circular Nº 20211300000225</t>
  </si>
  <si>
    <t>9500000</t>
  </si>
  <si>
    <t>9504000</t>
  </si>
  <si>
    <t>9684576</t>
  </si>
  <si>
    <t>9648576</t>
  </si>
  <si>
    <t>9684563</t>
  </si>
  <si>
    <t>CIRCULAR (INTERNA O EXTERNA)
Nº 20211300000225 SuperVigilancia</t>
  </si>
  <si>
    <r>
      <t xml:space="preserve">Servicio humano sin arma (8 horas diarias de lunes a viernes sin festivos) - </t>
    </r>
    <r>
      <rPr>
        <b/>
        <sz val="8"/>
        <color rgb="FFFF0000"/>
        <rFont val="Calibri"/>
        <family val="2"/>
        <scheme val="minor"/>
      </rPr>
      <t>Mes de servicio</t>
    </r>
  </si>
  <si>
    <t>1890000</t>
  </si>
  <si>
    <t>1927274</t>
  </si>
  <si>
    <t>3613638</t>
  </si>
  <si>
    <t>2697720</t>
  </si>
  <si>
    <r>
      <t>Servicio humano sin arma (8 horas diarias de lunes a sábado sin festivos) -</t>
    </r>
    <r>
      <rPr>
        <b/>
        <sz val="8"/>
        <color rgb="FFFF0000"/>
        <rFont val="Calibri"/>
        <family val="2"/>
        <scheme val="minor"/>
      </rPr>
      <t xml:space="preserve"> Mes de servicio</t>
    </r>
  </si>
  <si>
    <t>2260000</t>
  </si>
  <si>
    <t>2312728</t>
  </si>
  <si>
    <t>4255511</t>
  </si>
  <si>
    <t>2903085</t>
  </si>
  <si>
    <r>
      <t xml:space="preserve">Monitor LCD O LED de mínimo 24" - </t>
    </r>
    <r>
      <rPr>
        <b/>
        <sz val="8"/>
        <color rgb="FFFF0000"/>
        <rFont val="Calibri"/>
        <family val="2"/>
        <scheme val="minor"/>
      </rPr>
      <t>Mes de servicio</t>
    </r>
  </si>
  <si>
    <t>LCD O LED de 24". Resolucion minima de 1920 * 1080</t>
  </si>
  <si>
    <t>FDLB-SIP-C-007-2022</t>
  </si>
  <si>
    <r>
      <t xml:space="preserve">Computador Escritorio con monitor LCD - </t>
    </r>
    <r>
      <rPr>
        <b/>
        <sz val="8"/>
        <color rgb="FFFF0000"/>
        <rFont val="Calibri"/>
        <family val="2"/>
        <scheme val="minor"/>
      </rPr>
      <t>Mes de servicio</t>
    </r>
  </si>
  <si>
    <t>Computador con monitor Lcd o Led con un Procesador Intel core I3 ó AMD R3. Disco duro de 500 GB. RAM de 4 GB. Sistemas operativo Windows 10 especificaciones "minimas"</t>
  </si>
  <si>
    <r>
      <t xml:space="preserve">Cámara infrarroja de alta resolución para exteriores - </t>
    </r>
    <r>
      <rPr>
        <b/>
        <sz val="8"/>
        <color rgb="FFFF0000"/>
        <rFont val="Calibri"/>
        <family val="2"/>
        <scheme val="minor"/>
      </rPr>
      <t>Mes de servicio</t>
    </r>
  </si>
  <si>
    <t>De alta resolución (1.080 P) para exteriores. 1920×1080 Pixeles full HD, especificaciones "minimas"</t>
  </si>
  <si>
    <r>
      <t xml:space="preserve">Cámara infrarroja de alta resolución para interior - </t>
    </r>
    <r>
      <rPr>
        <b/>
        <sz val="8"/>
        <color rgb="FFFF0000"/>
        <rFont val="Calibri"/>
        <family val="2"/>
        <scheme val="minor"/>
      </rPr>
      <t>Mes de servicio</t>
    </r>
  </si>
  <si>
    <t>De alta resolución (1.080 P) para interiores. 1920×1080 Pixeles full HD especificaciones "minimas"</t>
  </si>
  <si>
    <r>
      <t xml:space="preserve">Cámara de alta resolución que permita tener el registro fotográfico de los visitantes; el cual debe ser compatible con el software de control de visitantes, con el fin de que quede en el registro. - </t>
    </r>
    <r>
      <rPr>
        <b/>
        <sz val="8"/>
        <color rgb="FFFF0000"/>
        <rFont val="Calibri"/>
        <family val="2"/>
        <scheme val="minor"/>
      </rPr>
      <t>Mes de servicio</t>
    </r>
  </si>
  <si>
    <t>Cámara de alta resolución que permita tener el registro fotográfico de los visitantes; el cual debe ser compatible con el software de control de visitantes, con el fin de que quede en el registro. - Mes de servicio</t>
  </si>
  <si>
    <r>
      <t xml:space="preserve">Videograbado digital, grabación digital permanente backup mínimo de 30 días y recuperación de novedades en formato de fácil visualización. - </t>
    </r>
    <r>
      <rPr>
        <b/>
        <sz val="8"/>
        <color rgb="FFFF0000"/>
        <rFont val="Calibri"/>
        <family val="2"/>
        <scheme val="minor"/>
      </rPr>
      <t>Mes de servicio</t>
    </r>
  </si>
  <si>
    <t>Disco Duro de minimo 4 TB ó 6 TB  (dependiendo la sede)con grabacion digital permanente minimo de 30 dias y recuperacion de novedades en formato de facil visualizacion. Búsqueda exacta (hora/fecha). Reproducir, pausa, detener, rebobinado, reproduccón rápida, reproducción lenta, siguiente archivo, archivo anterior, siguiente cámara, cámara anterior, pantalla completa, repetición, reproducción aleatoria, selecciónde copia de seguridad, zoom digital. Puertos USB, HDMI, Ethernet (RJ-45) y VGA</t>
  </si>
  <si>
    <r>
      <t xml:space="preserve">Software de control de visitantes con biométrico; el cual sea compatible con Windows 7, vista, XP y versiones posteriores y base de datos SQL. - </t>
    </r>
    <r>
      <rPr>
        <b/>
        <sz val="8"/>
        <color rgb="FFFF0000"/>
        <rFont val="Calibri"/>
        <family val="2"/>
        <scheme val="minor"/>
      </rPr>
      <t>Mes de servicio</t>
    </r>
  </si>
  <si>
    <t>Software de control visitantes con biometrico compatible con Windows 10, 8, 7, Vista, XP y base de datos SQL. El cual permita registrar en la base de datos el nombre, fecha y hora del visitante. Debe permitir realizar informes estadísticos de la cantidad de visitantes, hora ingreso-salida, y demás reportes</t>
  </si>
  <si>
    <r>
      <t xml:space="preserve">Lector de código de las cedulas de ciudadanía, que permita registrar en la base de datos automáticamente los datos de los visitantes. - </t>
    </r>
    <r>
      <rPr>
        <b/>
        <sz val="8"/>
        <color rgb="FFFF0000"/>
        <rFont val="Calibri"/>
        <family val="2"/>
        <scheme val="minor"/>
      </rPr>
      <t>Mes de servicio</t>
    </r>
  </si>
  <si>
    <t>Lector codigo de barras de las cedulas de ciudadanía que permita registrar automaticamente en la base de datos la información de los visitantes. Conexión alambrica via USB. Códigos soportados: CPC Binary, Codabar, Code 11, Code 128, Code 128A, Code 128B, Code 128C, Code 25 (IR 2 of 5), Code 25 (non-IR 2 of 5), Code 32, Code 39, Code 93, DUN 14, EAN 2, EAN 5, EAN-13, EAN-8, Facing Identification Mark, GS1-128 (UCC/EAN-128), HIBC, ITF-14, Intelligent Mail, JAN, Latent image, MSI, PLANET, POSTNET, Pharmacode, Plessey, PostBar, RM4SCC / KIX, S-Code, Telepen, Trioptic, U.P.C.</t>
  </si>
  <si>
    <r>
      <t xml:space="preserve">Maquina impresora de stickers que permita identificar los visitantes que ingresan con datos mínimos como: nombre completo, tipo de documento, numero de documento, fotografía, hora de ingreso, oficina a la   cual   se   dirige    y    persona    que    autorizo    el    ingreso El proponente adjudicatario deberá garantizar los insumos necesarios para el adecuado funcionamiento (Stickers adhesivos, tinta y mantenimiento) durante toda la ejecución del contrato. - </t>
    </r>
    <r>
      <rPr>
        <b/>
        <sz val="8"/>
        <color rgb="FFFF0000"/>
        <rFont val="Calibri"/>
        <family val="2"/>
        <scheme val="minor"/>
      </rPr>
      <t>Mes de servicio</t>
    </r>
  </si>
  <si>
    <t>Debe permitir identificar a los visitantes datos como nombre completo, tipo de documento,número de documento, fotografía, hora de ingreso, oficina a la cual se dirige,y quien autoriza. El elemento debe tener tecnología térmica de impresión que debe soportar sistema operativo Windows 7, 8, 10 con conexion alámbrica tipo USB.El proponente adjudicatario deberá garantizar los insumos necesarios para el adecuado funcionamiento (Stickers adhesivos, tinta y mantenimiento) durante toda la ejecución del contrato.</t>
  </si>
  <si>
    <r>
      <t xml:space="preserve">Arco para el control de ingreso - </t>
    </r>
    <r>
      <rPr>
        <b/>
        <sz val="8"/>
        <color rgb="FFFF0000"/>
        <rFont val="Calibri"/>
        <family val="2"/>
        <scheme val="minor"/>
      </rPr>
      <t>Mes de servicio</t>
    </r>
  </si>
  <si>
    <t>Arco - de Paso que provee detección superior de objetivos con discriminación desasociada de artículos inofensivos como monedas, joyería, llaves, cajas de cigarros y tacones de zapatos. con detección puntual 33 zonas,  seguridad y confiabilidad con programas preestablecidos para cubrir la mas amplia gama de aplicaciones de seguridad,                                           mes de servicio</t>
  </si>
  <si>
    <t>FDLB-SIP-C-007-2023</t>
  </si>
  <si>
    <r>
      <t>Sistema de monitoreo con alarma las 24 horas del dia, los 7 dias de la semana.</t>
    </r>
    <r>
      <rPr>
        <b/>
        <sz val="8"/>
        <color rgb="FFFF0000"/>
        <rFont val="Calibri"/>
        <family val="2"/>
        <scheme val="minor"/>
      </rPr>
      <t xml:space="preserve"> - Mes de servicio</t>
    </r>
  </si>
  <si>
    <t>Se requieren unicamente medios tecnológicos y monitoreo de alarma los 7 dias de la semana 24 horas, sin perjuicio de lo anterior, este inmueble puede ser modificado según los intereses de la Entidad</t>
  </si>
  <si>
    <t>FDLB-SIP-C-007-2024</t>
  </si>
  <si>
    <r>
      <t>Radio que permita tener comunicación entre los puestos, la central y la supervision del contrato (con bateria y cargador)</t>
    </r>
    <r>
      <rPr>
        <b/>
        <sz val="8"/>
        <color rgb="FFFF0000"/>
        <rFont val="Calibri"/>
        <family val="2"/>
        <scheme val="minor"/>
      </rPr>
      <t xml:space="preserve"> - Mes de servicio</t>
    </r>
  </si>
  <si>
    <t>Radioteléfono digital portátil con identificación única de 11 dígitos,  Con tecnología FHSS con 7 zonas de 50 frecuencias que no se repiten para un total de 350 frecuencias disponibles que mejore la seguridad y privacidad de las comunicaciones,                              (con bateria y cargador).                                                        Mes de servicio</t>
  </si>
  <si>
    <t>FDLB-SIP-C-007-2025</t>
  </si>
  <si>
    <t>PASOS REALIZADOS PARA LA PROYECCIÓN DE TALENTO HUMANO</t>
  </si>
  <si>
    <r>
      <t xml:space="preserve">1. </t>
    </r>
    <r>
      <rPr>
        <sz val="11"/>
        <color theme="1"/>
        <rFont val="Calibri"/>
        <family val="2"/>
        <scheme val="minor"/>
      </rPr>
      <t>De acuerdo con la circular se determina el valor del mes de servicio de medio sin arma 30 días - 24 horas, de la siguiente forma:</t>
    </r>
  </si>
  <si>
    <t xml:space="preserve">Los valores proporcionados no incluyen IVA, por lo que se procede a la aplicación correspondiente del IVA al 10% del valor del servicio, de acuerdo a directriz de la supervigilancia. </t>
  </si>
  <si>
    <t>Servicio</t>
  </si>
  <si>
    <t>Valor antes de IVA</t>
  </si>
  <si>
    <t>Valor incluido IVA</t>
  </si>
  <si>
    <t>Servicio humano sin arma las 24 horas del día de Lunes a Domingo) - Mes de servicio</t>
  </si>
  <si>
    <t xml:space="preserve">No. </t>
  </si>
  <si>
    <t>Valor</t>
  </si>
  <si>
    <t>Total Sin IVA</t>
  </si>
  <si>
    <t>Total con IVA</t>
  </si>
  <si>
    <r>
      <rPr>
        <b/>
        <sz val="11"/>
        <color theme="1"/>
        <rFont val="Calibri"/>
        <family val="2"/>
        <scheme val="minor"/>
      </rPr>
      <t>Fuente:</t>
    </r>
    <r>
      <rPr>
        <sz val="11"/>
        <color theme="1"/>
        <rFont val="Calibri"/>
        <family val="2"/>
        <scheme val="minor"/>
      </rPr>
      <t xml:space="preserve"> CIRCULAR Nº 20211300000225, SuperVigilancia</t>
    </r>
  </si>
  <si>
    <t>RESUMEN COTIZACIONES DE PRECIOS - Matriz de Calculo - Proceso FDLB-SIP-033-2021</t>
  </si>
  <si>
    <t>Valor MES</t>
  </si>
  <si>
    <t>Proyección  Con IPC Enero 2022</t>
  </si>
  <si>
    <t>Tecnica Utilizada</t>
  </si>
  <si>
    <t>Tiempo 6 Meses</t>
  </si>
  <si>
    <t>Un</t>
  </si>
  <si>
    <t xml:space="preserve">Proceso FDLB-SIP-033-2021 - Estudio de Mercado 2020 FDLB (Proyección con IPC e incremento SMLV 2021) - Seguridad Trebol  (Proyección con IPC e incremento SMLV 2021) </t>
  </si>
  <si>
    <t>Mediana</t>
  </si>
  <si>
    <t>Cámara infrarroja de alta resolución para exteriores</t>
  </si>
  <si>
    <t>Software de control de visitantes con biométrico; el cual sea  compatible con Windows 7, vista, Xp y versiones posteriores y base de datos SQL. 
- Que permita registrar en la base de datos el nombre completo, fecha y hora del visitante (una vez se valide la huella digital)  
- Que permita realizar informes y reportes estadísticos de la cantidad de visitantes, hora de ingreso, hora de salida. Y demás informes y reportes que requiera el FDLB</t>
  </si>
  <si>
    <t>Lector de código de las cedulas de ciudadanía, que permita registrar en la base de datos automaticamente los datos de los visitantes.</t>
  </si>
  <si>
    <t>Camara de alta resolucion que permita tener el registro fotografico de los visitantes</t>
  </si>
  <si>
    <t xml:space="preserve">Camara de alta resolucion que permita tener el registro fotografico de los visitantes; el cual debe ser compatible con el software de control de visitantes, con el fin de que quede en el registro </t>
  </si>
  <si>
    <t>Maquina impresora de stickers que permita identificar los visitantes que ingresan con datos minimos</t>
  </si>
  <si>
    <t>Maquina impresora de stickers que permita identificar los visitantes que ingresan con datos minimos como: nombre completo, tipo de documento, numero de documento, fotografia, hora de ingreso, oficina a la cual se dirige y persona que autorizo el ingreso. El proponente adjudicatario debera garantizar los insumos necesarios para el adecuado funcionamiento (Stickers adesivos, tinta y mantenimiento) durante toda la ejecucion del contrato</t>
  </si>
  <si>
    <t>Tipo arco para el control de ingreso, de 1.30 metros de ancho X 2.20 metros de alto</t>
  </si>
  <si>
    <t>Sistema de monitoreo con alarma las 24 horas del dia, los 7 dias de la semana.</t>
  </si>
  <si>
    <t xml:space="preserve">Sistema de monitoreo con alarma las 24 horas del dia, los 7 dias de la semana. 
El proponente adjudicatario debera tener en cuenta todo lo necesario (Cableado, sensores, alarma, etc) para garantizar el sistema de monitoreo en la bodega arrendada por el FDLB durante el plazo del contrato. Asi mismo, debera contemplar todos los costos en los que deba incurrir por la reubicacion del sistema "si se llegase cambiar de bodega" </t>
  </si>
  <si>
    <t>Radio que permita tener comunicación entre los puestos, la central y la supervision del contrato (con bateria y cargador)</t>
  </si>
  <si>
    <t>Servicio humano sin arma las 24 horas del dia de Lunes a Domingo)</t>
  </si>
  <si>
    <t/>
  </si>
  <si>
    <t>Servicio humano sin arma (8 horas diarias de lunes a sabado sin festivos)</t>
  </si>
  <si>
    <t>Nelson Javier Arguellez Palacios</t>
  </si>
  <si>
    <t>Profesional Planeación</t>
  </si>
  <si>
    <t>Nelson.Arguellez@GobiernoBogota.Gov.Co</t>
  </si>
  <si>
    <t xml:space="preserve"> 	Soportes Estudio de Mercado -  https://bit.ly/3ey5pvX  </t>
  </si>
  <si>
    <t>Valor Unitario Mensual + IPC Enero 2021 (6,94)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</si>
</sst>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quot;$&quot;\ #,##0;\-&quot;$&quot;\ #,##0"/>
    <numFmt numFmtId="165" formatCode="&quot;$&quot;\ #,##0;[Red]\-&quot;$&quot;\ #,##0"/>
    <numFmt numFmtId="166" formatCode="_-&quot;$&quot;\ * #,##0_-;\-&quot;$&quot;\ * #,##0_-;_-&quot;$&quot;\ * &quot;-&quot;_-;_-@_-"/>
    <numFmt numFmtId="167" formatCode="_-&quot;$&quot;\ * #,##0.00_-;\-&quot;$&quot;\ * #,##0.00_-;_-&quot;$&quot;\ * &quot;-&quot;??_-;_-@_-"/>
    <numFmt numFmtId="168" formatCode="&quot;$&quot;#,##0.00_);[Red]\(&quot;$&quot;#,##0.00\)"/>
    <numFmt numFmtId="169" formatCode="&quot;$&quot;\ #,##0"/>
    <numFmt numFmtId="170" formatCode="_ * #,##0.00_ ;_ * \-#,##0.00_ ;_ * &quot;-&quot;??_ ;_ @_ "/>
    <numFmt numFmtId="171" formatCode="_-* #,##0\ _€_-;\-* #,##0\ _€_-;_-* &quot;-&quot;\ _€_-;_-@_-"/>
    <numFmt numFmtId="172" formatCode="_-* #,##0.00\ _€_-;\-* #,##0.00\ _€_-;_-* &quot;-&quot;??\ _€_-;_-@_-"/>
    <numFmt numFmtId="173" formatCode="#,##0.00\ \€"/>
    <numFmt numFmtId="174" formatCode="&quot;$&quot;\ #,##0.00"/>
    <numFmt numFmtId="175" formatCode="_-&quot;$&quot;\ * #,##0_-;\-&quot;$&quot;\ * #,##0_-;_-&quot;$&quot;\ * &quot;-&quot;??_-;_-@_-"/>
    <numFmt numFmtId="176" formatCode="&quot;$&quot;\ #,##0.0"/>
    <numFmt numFmtId="177" formatCode="&quot;A Y S&quot;\ 0.0%"/>
    <numFmt numFmtId="178" formatCode="0%&quot; Del Servicio&quot;"/>
    <numFmt numFmtId="179" formatCode="&quot;IVA&quot;\ 0%"/>
    <numFmt numFmtId="180" formatCode="0.00000%"/>
    <numFmt numFmtId="181" formatCode="&quot;$&quot;#,##0.0_);[Red]\(&quot;$&quot;#,##0.0\)"/>
    <numFmt numFmtId="182" formatCode="0.000%"/>
    <numFmt numFmtId="183" formatCode="0.0"/>
    <numFmt numFmtId="184" formatCode="&quot;$&quot;\ #,##0.00;[Red]&quot;$&quot;\ #,##0.00"/>
    <numFmt numFmtId="185" formatCode="&quot;$&quot;#,##0_);[Red]\(&quot;$&quot;#,##0\)"/>
  </numFmts>
  <fonts count="88">
    <font>
      <sz val="11"/>
      <color theme="1"/>
      <name val="Calibri"/>
      <family val="2"/>
      <scheme val="minor"/>
    </font>
    <font>
      <sz val="11"/>
      <color theme="1"/>
      <name val="Arial Narrow"/>
      <family val="2"/>
    </font>
    <font>
      <sz val="11"/>
      <color theme="1"/>
      <name val="Calibri"/>
      <family val="2"/>
      <scheme val="minor"/>
    </font>
    <font>
      <b/>
      <sz val="8"/>
      <color rgb="FF000000"/>
      <name val="Arial"/>
      <family val="2"/>
    </font>
    <font>
      <b/>
      <sz val="6"/>
      <color rgb="FF000000"/>
      <name val="Arial"/>
      <family val="2"/>
    </font>
    <font>
      <b/>
      <sz val="5"/>
      <color rgb="FF000000"/>
      <name val="Arial"/>
      <family val="2"/>
    </font>
    <font>
      <b/>
      <sz val="5"/>
      <color theme="1"/>
      <name val="Arial"/>
      <family val="2"/>
    </font>
    <font>
      <b/>
      <sz val="14"/>
      <color theme="1"/>
      <name val="Calibri"/>
      <family val="2"/>
      <scheme val="minor"/>
    </font>
    <font>
      <b/>
      <sz val="8"/>
      <name val="Arial"/>
      <family val="2"/>
    </font>
    <font>
      <u/>
      <sz val="11"/>
      <color theme="10"/>
      <name val="Calibri"/>
      <family val="2"/>
      <scheme val="minor"/>
    </font>
    <font>
      <sz val="12"/>
      <color theme="1"/>
      <name val="Calibri"/>
      <family val="2"/>
      <scheme val="minor"/>
    </font>
    <font>
      <b/>
      <sz val="8"/>
      <color theme="1"/>
      <name val="Calibri"/>
      <family val="2"/>
      <scheme val="minor"/>
    </font>
    <font>
      <sz val="10"/>
      <name val="Arial"/>
      <family val="2"/>
    </font>
    <font>
      <u/>
      <sz val="10"/>
      <color indexed="12"/>
      <name val="Arial"/>
      <family val="2"/>
    </font>
    <font>
      <sz val="12"/>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b/>
      <sz val="5"/>
      <color theme="0"/>
      <name val="Arial"/>
      <family val="2"/>
    </font>
    <font>
      <b/>
      <sz val="11"/>
      <color theme="1"/>
      <name val="Calibri"/>
      <family val="2"/>
      <scheme val="minor"/>
    </font>
    <font>
      <sz val="8"/>
      <color theme="1"/>
      <name val="Calibri"/>
      <family val="2"/>
      <scheme val="minor"/>
    </font>
    <font>
      <b/>
      <sz val="8"/>
      <color rgb="FFFF0000"/>
      <name val="Calibri"/>
      <family val="2"/>
      <scheme val="minor"/>
    </font>
    <font>
      <sz val="11"/>
      <color theme="0"/>
      <name val="Calibri"/>
      <family val="2"/>
      <scheme val="minor"/>
    </font>
    <font>
      <b/>
      <sz val="11"/>
      <color rgb="FFFFFFFF"/>
      <name val="Garamond"/>
      <family val="1"/>
    </font>
    <font>
      <sz val="9"/>
      <color theme="0"/>
      <name val="Calibri"/>
      <family val="2"/>
      <scheme val="minor"/>
    </font>
    <font>
      <b/>
      <sz val="9"/>
      <color rgb="FFFFFFFF"/>
      <name val="Garamond"/>
      <family val="1"/>
    </font>
    <font>
      <b/>
      <sz val="16"/>
      <color theme="1"/>
      <name val="Calibri"/>
      <family val="2"/>
      <scheme val="minor"/>
    </font>
    <font>
      <sz val="8"/>
      <name val="Calibri"/>
      <family val="2"/>
      <scheme val="minor"/>
    </font>
    <font>
      <sz val="9"/>
      <color theme="1"/>
      <name val="Calibri"/>
      <family val="2"/>
      <scheme val="minor"/>
    </font>
    <font>
      <sz val="8"/>
      <color theme="0"/>
      <name val="Calibri"/>
      <family val="2"/>
      <scheme val="minor"/>
    </font>
    <font>
      <sz val="10"/>
      <color theme="1"/>
      <name val="Calibri"/>
      <family val="2"/>
      <scheme val="minor"/>
    </font>
    <font>
      <b/>
      <sz val="12"/>
      <color theme="1"/>
      <name val="Calibri"/>
      <family val="2"/>
      <scheme val="minor"/>
    </font>
    <font>
      <b/>
      <sz val="20"/>
      <color theme="1"/>
      <name val="Calibri"/>
      <family val="2"/>
      <scheme val="minor"/>
    </font>
    <font>
      <sz val="14"/>
      <color theme="1"/>
      <name val="Calibri"/>
      <family val="2"/>
      <scheme val="minor"/>
    </font>
    <font>
      <b/>
      <sz val="8"/>
      <color theme="0"/>
      <name val="Arial"/>
      <family val="2"/>
    </font>
    <font>
      <b/>
      <sz val="12"/>
      <color theme="0"/>
      <name val="Arial"/>
      <family val="2"/>
    </font>
    <font>
      <b/>
      <sz val="12"/>
      <color theme="9" tint="-0.499984740745262"/>
      <name val="Calibri"/>
      <family val="2"/>
      <scheme val="minor"/>
    </font>
    <font>
      <sz val="12"/>
      <color theme="9" tint="-0.499984740745262"/>
      <name val="Calibri"/>
      <family val="2"/>
      <scheme val="minor"/>
    </font>
    <font>
      <b/>
      <sz val="12"/>
      <color rgb="FFFF0000"/>
      <name val="Calibri"/>
      <family val="2"/>
      <scheme val="minor"/>
    </font>
    <font>
      <sz val="12"/>
      <color theme="0"/>
      <name val="Calibri"/>
      <family val="2"/>
      <scheme val="minor"/>
    </font>
    <font>
      <sz val="12"/>
      <color theme="5" tint="-0.499984740745262"/>
      <name val="Calibri"/>
      <family val="2"/>
      <scheme val="minor"/>
    </font>
    <font>
      <b/>
      <sz val="12"/>
      <color theme="5" tint="-0.499984740745262"/>
      <name val="Calibri"/>
      <family val="2"/>
      <scheme val="minor"/>
    </font>
    <font>
      <sz val="12"/>
      <color rgb="FF7030A0"/>
      <name val="Calibri"/>
      <family val="2"/>
      <scheme val="minor"/>
    </font>
    <font>
      <b/>
      <sz val="12"/>
      <color rgb="FF7030A0"/>
      <name val="Calibri"/>
      <family val="2"/>
      <scheme val="minor"/>
    </font>
    <font>
      <sz val="12"/>
      <color rgb="FF000000"/>
      <name val="Calibri"/>
      <family val="2"/>
      <scheme val="minor"/>
    </font>
    <font>
      <i/>
      <sz val="14"/>
      <color theme="1"/>
      <name val="Calibri"/>
      <family val="2"/>
      <scheme val="minor"/>
    </font>
    <font>
      <b/>
      <i/>
      <sz val="14"/>
      <color theme="1"/>
      <name val="Calibri"/>
      <family val="2"/>
      <scheme val="minor"/>
    </font>
    <font>
      <b/>
      <sz val="9"/>
      <color indexed="81"/>
      <name val="Tahoma"/>
      <family val="2"/>
    </font>
    <font>
      <sz val="9"/>
      <color indexed="81"/>
      <name val="Tahoma"/>
      <family val="2"/>
    </font>
    <font>
      <b/>
      <sz val="8"/>
      <color theme="0"/>
      <name val="Calibri"/>
      <family val="2"/>
      <scheme val="minor"/>
    </font>
    <font>
      <b/>
      <sz val="11"/>
      <name val="Garamond"/>
      <family val="1"/>
    </font>
    <font>
      <sz val="11"/>
      <name val="Garamond"/>
      <family val="1"/>
    </font>
    <font>
      <b/>
      <sz val="14"/>
      <name val="Calibri"/>
      <family val="2"/>
      <scheme val="minor"/>
    </font>
    <font>
      <b/>
      <sz val="12"/>
      <name val="Garamond"/>
      <family val="1"/>
    </font>
    <font>
      <sz val="11"/>
      <color theme="1"/>
      <name val="Garamond"/>
      <family val="1"/>
    </font>
    <font>
      <sz val="11"/>
      <color theme="1"/>
      <name val="Calibri"/>
      <family val="2"/>
      <charset val="1"/>
    </font>
    <font>
      <b/>
      <sz val="11"/>
      <color theme="0"/>
      <name val="Arial Narrow"/>
      <family val="2"/>
    </font>
    <font>
      <sz val="11"/>
      <color rgb="FFFF0000"/>
      <name val="Arial Narrow"/>
      <family val="2"/>
    </font>
    <font>
      <b/>
      <sz val="11"/>
      <color theme="1"/>
      <name val="Arial Narrow"/>
      <family val="2"/>
    </font>
    <font>
      <sz val="11"/>
      <color theme="0"/>
      <name val="Arial Narrow"/>
      <family val="2"/>
    </font>
    <font>
      <b/>
      <sz val="16"/>
      <color theme="1"/>
      <name val="Arial Narrow"/>
      <family val="2"/>
    </font>
    <font>
      <b/>
      <sz val="12"/>
      <name val="Arial Narrow"/>
      <family val="2"/>
    </font>
    <font>
      <b/>
      <sz val="11"/>
      <name val="Arial Narrow"/>
      <family val="2"/>
    </font>
    <font>
      <sz val="12"/>
      <name val="Arial Narrow"/>
      <family val="2"/>
    </font>
    <font>
      <sz val="11"/>
      <name val="Arial Narrow"/>
      <family val="2"/>
    </font>
    <font>
      <b/>
      <sz val="16"/>
      <name val="Arial Narrow"/>
      <family val="2"/>
    </font>
    <font>
      <sz val="10"/>
      <name val="Arial Narrow"/>
      <family val="2"/>
    </font>
    <font>
      <sz val="10"/>
      <color theme="1"/>
      <name val="Arial Narrow"/>
      <family val="2"/>
    </font>
    <font>
      <b/>
      <sz val="14"/>
      <color theme="1"/>
      <name val="Arial Narrow"/>
      <family val="2"/>
    </font>
    <font>
      <sz val="11"/>
      <color rgb="FF242424"/>
      <name val="Arial Narrow"/>
      <family val="2"/>
    </font>
    <font>
      <sz val="11"/>
      <color rgb="FFFFFFFF"/>
      <name val="Arial Narrow"/>
      <family val="2"/>
    </font>
    <font>
      <sz val="11"/>
      <color rgb="FF333333"/>
      <name val="Arial Narrow"/>
      <family val="2"/>
    </font>
    <font>
      <b/>
      <sz val="10"/>
      <name val="Arial Narrow"/>
      <family val="2"/>
    </font>
    <font>
      <b/>
      <sz val="10"/>
      <color theme="1"/>
      <name val="Arial Narrow"/>
      <family val="2"/>
    </font>
    <font>
      <sz val="10"/>
      <color rgb="FF000000"/>
      <name val="Arial Narrow"/>
      <family val="2"/>
    </font>
    <font>
      <sz val="11"/>
      <color rgb="FF9C0006"/>
      <name val="Calibri"/>
      <family val="2"/>
      <charset val="1"/>
    </font>
    <font>
      <b/>
      <sz val="18"/>
      <color rgb="FFFFFFFF"/>
      <name val="Arial Narrow"/>
      <family val="2"/>
    </font>
    <font>
      <b/>
      <sz val="20"/>
      <color rgb="FFFF0000"/>
      <name val="Arial Narrow"/>
      <family val="2"/>
    </font>
    <font>
      <b/>
      <sz val="10"/>
      <color rgb="FF000000"/>
      <name val="Arial Narrow"/>
      <family val="2"/>
    </font>
    <font>
      <b/>
      <sz val="12"/>
      <color theme="1"/>
      <name val="Arial Narrow"/>
      <family val="2"/>
    </font>
    <font>
      <b/>
      <sz val="18"/>
      <color theme="1"/>
      <name val="Arial Narrow"/>
      <family val="2"/>
    </font>
    <font>
      <b/>
      <sz val="12"/>
      <color rgb="FFFFFFFF"/>
      <name val="Arial Narrow"/>
      <family val="2"/>
    </font>
    <font>
      <b/>
      <sz val="16"/>
      <color theme="0"/>
      <name val="Arial Narrow"/>
      <family val="2"/>
    </font>
    <font>
      <sz val="10"/>
      <name val="Garamond"/>
      <family val="1"/>
    </font>
    <font>
      <b/>
      <sz val="10"/>
      <color rgb="FF000000"/>
      <name val="Arial Narrow"/>
    </font>
    <font>
      <sz val="10"/>
      <color rgb="FF000000"/>
      <name val="Arial Narrow"/>
    </font>
    <font>
      <b/>
      <u/>
      <sz val="10"/>
      <color rgb="FF000000"/>
      <name val="Arial Narrow"/>
    </font>
  </fonts>
  <fills count="43">
    <fill>
      <patternFill patternType="none"/>
    </fill>
    <fill>
      <patternFill patternType="gray125"/>
    </fill>
    <fill>
      <patternFill patternType="solid">
        <fgColor theme="0" tint="-4.9989318521683403E-2"/>
        <bgColor rgb="FFFF99CC"/>
      </patternFill>
    </fill>
    <fill>
      <patternFill patternType="solid">
        <fgColor theme="4" tint="0.59999389629810485"/>
        <bgColor indexed="64"/>
      </patternFill>
    </fill>
    <fill>
      <patternFill patternType="solid">
        <fgColor rgb="FFFFC000"/>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bgColor rgb="FFFF99CC"/>
      </patternFill>
    </fill>
    <fill>
      <patternFill patternType="solid">
        <fgColor theme="2"/>
        <bgColor indexed="64"/>
      </patternFill>
    </fill>
    <fill>
      <patternFill patternType="solid">
        <fgColor theme="3"/>
        <bgColor indexed="64"/>
      </patternFill>
    </fill>
    <fill>
      <patternFill patternType="solid">
        <fgColor rgb="FF222B35"/>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4" tint="-0.249977111117893"/>
        <bgColor indexed="64"/>
      </patternFill>
    </fill>
    <fill>
      <patternFill patternType="solid">
        <fgColor rgb="FF7030A0"/>
        <bgColor indexed="64"/>
      </patternFill>
    </fill>
    <fill>
      <patternFill patternType="solid">
        <fgColor theme="2" tint="-0.499984740745262"/>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4" tint="-0.499984740745262"/>
        <bgColor rgb="FFFF99CC"/>
      </patternFill>
    </fill>
    <fill>
      <patternFill patternType="solid">
        <fgColor theme="3"/>
        <bgColor rgb="FFFF99CC"/>
      </patternFill>
    </fill>
    <fill>
      <patternFill patternType="solid">
        <fgColor theme="3" tint="0.79998168889431442"/>
        <bgColor indexed="64"/>
      </patternFill>
    </fill>
    <fill>
      <patternFill patternType="solid">
        <fgColor theme="4"/>
        <bgColor indexed="64"/>
      </patternFill>
    </fill>
    <fill>
      <patternFill patternType="solid">
        <fgColor rgb="FF7030A0"/>
        <bgColor rgb="FFFF99CC"/>
      </patternFill>
    </fill>
    <fill>
      <patternFill patternType="solid">
        <fgColor rgb="FFD5BCE2"/>
        <bgColor indexed="64"/>
      </patternFill>
    </fill>
    <fill>
      <patternFill patternType="solid">
        <fgColor theme="0"/>
        <bgColor indexed="64"/>
      </patternFill>
    </fill>
    <fill>
      <patternFill patternType="solid">
        <fgColor theme="4" tint="0.39997558519241921"/>
        <bgColor indexed="64"/>
      </patternFill>
    </fill>
    <fill>
      <patternFill patternType="solid">
        <fgColor rgb="FFFF0000"/>
        <bgColor indexed="64"/>
      </patternFill>
    </fill>
    <fill>
      <patternFill patternType="solid">
        <fgColor theme="0"/>
        <bgColor rgb="FFFF99CC"/>
      </patternFill>
    </fill>
    <fill>
      <patternFill patternType="solid">
        <fgColor theme="0" tint="-0.14999847407452621"/>
        <bgColor indexed="64"/>
      </patternFill>
    </fill>
    <fill>
      <patternFill patternType="solid">
        <fgColor theme="7" tint="0.59999389629810485"/>
        <bgColor indexed="64"/>
      </patternFill>
    </fill>
    <fill>
      <patternFill patternType="solid">
        <fgColor theme="0"/>
        <bgColor rgb="FFFFFF00"/>
      </patternFill>
    </fill>
    <fill>
      <patternFill patternType="solid">
        <fgColor theme="9" tint="0.79998168889431442"/>
        <bgColor indexed="64"/>
      </patternFill>
    </fill>
    <fill>
      <patternFill patternType="solid">
        <fgColor theme="8" tint="0.59987182226020086"/>
        <bgColor rgb="FFD9D9D9"/>
      </patternFill>
    </fill>
    <fill>
      <patternFill patternType="solid">
        <fgColor rgb="FFFFC7CE"/>
        <bgColor rgb="FFD9D9D9"/>
      </patternFill>
    </fill>
    <fill>
      <patternFill patternType="solid">
        <fgColor rgb="FF1F4E5F"/>
        <bgColor rgb="FF404040"/>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59999389629810485"/>
        <bgColor indexed="64"/>
      </patternFill>
    </fill>
  </fills>
  <borders count="70">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64"/>
      </left>
      <right/>
      <top style="thin">
        <color indexed="64"/>
      </top>
      <bottom style="thin">
        <color indexed="64"/>
      </bottom>
      <diagonal/>
    </border>
    <border>
      <left style="thin">
        <color auto="1"/>
      </left>
      <right/>
      <top/>
      <bottom/>
      <diagonal/>
    </border>
    <border>
      <left style="thin">
        <color auto="1"/>
      </left>
      <right/>
      <top/>
      <bottom style="thin">
        <color auto="1"/>
      </bottom>
      <diagonal/>
    </border>
    <border>
      <left/>
      <right/>
      <top style="thin">
        <color auto="1"/>
      </top>
      <bottom/>
      <diagonal/>
    </border>
    <border>
      <left/>
      <right style="medium">
        <color indexed="64"/>
      </right>
      <top style="thin">
        <color auto="1"/>
      </top>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thin">
        <color indexed="64"/>
      </left>
      <right/>
      <top style="thin">
        <color auto="1"/>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top style="thin">
        <color auto="1"/>
      </top>
      <bottom style="medium">
        <color auto="1"/>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right/>
      <top style="thin">
        <color auto="1"/>
      </top>
      <bottom style="thin">
        <color indexed="64"/>
      </bottom>
      <diagonal/>
    </border>
    <border>
      <left/>
      <right/>
      <top style="medium">
        <color indexed="64"/>
      </top>
      <bottom style="medium">
        <color indexed="64"/>
      </bottom>
      <diagonal/>
    </border>
    <border>
      <left/>
      <right/>
      <top style="thin">
        <color rgb="FF000000"/>
      </top>
      <bottom/>
      <diagonal/>
    </border>
    <border>
      <left style="medium">
        <color rgb="FF000000"/>
      </left>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right/>
      <top style="medium">
        <color indexed="64"/>
      </top>
      <bottom style="thin">
        <color auto="1"/>
      </bottom>
      <diagonal/>
    </border>
    <border>
      <left/>
      <right style="thin">
        <color theme="0" tint="-0.499984740745262"/>
      </right>
      <top style="thin">
        <color theme="0" tint="-0.499984740745262"/>
      </top>
      <bottom style="thin">
        <color theme="0" tint="-0.499984740745262"/>
      </bottom>
      <diagonal/>
    </border>
    <border>
      <left/>
      <right/>
      <top style="thin">
        <color auto="1"/>
      </top>
      <bottom style="medium">
        <color indexed="64"/>
      </bottom>
      <diagonal/>
    </border>
    <border>
      <left/>
      <right style="medium">
        <color rgb="FF000000"/>
      </right>
      <top style="thin">
        <color auto="1"/>
      </top>
      <bottom style="medium">
        <color indexed="64"/>
      </bottom>
      <diagonal/>
    </border>
    <border>
      <left style="thin">
        <color auto="1"/>
      </left>
      <right/>
      <top style="thin">
        <color auto="1"/>
      </top>
      <bottom/>
      <diagonal/>
    </border>
  </borders>
  <cellStyleXfs count="60">
    <xf numFmtId="0" fontId="0" fillId="0" borderId="0"/>
    <xf numFmtId="166"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2" fillId="0" borderId="0"/>
    <xf numFmtId="166" fontId="12" fillId="0" borderId="0" applyFont="0" applyFill="0" applyBorder="0" applyAlignment="0" applyProtection="0"/>
    <xf numFmtId="0" fontId="13" fillId="0" borderId="0" applyNumberFormat="0" applyFill="0" applyBorder="0" applyAlignment="0" applyProtection="0">
      <alignment vertical="top"/>
      <protection locked="0"/>
    </xf>
    <xf numFmtId="170" fontId="12" fillId="0" borderId="0" applyFont="0" applyFill="0" applyBorder="0" applyAlignment="0" applyProtection="0"/>
    <xf numFmtId="9" fontId="12" fillId="0" borderId="0" applyFont="0" applyFill="0" applyBorder="0" applyAlignment="0" applyProtection="0"/>
    <xf numFmtId="0" fontId="10" fillId="0" borderId="0"/>
    <xf numFmtId="9" fontId="10" fillId="0" borderId="0" applyFont="0" applyFill="0" applyBorder="0" applyAlignment="0" applyProtection="0"/>
    <xf numFmtId="0" fontId="14" fillId="0" borderId="0"/>
    <xf numFmtId="166" fontId="2"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172" fontId="15" fillId="0" borderId="0" applyFont="0" applyFill="0" applyBorder="0" applyAlignment="0" applyProtection="0"/>
    <xf numFmtId="171" fontId="15" fillId="0" borderId="0" applyFont="0" applyFill="0" applyBorder="0" applyAlignment="0" applyProtection="0"/>
    <xf numFmtId="0" fontId="18" fillId="5" borderId="1" applyNumberFormat="0" applyProtection="0">
      <alignment horizontal="left" vertical="center"/>
    </xf>
    <xf numFmtId="0" fontId="17" fillId="6" borderId="0" applyNumberFormat="0" applyBorder="0" applyProtection="0">
      <alignment horizontal="center" vertical="center"/>
    </xf>
    <xf numFmtId="0" fontId="17" fillId="7" borderId="0" applyNumberFormat="0" applyBorder="0" applyProtection="0">
      <alignment horizontal="center" vertical="center"/>
    </xf>
    <xf numFmtId="0" fontId="17" fillId="5" borderId="0" applyNumberFormat="0" applyBorder="0" applyProtection="0">
      <alignment horizontal="center" vertical="center" wrapText="1"/>
    </xf>
    <xf numFmtId="0" fontId="17" fillId="5" borderId="0" applyNumberFormat="0" applyBorder="0" applyProtection="0">
      <alignment horizontal="right" vertical="center" wrapText="1"/>
    </xf>
    <xf numFmtId="0" fontId="17" fillId="8" borderId="0" applyNumberFormat="0" applyBorder="0" applyProtection="0">
      <alignment horizontal="center" vertical="center" wrapText="1"/>
    </xf>
    <xf numFmtId="0" fontId="16" fillId="8" borderId="0" applyNumberFormat="0" applyBorder="0" applyProtection="0">
      <alignment horizontal="right" vertical="center" wrapText="1"/>
    </xf>
    <xf numFmtId="49" fontId="16" fillId="0" borderId="0" applyFill="0" applyBorder="0" applyProtection="0">
      <alignment horizontal="left" vertical="center"/>
    </xf>
    <xf numFmtId="0" fontId="17" fillId="0" borderId="0" applyNumberFormat="0" applyFill="0" applyBorder="0" applyProtection="0">
      <alignment horizontal="left" vertical="center"/>
    </xf>
    <xf numFmtId="0" fontId="17" fillId="0" borderId="0" applyNumberFormat="0" applyFill="0" applyBorder="0" applyProtection="0">
      <alignment horizontal="right" vertical="center"/>
    </xf>
    <xf numFmtId="173" fontId="16" fillId="0" borderId="0" applyFill="0" applyBorder="0" applyProtection="0">
      <alignment horizontal="right" vertical="center"/>
    </xf>
    <xf numFmtId="14" fontId="16" fillId="0" borderId="0" applyFill="0" applyBorder="0" applyProtection="0">
      <alignment horizontal="right" vertical="center"/>
    </xf>
    <xf numFmtId="22" fontId="16" fillId="0" borderId="0" applyFill="0" applyBorder="0" applyProtection="0">
      <alignment horizontal="right" vertical="center"/>
    </xf>
    <xf numFmtId="3" fontId="16" fillId="0" borderId="0" applyFill="0" applyBorder="0" applyProtection="0">
      <alignment horizontal="right" vertical="center"/>
    </xf>
    <xf numFmtId="4" fontId="16" fillId="0" borderId="0" applyFill="0" applyBorder="0" applyProtection="0">
      <alignment horizontal="right" vertical="center"/>
    </xf>
    <xf numFmtId="0" fontId="16" fillId="0" borderId="1" applyNumberFormat="0" applyFill="0" applyProtection="0">
      <alignment horizontal="left" vertical="center"/>
    </xf>
    <xf numFmtId="173" fontId="16" fillId="0" borderId="1" applyFill="0" applyProtection="0">
      <alignment horizontal="right" vertical="center"/>
    </xf>
    <xf numFmtId="3" fontId="16" fillId="0" borderId="1" applyFill="0" applyProtection="0">
      <alignment horizontal="right" vertical="center"/>
    </xf>
    <xf numFmtId="4" fontId="16" fillId="0" borderId="1" applyFill="0" applyProtection="0">
      <alignment horizontal="right" vertical="center"/>
    </xf>
    <xf numFmtId="0" fontId="15" fillId="0" borderId="1" applyNumberFormat="0" applyFont="0" applyFill="0" applyAlignment="0" applyProtection="0"/>
    <xf numFmtId="167" fontId="15" fillId="0" borderId="0" applyFont="0" applyFill="0" applyBorder="0" applyAlignment="0" applyProtection="0"/>
    <xf numFmtId="166" fontId="15" fillId="0" borderId="0" applyFont="0" applyFill="0" applyBorder="0" applyAlignment="0" applyProtection="0"/>
    <xf numFmtId="43" fontId="15" fillId="0" borderId="0" applyFont="0" applyFill="0" applyBorder="0" applyAlignment="0" applyProtection="0"/>
    <xf numFmtId="41" fontId="15" fillId="0" borderId="0" applyFont="0" applyFill="0" applyBorder="0" applyAlignment="0" applyProtection="0"/>
    <xf numFmtId="43" fontId="15" fillId="0" borderId="0" applyFont="0" applyFill="0" applyBorder="0" applyAlignment="0" applyProtection="0"/>
    <xf numFmtId="0" fontId="17" fillId="6" borderId="0" applyNumberFormat="0" applyBorder="0" applyProtection="0">
      <alignment horizontal="center" vertical="center"/>
    </xf>
    <xf numFmtId="43" fontId="15" fillId="0" borderId="0" applyFont="0" applyFill="0" applyBorder="0" applyAlignment="0" applyProtection="0"/>
    <xf numFmtId="43"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0" fontId="2" fillId="0" borderId="0">
      <alignment vertical="center"/>
    </xf>
    <xf numFmtId="166" fontId="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0" fontId="56" fillId="37" borderId="0"/>
    <xf numFmtId="0" fontId="76" fillId="38" borderId="0"/>
  </cellStyleXfs>
  <cellXfs count="487">
    <xf numFmtId="0" fontId="0" fillId="0" borderId="0" xfId="0"/>
    <xf numFmtId="0" fontId="0" fillId="0" borderId="1" xfId="0" applyBorder="1"/>
    <xf numFmtId="10" fontId="0" fillId="0" borderId="1" xfId="2" applyNumberFormat="1" applyFont="1" applyBorder="1"/>
    <xf numFmtId="166" fontId="0" fillId="0" borderId="1" xfId="1" applyFont="1" applyBorder="1"/>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169" fontId="3" fillId="2"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0" fillId="0" borderId="0" xfId="0" applyAlignment="1">
      <alignment horizontal="left"/>
    </xf>
    <xf numFmtId="166" fontId="0" fillId="0" borderId="0" xfId="0" applyNumberFormat="1"/>
    <xf numFmtId="0" fontId="15" fillId="0" borderId="0" xfId="14" applyProtection="1">
      <protection locked="0"/>
    </xf>
    <xf numFmtId="0" fontId="12" fillId="0" borderId="0" xfId="14" applyFont="1" applyAlignment="1">
      <alignment horizontal="left" vertical="center"/>
    </xf>
    <xf numFmtId="2" fontId="0" fillId="0" borderId="0" xfId="0" applyNumberFormat="1"/>
    <xf numFmtId="0" fontId="11" fillId="0" borderId="0" xfId="0" applyFont="1" applyAlignment="1">
      <alignment horizontal="center" wrapText="1"/>
    </xf>
    <xf numFmtId="166" fontId="0" fillId="0" borderId="0" xfId="1" applyFont="1" applyBorder="1"/>
    <xf numFmtId="10" fontId="0" fillId="0" borderId="0" xfId="2" applyNumberFormat="1" applyFont="1" applyBorder="1"/>
    <xf numFmtId="0" fontId="7" fillId="0" borderId="0" xfId="0" applyFont="1" applyAlignment="1">
      <alignment horizontal="center"/>
    </xf>
    <xf numFmtId="169" fontId="0" fillId="0" borderId="1" xfId="1" applyNumberFormat="1" applyFont="1" applyBorder="1" applyAlignment="1">
      <alignment vertical="center"/>
    </xf>
    <xf numFmtId="169" fontId="0" fillId="0" borderId="1" xfId="0" applyNumberFormat="1" applyBorder="1" applyAlignment="1">
      <alignment vertical="center"/>
    </xf>
    <xf numFmtId="169" fontId="0" fillId="0" borderId="0" xfId="0" applyNumberFormat="1"/>
    <xf numFmtId="0" fontId="21" fillId="0" borderId="13" xfId="0" applyFont="1" applyBorder="1" applyAlignment="1">
      <alignment vertical="center" wrapText="1"/>
    </xf>
    <xf numFmtId="0" fontId="21" fillId="0" borderId="13" xfId="0" applyFont="1" applyBorder="1" applyAlignment="1">
      <alignment horizontal="center" vertical="center"/>
    </xf>
    <xf numFmtId="0" fontId="20" fillId="10" borderId="14" xfId="0" applyFont="1" applyFill="1" applyBorder="1"/>
    <xf numFmtId="169" fontId="20" fillId="10" borderId="15" xfId="0" applyNumberFormat="1" applyFont="1" applyFill="1" applyBorder="1"/>
    <xf numFmtId="169" fontId="20" fillId="10" borderId="16" xfId="0" applyNumberFormat="1" applyFont="1" applyFill="1" applyBorder="1"/>
    <xf numFmtId="0" fontId="4" fillId="2" borderId="17" xfId="0" applyFont="1" applyFill="1" applyBorder="1" applyAlignment="1">
      <alignment horizontal="center" vertical="center" textRotation="90" wrapText="1"/>
    </xf>
    <xf numFmtId="0" fontId="5" fillId="2" borderId="18" xfId="0" applyFont="1" applyFill="1" applyBorder="1" applyAlignment="1">
      <alignment horizontal="center" vertical="center" wrapText="1"/>
    </xf>
    <xf numFmtId="169" fontId="5" fillId="2" borderId="18" xfId="0" applyNumberFormat="1" applyFont="1" applyFill="1" applyBorder="1" applyAlignment="1">
      <alignment horizontal="center" vertical="center" wrapText="1"/>
    </xf>
    <xf numFmtId="169" fontId="19" fillId="9" borderId="18" xfId="0" applyNumberFormat="1"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0" fillId="0" borderId="20" xfId="0" applyBorder="1" applyAlignment="1">
      <alignment vertical="center"/>
    </xf>
    <xf numFmtId="10" fontId="0" fillId="0" borderId="21" xfId="2" applyNumberFormat="1" applyFont="1" applyBorder="1" applyAlignment="1">
      <alignment vertical="center"/>
    </xf>
    <xf numFmtId="169" fontId="0" fillId="0" borderId="1" xfId="1" quotePrefix="1" applyNumberFormat="1" applyFont="1" applyBorder="1" applyAlignment="1">
      <alignment horizontal="right" vertical="center"/>
    </xf>
    <xf numFmtId="0" fontId="0" fillId="0" borderId="0" xfId="0" applyAlignment="1">
      <alignment horizontal="left" vertical="center" wrapText="1"/>
    </xf>
    <xf numFmtId="174" fontId="0" fillId="0" borderId="1" xfId="0" applyNumberFormat="1" applyBorder="1" applyAlignment="1">
      <alignment horizontal="right" vertical="center" wrapText="1"/>
    </xf>
    <xf numFmtId="0" fontId="0" fillId="10" borderId="1" xfId="0" applyFill="1" applyBorder="1" applyAlignment="1">
      <alignment horizontal="left" vertical="center" wrapText="1"/>
    </xf>
    <xf numFmtId="174" fontId="0" fillId="0" borderId="0" xfId="0" applyNumberFormat="1" applyAlignment="1">
      <alignment horizontal="right"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6" fillId="13" borderId="1" xfId="0" applyFont="1" applyFill="1" applyBorder="1" applyAlignment="1">
      <alignment horizontal="center" vertical="center" wrapText="1"/>
    </xf>
    <xf numFmtId="175" fontId="0" fillId="0" borderId="1" xfId="55" applyNumberFormat="1" applyFont="1" applyBorder="1" applyAlignment="1"/>
    <xf numFmtId="175" fontId="0" fillId="0" borderId="1" xfId="0" applyNumberFormat="1" applyBorder="1"/>
    <xf numFmtId="0" fontId="0" fillId="14" borderId="1" xfId="0" applyFill="1" applyBorder="1"/>
    <xf numFmtId="169" fontId="0" fillId="16" borderId="1" xfId="1" quotePrefix="1" applyNumberFormat="1" applyFont="1" applyFill="1" applyBorder="1" applyAlignment="1">
      <alignment horizontal="right" vertical="center"/>
    </xf>
    <xf numFmtId="169" fontId="0" fillId="0" borderId="1" xfId="0" applyNumberFormat="1" applyBorder="1"/>
    <xf numFmtId="176" fontId="0" fillId="0" borderId="1" xfId="0" applyNumberFormat="1" applyBorder="1"/>
    <xf numFmtId="0" fontId="23" fillId="11" borderId="1" xfId="0" applyFont="1" applyFill="1" applyBorder="1" applyAlignment="1">
      <alignment horizontal="center" vertical="center" wrapText="1"/>
    </xf>
    <xf numFmtId="177" fontId="23" fillId="11" borderId="1" xfId="0" applyNumberFormat="1" applyFont="1" applyFill="1" applyBorder="1" applyAlignment="1">
      <alignment horizontal="center" vertical="center" wrapText="1"/>
    </xf>
    <xf numFmtId="178" fontId="23" fillId="11" borderId="1" xfId="0" applyNumberFormat="1" applyFont="1" applyFill="1" applyBorder="1" applyAlignment="1">
      <alignment horizontal="center" vertical="center" wrapText="1"/>
    </xf>
    <xf numFmtId="179" fontId="23" fillId="11" borderId="1" xfId="0" applyNumberFormat="1" applyFont="1" applyFill="1" applyBorder="1" applyAlignment="1">
      <alignment horizontal="center" vertical="center" wrapText="1"/>
    </xf>
    <xf numFmtId="0" fontId="0" fillId="0" borderId="1" xfId="0" applyBorder="1" applyAlignment="1">
      <alignment horizontal="center"/>
    </xf>
    <xf numFmtId="0" fontId="23" fillId="16" borderId="1" xfId="0" applyFont="1" applyFill="1" applyBorder="1" applyAlignment="1">
      <alignment horizontal="center" vertical="center" wrapText="1"/>
    </xf>
    <xf numFmtId="174" fontId="0" fillId="0" borderId="1" xfId="0" applyNumberFormat="1" applyBorder="1" applyAlignment="1">
      <alignment horizontal="center" vertical="center" wrapText="1"/>
    </xf>
    <xf numFmtId="0" fontId="0" fillId="0" borderId="1" xfId="0" applyBorder="1" applyAlignment="1">
      <alignment wrapText="1"/>
    </xf>
    <xf numFmtId="180" fontId="0" fillId="0" borderId="0" xfId="2" applyNumberFormat="1" applyFont="1"/>
    <xf numFmtId="0" fontId="6" fillId="3" borderId="1" xfId="0" applyFont="1" applyFill="1" applyBorder="1" applyAlignment="1">
      <alignment horizontal="center" vertical="center" wrapText="1"/>
    </xf>
    <xf numFmtId="1" fontId="0" fillId="0" borderId="1" xfId="0" applyNumberFormat="1" applyBorder="1"/>
    <xf numFmtId="9" fontId="0" fillId="0" borderId="1" xfId="2" applyFont="1" applyBorder="1" applyAlignment="1"/>
    <xf numFmtId="0" fontId="25" fillId="13" borderId="1" xfId="0" applyFont="1" applyFill="1" applyBorder="1" applyAlignment="1">
      <alignment horizontal="center" vertical="center" wrapText="1"/>
    </xf>
    <xf numFmtId="169" fontId="0" fillId="0" borderId="1" xfId="1" quotePrefix="1" applyNumberFormat="1" applyFont="1" applyFill="1" applyBorder="1" applyAlignment="1">
      <alignment horizontal="right" vertical="center"/>
    </xf>
    <xf numFmtId="0" fontId="0" fillId="10" borderId="1" xfId="0" applyFill="1" applyBorder="1"/>
    <xf numFmtId="0" fontId="26" fillId="17" borderId="1" xfId="0" applyFont="1" applyFill="1" applyBorder="1" applyAlignment="1">
      <alignment horizontal="center" vertical="center" wrapText="1"/>
    </xf>
    <xf numFmtId="0" fontId="29" fillId="0" borderId="0" xfId="0" applyFont="1" applyAlignment="1">
      <alignment wrapText="1"/>
    </xf>
    <xf numFmtId="175" fontId="0" fillId="0" borderId="1" xfId="55" applyNumberFormat="1" applyFont="1" applyFill="1" applyBorder="1" applyAlignment="1"/>
    <xf numFmtId="175" fontId="0" fillId="0" borderId="0" xfId="0" applyNumberFormat="1"/>
    <xf numFmtId="0" fontId="25" fillId="17" borderId="1" xfId="0" applyFont="1" applyFill="1" applyBorder="1" applyAlignment="1">
      <alignment horizontal="center" vertical="center" wrapText="1"/>
    </xf>
    <xf numFmtId="0" fontId="25" fillId="18" borderId="23" xfId="0" applyFont="1" applyFill="1" applyBorder="1" applyAlignment="1">
      <alignment horizontal="center" vertical="center" wrapText="1"/>
    </xf>
    <xf numFmtId="0" fontId="30" fillId="18" borderId="23" xfId="0" applyFont="1" applyFill="1" applyBorder="1" applyAlignment="1">
      <alignment horizontal="center" vertical="center" wrapText="1"/>
    </xf>
    <xf numFmtId="10" fontId="0" fillId="0" borderId="22" xfId="2" applyNumberFormat="1" applyFont="1" applyBorder="1" applyAlignment="1">
      <alignment vertical="center"/>
    </xf>
    <xf numFmtId="175" fontId="0" fillId="0" borderId="1" xfId="55" applyNumberFormat="1" applyFont="1" applyBorder="1"/>
    <xf numFmtId="175" fontId="31" fillId="0" borderId="0" xfId="55" applyNumberFormat="1" applyFont="1"/>
    <xf numFmtId="0" fontId="25" fillId="11" borderId="1" xfId="0" applyFont="1" applyFill="1" applyBorder="1" applyAlignment="1">
      <alignment horizontal="center" vertical="center" wrapText="1"/>
    </xf>
    <xf numFmtId="165" fontId="0" fillId="0" borderId="1" xfId="0" quotePrefix="1" applyNumberFormat="1" applyBorder="1" applyAlignment="1">
      <alignment horizontal="right"/>
    </xf>
    <xf numFmtId="165" fontId="0" fillId="21" borderId="1" xfId="0" applyNumberFormat="1" applyFill="1" applyBorder="1"/>
    <xf numFmtId="165" fontId="0" fillId="0" borderId="1" xfId="0" applyNumberFormat="1" applyBorder="1"/>
    <xf numFmtId="0" fontId="25" fillId="20" borderId="22" xfId="0" applyFont="1" applyFill="1" applyBorder="1" applyAlignment="1">
      <alignment horizontal="center" vertical="center" wrapText="1"/>
    </xf>
    <xf numFmtId="0" fontId="25" fillId="19" borderId="22" xfId="0" applyFont="1" applyFill="1" applyBorder="1" applyAlignment="1">
      <alignment horizontal="center" vertical="center" wrapText="1"/>
    </xf>
    <xf numFmtId="0" fontId="0" fillId="0" borderId="25" xfId="0" applyBorder="1"/>
    <xf numFmtId="0" fontId="0" fillId="0" borderId="26" xfId="0" applyBorder="1"/>
    <xf numFmtId="169" fontId="29" fillId="0" borderId="1" xfId="0" applyNumberFormat="1" applyFont="1" applyBorder="1" applyAlignment="1">
      <alignment vertical="center" wrapText="1"/>
    </xf>
    <xf numFmtId="0" fontId="27" fillId="0" borderId="0" xfId="0" applyFont="1" applyAlignment="1">
      <alignment horizontal="center" vertical="center"/>
    </xf>
    <xf numFmtId="0" fontId="0" fillId="0" borderId="0" xfId="0" applyAlignment="1">
      <alignment horizontal="center"/>
    </xf>
    <xf numFmtId="0" fontId="0" fillId="13" borderId="1" xfId="0" applyFill="1" applyBorder="1"/>
    <xf numFmtId="0" fontId="35" fillId="23" borderId="1" xfId="0" applyFont="1" applyFill="1" applyBorder="1" applyAlignment="1">
      <alignment horizontal="center" vertical="center" textRotation="90" wrapText="1"/>
    </xf>
    <xf numFmtId="0" fontId="35" fillId="23" borderId="1" xfId="0" applyFont="1" applyFill="1" applyBorder="1" applyAlignment="1">
      <alignment horizontal="center" vertical="center" wrapText="1"/>
    </xf>
    <xf numFmtId="169" fontId="35" fillId="23" borderId="1" xfId="0" applyNumberFormat="1" applyFont="1" applyFill="1" applyBorder="1" applyAlignment="1">
      <alignment horizontal="center" vertical="center" wrapText="1"/>
    </xf>
    <xf numFmtId="0" fontId="10" fillId="0" borderId="0" xfId="0" applyFont="1"/>
    <xf numFmtId="0" fontId="0" fillId="25" borderId="1" xfId="0" applyFill="1" applyBorder="1" applyAlignment="1">
      <alignment horizontal="center" vertical="center"/>
    </xf>
    <xf numFmtId="0" fontId="10" fillId="25" borderId="1" xfId="0" applyFont="1" applyFill="1" applyBorder="1" applyAlignment="1">
      <alignment vertical="center" wrapText="1"/>
    </xf>
    <xf numFmtId="0" fontId="9" fillId="25" borderId="1" xfId="3" applyFill="1" applyBorder="1" applyAlignment="1">
      <alignment vertical="center" wrapText="1"/>
    </xf>
    <xf numFmtId="0" fontId="10" fillId="25" borderId="1" xfId="0" applyFont="1" applyFill="1" applyBorder="1" applyAlignment="1">
      <alignment horizontal="center" vertical="center"/>
    </xf>
    <xf numFmtId="169" fontId="10" fillId="25" borderId="1" xfId="1" applyNumberFormat="1" applyFont="1" applyFill="1" applyBorder="1" applyAlignment="1">
      <alignment horizontal="right" vertical="center"/>
    </xf>
    <xf numFmtId="169" fontId="10" fillId="22" borderId="1" xfId="1" applyNumberFormat="1" applyFont="1" applyFill="1" applyBorder="1" applyAlignment="1">
      <alignment horizontal="right" vertical="center"/>
    </xf>
    <xf numFmtId="9" fontId="10" fillId="25" borderId="1" xfId="2" applyFont="1" applyFill="1" applyBorder="1" applyAlignment="1">
      <alignment horizontal="right" vertical="center"/>
    </xf>
    <xf numFmtId="169" fontId="40" fillId="26" borderId="1" xfId="1" applyNumberFormat="1" applyFont="1" applyFill="1" applyBorder="1" applyAlignment="1">
      <alignment horizontal="right" vertical="center"/>
    </xf>
    <xf numFmtId="169" fontId="34" fillId="25" borderId="1" xfId="1" applyNumberFormat="1" applyFont="1" applyFill="1" applyBorder="1" applyAlignment="1">
      <alignment horizontal="right" vertical="center"/>
    </xf>
    <xf numFmtId="0" fontId="10" fillId="25" borderId="1" xfId="0" applyFont="1" applyFill="1" applyBorder="1" applyAlignment="1">
      <alignment horizontal="center" vertical="center" wrapText="1"/>
    </xf>
    <xf numFmtId="0" fontId="0" fillId="28" borderId="1" xfId="0" applyFill="1" applyBorder="1" applyAlignment="1">
      <alignment horizontal="center" vertical="center"/>
    </xf>
    <xf numFmtId="0" fontId="10" fillId="28" borderId="1" xfId="0" applyFont="1" applyFill="1" applyBorder="1" applyAlignment="1">
      <alignment vertical="center" wrapText="1"/>
    </xf>
    <xf numFmtId="0" fontId="9" fillId="28" borderId="1" xfId="3" applyFill="1" applyBorder="1" applyAlignment="1">
      <alignment vertical="center" wrapText="1"/>
    </xf>
    <xf numFmtId="0" fontId="10" fillId="28" borderId="1" xfId="0" applyFont="1" applyFill="1" applyBorder="1" applyAlignment="1">
      <alignment horizontal="center" vertical="center"/>
    </xf>
    <xf numFmtId="9" fontId="10" fillId="28" borderId="1" xfId="2" applyFont="1" applyFill="1" applyBorder="1" applyAlignment="1">
      <alignment horizontal="right" vertical="center"/>
    </xf>
    <xf numFmtId="169" fontId="10" fillId="28" borderId="1" xfId="1" applyNumberFormat="1" applyFont="1" applyFill="1" applyBorder="1" applyAlignment="1">
      <alignment horizontal="right" vertical="center"/>
    </xf>
    <xf numFmtId="169" fontId="34" fillId="28" borderId="1" xfId="1" applyNumberFormat="1" applyFont="1" applyFill="1" applyBorder="1" applyAlignment="1">
      <alignment horizontal="right" vertical="center"/>
    </xf>
    <xf numFmtId="0" fontId="10" fillId="28" borderId="1" xfId="0" applyFont="1" applyFill="1" applyBorder="1" applyAlignment="1">
      <alignment horizontal="center" vertical="center" wrapText="1"/>
    </xf>
    <xf numFmtId="0" fontId="45" fillId="0" borderId="0" xfId="0" applyFont="1" applyAlignment="1">
      <alignment horizontal="left" vertical="center" indent="1"/>
    </xf>
    <xf numFmtId="0" fontId="46" fillId="0" borderId="0" xfId="0" applyFont="1" applyAlignment="1">
      <alignment horizontal="left" vertical="top" wrapText="1"/>
    </xf>
    <xf numFmtId="0" fontId="9" fillId="0" borderId="0" xfId="3"/>
    <xf numFmtId="175" fontId="0" fillId="0" borderId="0" xfId="55" applyNumberFormat="1" applyFont="1"/>
    <xf numFmtId="169" fontId="5" fillId="2" borderId="13" xfId="0" applyNumberFormat="1" applyFont="1" applyFill="1" applyBorder="1" applyAlignment="1">
      <alignment horizontal="center" vertical="center" wrapText="1"/>
    </xf>
    <xf numFmtId="9" fontId="0" fillId="0" borderId="1" xfId="2" applyFont="1" applyBorder="1" applyAlignment="1">
      <alignment horizontal="center"/>
    </xf>
    <xf numFmtId="17" fontId="0" fillId="0" borderId="0" xfId="0" quotePrefix="1" applyNumberFormat="1"/>
    <xf numFmtId="0" fontId="20" fillId="0" borderId="0" xfId="0" applyFont="1"/>
    <xf numFmtId="0" fontId="20" fillId="0" borderId="0" xfId="0" applyFont="1" applyAlignment="1">
      <alignment horizontal="center"/>
    </xf>
    <xf numFmtId="0" fontId="7" fillId="0" borderId="0" xfId="0" applyFont="1" applyAlignment="1">
      <alignment horizontal="center" vertical="center" wrapText="1"/>
    </xf>
    <xf numFmtId="0" fontId="50" fillId="11" borderId="1" xfId="0" applyFont="1" applyFill="1" applyBorder="1" applyAlignment="1">
      <alignment horizontal="center" vertical="center" wrapText="1"/>
    </xf>
    <xf numFmtId="0" fontId="51" fillId="16" borderId="33" xfId="0" applyFont="1" applyFill="1" applyBorder="1" applyAlignment="1">
      <alignment horizontal="center" vertical="center" wrapText="1"/>
    </xf>
    <xf numFmtId="0" fontId="51" fillId="0" borderId="38" xfId="0" applyFont="1" applyBorder="1" applyAlignment="1">
      <alignment horizontal="center" vertical="center" wrapText="1"/>
    </xf>
    <xf numFmtId="0" fontId="51" fillId="4" borderId="33" xfId="0" applyFont="1" applyFill="1" applyBorder="1" applyAlignment="1">
      <alignment horizontal="center" vertical="center" wrapText="1"/>
    </xf>
    <xf numFmtId="0" fontId="51" fillId="22" borderId="33" xfId="0" applyFont="1" applyFill="1" applyBorder="1" applyAlignment="1">
      <alignment horizontal="center" vertical="center" wrapText="1"/>
    </xf>
    <xf numFmtId="0" fontId="51" fillId="30" borderId="39" xfId="0" applyFont="1" applyFill="1" applyBorder="1" applyAlignment="1">
      <alignment horizontal="center" vertical="center" wrapText="1"/>
    </xf>
    <xf numFmtId="9" fontId="0" fillId="0" borderId="0" xfId="0" applyNumberFormat="1" applyAlignment="1">
      <alignment horizontal="left"/>
    </xf>
    <xf numFmtId="15" fontId="0" fillId="0" borderId="0" xfId="0" applyNumberFormat="1"/>
    <xf numFmtId="0" fontId="51" fillId="0" borderId="0" xfId="0" applyFont="1" applyAlignment="1">
      <alignment horizontal="center" vertical="center" wrapText="1"/>
    </xf>
    <xf numFmtId="175" fontId="52" fillId="0" borderId="19" xfId="55" applyNumberFormat="1" applyFont="1" applyBorder="1" applyAlignment="1">
      <alignment vertical="center"/>
    </xf>
    <xf numFmtId="0" fontId="52" fillId="0" borderId="40" xfId="0" applyFont="1" applyBorder="1" applyAlignment="1">
      <alignment vertical="center"/>
    </xf>
    <xf numFmtId="175" fontId="52" fillId="0" borderId="41" xfId="55" applyNumberFormat="1" applyFont="1" applyBorder="1" applyAlignment="1">
      <alignment vertical="center"/>
    </xf>
    <xf numFmtId="175" fontId="52" fillId="0" borderId="40" xfId="55" applyNumberFormat="1" applyFont="1" applyBorder="1" applyAlignment="1">
      <alignment vertical="center"/>
    </xf>
    <xf numFmtId="175" fontId="52" fillId="0" borderId="21" xfId="55" applyNumberFormat="1" applyFont="1" applyBorder="1" applyAlignment="1">
      <alignment vertical="center"/>
    </xf>
    <xf numFmtId="0" fontId="52" fillId="0" borderId="42" xfId="0" applyFont="1" applyBorder="1" applyAlignment="1">
      <alignment vertical="center"/>
    </xf>
    <xf numFmtId="175" fontId="52" fillId="0" borderId="22" xfId="55" applyNumberFormat="1" applyFont="1" applyBorder="1" applyAlignment="1">
      <alignment vertical="center"/>
    </xf>
    <xf numFmtId="175" fontId="52" fillId="0" borderId="42" xfId="55" applyNumberFormat="1" applyFont="1" applyBorder="1" applyAlignment="1">
      <alignment vertical="center"/>
    </xf>
    <xf numFmtId="0" fontId="23" fillId="31" borderId="0" xfId="0" applyFont="1" applyFill="1" applyAlignment="1">
      <alignment horizontal="center"/>
    </xf>
    <xf numFmtId="175" fontId="52" fillId="0" borderId="34" xfId="55" applyNumberFormat="1" applyFont="1" applyBorder="1" applyAlignment="1">
      <alignment vertical="center"/>
    </xf>
    <xf numFmtId="0" fontId="52" fillId="0" borderId="43" xfId="0" applyFont="1" applyBorder="1" applyAlignment="1">
      <alignment vertical="center"/>
    </xf>
    <xf numFmtId="175" fontId="52" fillId="0" borderId="44" xfId="55" applyNumberFormat="1" applyFont="1" applyBorder="1" applyAlignment="1">
      <alignment vertical="center"/>
    </xf>
    <xf numFmtId="175" fontId="52" fillId="0" borderId="43" xfId="55" applyNumberFormat="1" applyFont="1" applyBorder="1" applyAlignment="1">
      <alignment vertical="center"/>
    </xf>
    <xf numFmtId="0" fontId="51" fillId="29" borderId="2" xfId="0" applyFont="1" applyFill="1" applyBorder="1" applyAlignment="1">
      <alignment horizontal="center" vertical="center" wrapText="1"/>
    </xf>
    <xf numFmtId="0" fontId="51" fillId="29" borderId="10" xfId="0" applyFont="1" applyFill="1" applyBorder="1" applyAlignment="1">
      <alignment horizontal="center" vertical="center" wrapText="1"/>
    </xf>
    <xf numFmtId="0" fontId="51" fillId="29" borderId="4" xfId="0" applyFont="1" applyFill="1" applyBorder="1" applyAlignment="1">
      <alignment horizontal="center" vertical="center" wrapText="1"/>
    </xf>
    <xf numFmtId="0" fontId="51" fillId="4" borderId="39" xfId="0" applyFont="1" applyFill="1" applyBorder="1" applyAlignment="1">
      <alignment horizontal="center" vertical="center" wrapText="1"/>
    </xf>
    <xf numFmtId="17" fontId="51" fillId="4" borderId="39" xfId="0" applyNumberFormat="1" applyFont="1" applyFill="1" applyBorder="1" applyAlignment="1">
      <alignment horizontal="center" vertical="center" wrapText="1"/>
    </xf>
    <xf numFmtId="0" fontId="51" fillId="22" borderId="39" xfId="0" applyFont="1" applyFill="1" applyBorder="1" applyAlignment="1">
      <alignment horizontal="center" vertical="center" wrapText="1"/>
    </xf>
    <xf numFmtId="0" fontId="51" fillId="29" borderId="39" xfId="0" applyFont="1" applyFill="1" applyBorder="1" applyAlignment="1">
      <alignment horizontal="center" vertical="center" wrapText="1"/>
    </xf>
    <xf numFmtId="0" fontId="52" fillId="29" borderId="41" xfId="0" applyFont="1" applyFill="1" applyBorder="1" applyAlignment="1">
      <alignment horizontal="center" vertical="center"/>
    </xf>
    <xf numFmtId="0" fontId="52" fillId="29" borderId="45" xfId="0" applyFont="1" applyFill="1" applyBorder="1" applyAlignment="1">
      <alignment vertical="center" wrapText="1"/>
    </xf>
    <xf numFmtId="175" fontId="52" fillId="29" borderId="17" xfId="55" applyNumberFormat="1" applyFont="1" applyFill="1" applyBorder="1" applyAlignment="1">
      <alignment vertical="center"/>
    </xf>
    <xf numFmtId="164" fontId="52" fillId="29" borderId="18" xfId="55" applyNumberFormat="1" applyFont="1" applyFill="1" applyBorder="1" applyAlignment="1">
      <alignment vertical="center"/>
    </xf>
    <xf numFmtId="175" fontId="52" fillId="29" borderId="18" xfId="55" applyNumberFormat="1" applyFont="1" applyFill="1" applyBorder="1" applyAlignment="1">
      <alignment vertical="center"/>
    </xf>
    <xf numFmtId="175" fontId="52" fillId="29" borderId="19" xfId="55" applyNumberFormat="1" applyFont="1" applyFill="1" applyBorder="1" applyAlignment="1">
      <alignment vertical="center"/>
    </xf>
    <xf numFmtId="164" fontId="52" fillId="29" borderId="46" xfId="55" applyNumberFormat="1" applyFont="1" applyFill="1" applyBorder="1" applyAlignment="1">
      <alignment vertical="center"/>
    </xf>
    <xf numFmtId="0" fontId="52" fillId="29" borderId="22" xfId="0" applyFont="1" applyFill="1" applyBorder="1" applyAlignment="1">
      <alignment horizontal="center" vertical="center"/>
    </xf>
    <xf numFmtId="0" fontId="52" fillId="29" borderId="47" xfId="0" applyFont="1" applyFill="1" applyBorder="1" applyAlignment="1">
      <alignment vertical="center" wrapText="1"/>
    </xf>
    <xf numFmtId="175" fontId="52" fillId="29" borderId="20" xfId="55" applyNumberFormat="1" applyFont="1" applyFill="1" applyBorder="1" applyAlignment="1">
      <alignment vertical="center"/>
    </xf>
    <xf numFmtId="164" fontId="52" fillId="29" borderId="1" xfId="55" applyNumberFormat="1" applyFont="1" applyFill="1" applyBorder="1" applyAlignment="1">
      <alignment vertical="center"/>
    </xf>
    <xf numFmtId="175" fontId="52" fillId="29" borderId="1" xfId="55" applyNumberFormat="1" applyFont="1" applyFill="1" applyBorder="1" applyAlignment="1">
      <alignment vertical="center"/>
    </xf>
    <xf numFmtId="175" fontId="52" fillId="29" borderId="21" xfId="55" applyNumberFormat="1" applyFont="1" applyFill="1" applyBorder="1" applyAlignment="1">
      <alignment vertical="center"/>
    </xf>
    <xf numFmtId="164" fontId="52" fillId="29" borderId="48" xfId="55" applyNumberFormat="1" applyFont="1" applyFill="1" applyBorder="1" applyAlignment="1">
      <alignment vertical="center"/>
    </xf>
    <xf numFmtId="0" fontId="52" fillId="29" borderId="44" xfId="0" applyFont="1" applyFill="1" applyBorder="1" applyAlignment="1">
      <alignment horizontal="center" vertical="center"/>
    </xf>
    <xf numFmtId="0" fontId="52" fillId="29" borderId="49" xfId="0" applyFont="1" applyFill="1" applyBorder="1" applyAlignment="1">
      <alignment vertical="center" wrapText="1"/>
    </xf>
    <xf numFmtId="175" fontId="52" fillId="29" borderId="36" xfId="55" applyNumberFormat="1" applyFont="1" applyFill="1" applyBorder="1" applyAlignment="1">
      <alignment vertical="center"/>
    </xf>
    <xf numFmtId="164" fontId="52" fillId="29" borderId="35" xfId="55" applyNumberFormat="1" applyFont="1" applyFill="1" applyBorder="1" applyAlignment="1">
      <alignment vertical="center"/>
    </xf>
    <xf numFmtId="175" fontId="52" fillId="29" borderId="35" xfId="55" applyNumberFormat="1" applyFont="1" applyFill="1" applyBorder="1" applyAlignment="1">
      <alignment vertical="center"/>
    </xf>
    <xf numFmtId="175" fontId="52" fillId="29" borderId="34" xfId="55" applyNumberFormat="1" applyFont="1" applyFill="1" applyBorder="1" applyAlignment="1">
      <alignment vertical="center"/>
    </xf>
    <xf numFmtId="164" fontId="52" fillId="29" borderId="50" xfId="55" applyNumberFormat="1" applyFont="1" applyFill="1" applyBorder="1" applyAlignment="1">
      <alignment vertical="center"/>
    </xf>
    <xf numFmtId="0" fontId="0" fillId="29" borderId="0" xfId="0" applyFill="1"/>
    <xf numFmtId="0" fontId="0" fillId="29" borderId="12" xfId="0" applyFill="1" applyBorder="1" applyAlignment="1">
      <alignment horizontal="center"/>
    </xf>
    <xf numFmtId="164" fontId="0" fillId="29" borderId="7" xfId="0" applyNumberFormat="1" applyFill="1" applyBorder="1"/>
    <xf numFmtId="164" fontId="0" fillId="29" borderId="8" xfId="0" applyNumberFormat="1" applyFill="1" applyBorder="1"/>
    <xf numFmtId="164" fontId="53" fillId="29" borderId="9" xfId="0" applyNumberFormat="1" applyFont="1" applyFill="1" applyBorder="1"/>
    <xf numFmtId="0" fontId="51" fillId="0" borderId="2"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4" xfId="0" applyFont="1" applyBorder="1" applyAlignment="1">
      <alignment horizontal="center" vertical="center" wrapText="1"/>
    </xf>
    <xf numFmtId="0" fontId="54" fillId="29" borderId="39" xfId="0" applyFont="1" applyFill="1" applyBorder="1" applyAlignment="1">
      <alignment horizontal="center" vertical="center" wrapText="1"/>
    </xf>
    <xf numFmtId="0" fontId="52" fillId="0" borderId="18" xfId="0" applyFont="1" applyBorder="1" applyAlignment="1">
      <alignment horizontal="center" vertical="center"/>
    </xf>
    <xf numFmtId="0" fontId="52" fillId="0" borderId="19" xfId="0" applyFont="1" applyBorder="1" applyAlignment="1">
      <alignment vertical="center"/>
    </xf>
    <xf numFmtId="164" fontId="52" fillId="0" borderId="51" xfId="55" applyNumberFormat="1" applyFont="1" applyBorder="1" applyAlignment="1">
      <alignment vertical="center"/>
    </xf>
    <xf numFmtId="164" fontId="52" fillId="0" borderId="18" xfId="55" applyNumberFormat="1" applyFont="1" applyBorder="1" applyAlignment="1">
      <alignment vertical="center"/>
    </xf>
    <xf numFmtId="164" fontId="52" fillId="0" borderId="19" xfId="55" applyNumberFormat="1" applyFont="1" applyBorder="1" applyAlignment="1">
      <alignment vertical="center"/>
    </xf>
    <xf numFmtId="164" fontId="54" fillId="31" borderId="46" xfId="55" applyNumberFormat="1" applyFont="1" applyFill="1" applyBorder="1" applyAlignment="1">
      <alignment vertical="center"/>
    </xf>
    <xf numFmtId="0" fontId="55" fillId="29" borderId="1" xfId="0" applyFont="1" applyFill="1" applyBorder="1" applyAlignment="1">
      <alignment horizontal="center" vertical="center"/>
    </xf>
    <xf numFmtId="0" fontId="52" fillId="0" borderId="21" xfId="0" applyFont="1" applyBorder="1" applyAlignment="1">
      <alignment vertical="center"/>
    </xf>
    <xf numFmtId="164" fontId="52" fillId="0" borderId="27" xfId="55" applyNumberFormat="1" applyFont="1" applyBorder="1" applyAlignment="1">
      <alignment vertical="center"/>
    </xf>
    <xf numFmtId="164" fontId="52" fillId="0" borderId="1" xfId="55" applyNumberFormat="1" applyFont="1" applyBorder="1" applyAlignment="1">
      <alignment vertical="center"/>
    </xf>
    <xf numFmtId="164" fontId="52" fillId="0" borderId="21" xfId="55" applyNumberFormat="1" applyFont="1" applyBorder="1" applyAlignment="1">
      <alignment vertical="center"/>
    </xf>
    <xf numFmtId="164" fontId="54" fillId="29" borderId="48" xfId="55" applyNumberFormat="1" applyFont="1" applyFill="1" applyBorder="1" applyAlignment="1">
      <alignment vertical="center"/>
    </xf>
    <xf numFmtId="0" fontId="55" fillId="29" borderId="35" xfId="0" applyFont="1" applyFill="1" applyBorder="1" applyAlignment="1">
      <alignment horizontal="center" vertical="center"/>
    </xf>
    <xf numFmtId="0" fontId="52" fillId="0" borderId="34" xfId="0" applyFont="1" applyBorder="1" applyAlignment="1">
      <alignment vertical="center"/>
    </xf>
    <xf numFmtId="164" fontId="52" fillId="0" borderId="52" xfId="55" applyNumberFormat="1" applyFont="1" applyBorder="1" applyAlignment="1">
      <alignment vertical="center"/>
    </xf>
    <xf numFmtId="164" fontId="52" fillId="0" borderId="35" xfId="55" applyNumberFormat="1" applyFont="1" applyBorder="1" applyAlignment="1">
      <alignment vertical="center"/>
    </xf>
    <xf numFmtId="164" fontId="52" fillId="0" borderId="34" xfId="55" applyNumberFormat="1" applyFont="1" applyBorder="1" applyAlignment="1">
      <alignment vertical="center"/>
    </xf>
    <xf numFmtId="164" fontId="54" fillId="29" borderId="50" xfId="55" applyNumberFormat="1" applyFont="1" applyFill="1" applyBorder="1" applyAlignment="1">
      <alignment vertical="center"/>
    </xf>
    <xf numFmtId="0" fontId="51" fillId="0" borderId="31" xfId="0" applyFont="1" applyBorder="1" applyAlignment="1">
      <alignment horizontal="center" vertical="center" wrapText="1"/>
    </xf>
    <xf numFmtId="0" fontId="52" fillId="0" borderId="32" xfId="0" applyFont="1" applyBorder="1" applyAlignment="1">
      <alignment horizontal="center"/>
    </xf>
    <xf numFmtId="164" fontId="54" fillId="31" borderId="53" xfId="55" applyNumberFormat="1" applyFont="1" applyFill="1" applyBorder="1" applyAlignment="1">
      <alignment vertical="center"/>
    </xf>
    <xf numFmtId="0" fontId="52" fillId="0" borderId="18" xfId="0" applyFont="1" applyBorder="1" applyAlignment="1">
      <alignment horizontal="center"/>
    </xf>
    <xf numFmtId="0" fontId="52" fillId="0" borderId="35" xfId="0" applyFont="1" applyBorder="1" applyAlignment="1">
      <alignment horizontal="center"/>
    </xf>
    <xf numFmtId="164" fontId="54" fillId="31" borderId="50" xfId="55" applyNumberFormat="1" applyFont="1" applyFill="1" applyBorder="1" applyAlignment="1">
      <alignment vertical="center"/>
    </xf>
    <xf numFmtId="164" fontId="52" fillId="0" borderId="33" xfId="55" applyNumberFormat="1" applyFont="1" applyBorder="1" applyAlignment="1">
      <alignment vertical="center"/>
    </xf>
    <xf numFmtId="164" fontId="52" fillId="0" borderId="54" xfId="55" applyNumberFormat="1" applyFont="1" applyBorder="1" applyAlignment="1">
      <alignment vertical="center"/>
    </xf>
    <xf numFmtId="164" fontId="52" fillId="0" borderId="32" xfId="55" applyNumberFormat="1" applyFont="1" applyBorder="1" applyAlignment="1">
      <alignment vertical="center"/>
    </xf>
    <xf numFmtId="0" fontId="52" fillId="0" borderId="33" xfId="0" applyFont="1" applyBorder="1" applyAlignment="1">
      <alignment vertical="center"/>
    </xf>
    <xf numFmtId="0" fontId="51" fillId="0" borderId="14" xfId="0" applyFont="1" applyBorder="1" applyAlignment="1">
      <alignment horizontal="center" vertical="center" wrapText="1"/>
    </xf>
    <xf numFmtId="0" fontId="52" fillId="0" borderId="15" xfId="0" applyFont="1" applyBorder="1" applyAlignment="1">
      <alignment horizontal="center"/>
    </xf>
    <xf numFmtId="0" fontId="52" fillId="0" borderId="15" xfId="0" applyFont="1" applyBorder="1" applyAlignment="1">
      <alignment vertical="center"/>
    </xf>
    <xf numFmtId="164" fontId="52" fillId="0" borderId="15" xfId="55" applyNumberFormat="1" applyFont="1" applyBorder="1" applyAlignment="1">
      <alignment vertical="center"/>
    </xf>
    <xf numFmtId="164" fontId="54" fillId="31" borderId="16" xfId="55" applyNumberFormat="1" applyFont="1" applyFill="1" applyBorder="1" applyAlignment="1">
      <alignment vertical="center"/>
    </xf>
    <xf numFmtId="0" fontId="0" fillId="29" borderId="0" xfId="0" applyFill="1" applyAlignment="1">
      <alignment horizontal="center"/>
    </xf>
    <xf numFmtId="164" fontId="0" fillId="29" borderId="0" xfId="0" applyNumberFormat="1" applyFill="1"/>
    <xf numFmtId="164" fontId="54" fillId="29" borderId="0" xfId="55" applyNumberFormat="1" applyFont="1" applyFill="1" applyBorder="1" applyAlignment="1">
      <alignment vertical="center"/>
    </xf>
    <xf numFmtId="164" fontId="0" fillId="31" borderId="0" xfId="0" applyNumberFormat="1" applyFill="1"/>
    <xf numFmtId="0" fontId="0" fillId="0" borderId="0" xfId="0" applyAlignment="1">
      <alignment horizontal="right"/>
    </xf>
    <xf numFmtId="164" fontId="0" fillId="0" borderId="0" xfId="0" applyNumberFormat="1"/>
    <xf numFmtId="3" fontId="12" fillId="29" borderId="0" xfId="1" applyNumberFormat="1" applyFont="1" applyFill="1" applyBorder="1" applyAlignment="1">
      <alignment horizontal="center" vertical="center" wrapText="1"/>
    </xf>
    <xf numFmtId="164" fontId="0" fillId="3" borderId="0" xfId="0" applyNumberFormat="1" applyFill="1"/>
    <xf numFmtId="0" fontId="0" fillId="0" borderId="0" xfId="0" applyAlignment="1">
      <alignment horizontal="center" vertical="center" wrapText="1"/>
    </xf>
    <xf numFmtId="0" fontId="20" fillId="0" borderId="0" xfId="0" applyFont="1" applyAlignment="1">
      <alignment horizontal="center" vertical="center" wrapText="1"/>
    </xf>
    <xf numFmtId="0" fontId="3" fillId="2" borderId="32" xfId="0" applyFont="1" applyFill="1" applyBorder="1" applyAlignment="1">
      <alignment horizontal="center" vertical="center" wrapText="1"/>
    </xf>
    <xf numFmtId="0" fontId="3" fillId="2" borderId="55" xfId="0" applyFont="1" applyFill="1" applyBorder="1" applyAlignment="1">
      <alignment horizontal="center" vertical="center" wrapText="1"/>
    </xf>
    <xf numFmtId="169" fontId="3" fillId="2" borderId="38" xfId="0" applyNumberFormat="1" applyFont="1" applyFill="1" applyBorder="1" applyAlignment="1">
      <alignment horizontal="center" vertical="center" wrapText="1"/>
    </xf>
    <xf numFmtId="169" fontId="3" fillId="32" borderId="0" xfId="0" applyNumberFormat="1" applyFont="1" applyFill="1" applyAlignment="1">
      <alignment horizontal="center" vertical="center" wrapText="1"/>
    </xf>
    <xf numFmtId="0" fontId="8" fillId="29" borderId="0" xfId="0" applyFont="1" applyFill="1" applyAlignment="1">
      <alignment horizontal="center" vertical="center" wrapText="1"/>
    </xf>
    <xf numFmtId="169" fontId="0" fillId="29" borderId="0" xfId="1" applyNumberFormat="1" applyFont="1" applyFill="1" applyBorder="1" applyAlignment="1">
      <alignment horizontal="center" vertical="center" wrapText="1"/>
    </xf>
    <xf numFmtId="10" fontId="0" fillId="29" borderId="0" xfId="2" applyNumberFormat="1" applyFont="1" applyFill="1"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169" fontId="0" fillId="0" borderId="12" xfId="1" applyNumberFormat="1" applyFont="1" applyBorder="1" applyAlignment="1">
      <alignment horizontal="center" vertical="center" wrapText="1"/>
    </xf>
    <xf numFmtId="0" fontId="0" fillId="29" borderId="0" xfId="0" applyFill="1" applyAlignment="1">
      <alignment horizontal="center" vertical="center" wrapText="1"/>
    </xf>
    <xf numFmtId="166" fontId="0" fillId="29" borderId="0" xfId="1" applyFont="1" applyFill="1" applyBorder="1" applyAlignment="1">
      <alignment horizontal="center" vertical="center" wrapText="1"/>
    </xf>
    <xf numFmtId="166" fontId="0" fillId="0" borderId="0" xfId="1" applyFont="1" applyBorder="1" applyAlignment="1">
      <alignment horizontal="center" vertical="center" wrapText="1"/>
    </xf>
    <xf numFmtId="169" fontId="0" fillId="0" borderId="0" xfId="0" applyNumberFormat="1" applyAlignment="1">
      <alignment horizontal="center" vertical="center" wrapText="1"/>
    </xf>
    <xf numFmtId="0" fontId="0" fillId="0" borderId="56" xfId="0" applyBorder="1" applyAlignment="1">
      <alignment horizontal="center" vertical="center" wrapText="1"/>
    </xf>
    <xf numFmtId="0" fontId="0" fillId="0" borderId="13" xfId="0" applyBorder="1" applyAlignment="1">
      <alignment horizontal="center" vertical="center" wrapText="1"/>
    </xf>
    <xf numFmtId="0" fontId="0" fillId="0" borderId="36" xfId="0" applyBorder="1" applyAlignment="1">
      <alignment horizontal="center" vertical="center" wrapText="1"/>
    </xf>
    <xf numFmtId="169" fontId="0" fillId="0" borderId="1" xfId="1" applyNumberFormat="1" applyFont="1" applyBorder="1" applyAlignment="1">
      <alignment horizontal="center" vertical="center" wrapText="1"/>
    </xf>
    <xf numFmtId="169" fontId="0" fillId="0" borderId="21" xfId="1" applyNumberFormat="1" applyFont="1" applyBorder="1" applyAlignment="1">
      <alignment horizontal="center" vertical="center" wrapText="1"/>
    </xf>
    <xf numFmtId="169" fontId="0" fillId="0" borderId="35" xfId="1" applyNumberFormat="1" applyFont="1" applyBorder="1" applyAlignment="1">
      <alignment horizontal="center" vertical="center" wrapText="1"/>
    </xf>
    <xf numFmtId="169" fontId="0" fillId="0" borderId="34" xfId="1" applyNumberFormat="1" applyFont="1" applyBorder="1" applyAlignment="1">
      <alignment horizontal="center" vertical="center" wrapText="1"/>
    </xf>
    <xf numFmtId="0" fontId="3" fillId="2" borderId="57" xfId="0" applyFont="1" applyFill="1" applyBorder="1" applyAlignment="1">
      <alignment horizontal="center" vertical="center" textRotation="90" wrapText="1"/>
    </xf>
    <xf numFmtId="169" fontId="0" fillId="0" borderId="13" xfId="1" applyNumberFormat="1" applyFont="1" applyBorder="1" applyAlignment="1">
      <alignment horizontal="center" vertical="center" wrapText="1"/>
    </xf>
    <xf numFmtId="169" fontId="0" fillId="0" borderId="37" xfId="1" applyNumberFormat="1" applyFont="1" applyBorder="1" applyAlignment="1">
      <alignment horizontal="center" vertical="center" wrapText="1"/>
    </xf>
    <xf numFmtId="0" fontId="3" fillId="2" borderId="31" xfId="0" applyFont="1" applyFill="1" applyBorder="1" applyAlignment="1">
      <alignment horizontal="center" vertical="center" wrapText="1"/>
    </xf>
    <xf numFmtId="0" fontId="1" fillId="0" borderId="0" xfId="0" applyFont="1"/>
    <xf numFmtId="0" fontId="68" fillId="0" borderId="0" xfId="14" applyFont="1" applyAlignment="1" applyProtection="1">
      <alignment horizontal="center" vertical="center"/>
      <protection locked="0"/>
    </xf>
    <xf numFmtId="0" fontId="69" fillId="0" borderId="0" xfId="0" applyFont="1" applyAlignment="1">
      <alignment horizontal="center"/>
    </xf>
    <xf numFmtId="0" fontId="60" fillId="17" borderId="1" xfId="0" applyFont="1" applyFill="1" applyBorder="1"/>
    <xf numFmtId="169" fontId="1" fillId="0" borderId="1" xfId="0" applyNumberFormat="1" applyFont="1" applyBorder="1" applyAlignment="1">
      <alignment vertical="center"/>
    </xf>
    <xf numFmtId="0" fontId="1" fillId="0" borderId="1" xfId="0" applyFont="1" applyBorder="1"/>
    <xf numFmtId="174" fontId="1" fillId="0" borderId="1" xfId="0" applyNumberFormat="1" applyFont="1" applyBorder="1"/>
    <xf numFmtId="43" fontId="1" fillId="0" borderId="0" xfId="56" applyFont="1"/>
    <xf numFmtId="0" fontId="60" fillId="17" borderId="1" xfId="0" applyFont="1" applyFill="1" applyBorder="1" applyAlignment="1">
      <alignment horizontal="center" vertical="center" wrapText="1"/>
    </xf>
    <xf numFmtId="0" fontId="1" fillId="29" borderId="1" xfId="0" applyFont="1" applyFill="1" applyBorder="1" applyAlignment="1">
      <alignment vertical="center" wrapText="1"/>
    </xf>
    <xf numFmtId="169" fontId="1" fillId="29" borderId="1" xfId="0" applyNumberFormat="1" applyFont="1" applyFill="1" applyBorder="1" applyAlignment="1">
      <alignment vertical="center"/>
    </xf>
    <xf numFmtId="10" fontId="1" fillId="29" borderId="1" xfId="2" applyNumberFormat="1" applyFont="1" applyFill="1" applyBorder="1" applyAlignment="1">
      <alignment vertical="center"/>
    </xf>
    <xf numFmtId="10" fontId="1" fillId="0" borderId="0" xfId="2" applyNumberFormat="1" applyFont="1"/>
    <xf numFmtId="169" fontId="1" fillId="0" borderId="0" xfId="0" applyNumberFormat="1" applyFont="1"/>
    <xf numFmtId="0" fontId="1" fillId="29" borderId="0" xfId="0" applyFont="1" applyFill="1" applyAlignment="1">
      <alignment vertical="center" wrapText="1"/>
    </xf>
    <xf numFmtId="169" fontId="1" fillId="29" borderId="0" xfId="0" applyNumberFormat="1" applyFont="1" applyFill="1" applyAlignment="1">
      <alignment vertical="center"/>
    </xf>
    <xf numFmtId="0" fontId="70" fillId="0" borderId="0" xfId="0" applyFont="1"/>
    <xf numFmtId="10" fontId="1" fillId="29" borderId="0" xfId="0" applyNumberFormat="1" applyFont="1" applyFill="1" applyAlignment="1">
      <alignment vertical="center"/>
    </xf>
    <xf numFmtId="0" fontId="58" fillId="31" borderId="0" xfId="0" applyFont="1" applyFill="1"/>
    <xf numFmtId="0" fontId="60" fillId="31" borderId="1" xfId="0" applyFont="1" applyFill="1" applyBorder="1"/>
    <xf numFmtId="0" fontId="60" fillId="31" borderId="1" xfId="0" applyFont="1" applyFill="1" applyBorder="1" applyAlignment="1">
      <alignment horizontal="center" vertical="center" wrapText="1"/>
    </xf>
    <xf numFmtId="0" fontId="71" fillId="31" borderId="10" xfId="0" applyFont="1" applyFill="1" applyBorder="1" applyAlignment="1">
      <alignment horizontal="center" vertical="center" wrapText="1"/>
    </xf>
    <xf numFmtId="0" fontId="71" fillId="31" borderId="4" xfId="0" applyFont="1" applyFill="1" applyBorder="1" applyAlignment="1">
      <alignment horizontal="center" vertical="center" wrapText="1"/>
    </xf>
    <xf numFmtId="0" fontId="71" fillId="29" borderId="0" xfId="0" applyFont="1" applyFill="1" applyAlignment="1">
      <alignment horizontal="center" vertical="center" wrapText="1"/>
    </xf>
    <xf numFmtId="0" fontId="72" fillId="0" borderId="17" xfId="0" applyFont="1" applyBorder="1" applyAlignment="1">
      <alignment horizontal="center" vertical="center" wrapText="1"/>
    </xf>
    <xf numFmtId="10" fontId="72" fillId="0" borderId="18" xfId="0" applyNumberFormat="1" applyFont="1" applyBorder="1" applyAlignment="1">
      <alignment horizontal="center" vertical="center" wrapText="1"/>
    </xf>
    <xf numFmtId="165" fontId="72" fillId="0" borderId="19" xfId="0" applyNumberFormat="1" applyFont="1" applyBorder="1" applyAlignment="1">
      <alignment horizontal="right" vertical="center" wrapText="1"/>
    </xf>
    <xf numFmtId="0" fontId="72" fillId="0" borderId="20" xfId="0" applyFont="1" applyBorder="1" applyAlignment="1">
      <alignment horizontal="center" vertical="center" wrapText="1"/>
    </xf>
    <xf numFmtId="10" fontId="72" fillId="0" borderId="1" xfId="0" applyNumberFormat="1" applyFont="1" applyBorder="1" applyAlignment="1">
      <alignment horizontal="center" vertical="center" wrapText="1"/>
    </xf>
    <xf numFmtId="165" fontId="72" fillId="0" borderId="21" xfId="0" applyNumberFormat="1" applyFont="1" applyBorder="1" applyAlignment="1">
      <alignment horizontal="right" vertical="center" wrapText="1"/>
    </xf>
    <xf numFmtId="165" fontId="1" fillId="0" borderId="0" xfId="0" applyNumberFormat="1" applyFont="1"/>
    <xf numFmtId="9" fontId="1" fillId="0" borderId="0" xfId="2" applyFont="1"/>
    <xf numFmtId="165" fontId="72" fillId="0" borderId="0" xfId="0" applyNumberFormat="1" applyFont="1" applyAlignment="1">
      <alignment horizontal="right" vertical="center" wrapText="1"/>
    </xf>
    <xf numFmtId="0" fontId="72" fillId="0" borderId="58" xfId="0" applyFont="1" applyBorder="1" applyAlignment="1">
      <alignment horizontal="center" vertical="center" wrapText="1"/>
    </xf>
    <xf numFmtId="10" fontId="72" fillId="0" borderId="29" xfId="0" applyNumberFormat="1" applyFont="1" applyBorder="1" applyAlignment="1">
      <alignment horizontal="center" vertical="center" wrapText="1"/>
    </xf>
    <xf numFmtId="165" fontId="72" fillId="0" borderId="30" xfId="0" applyNumberFormat="1" applyFont="1" applyBorder="1" applyAlignment="1">
      <alignment horizontal="right" vertical="center" wrapText="1"/>
    </xf>
    <xf numFmtId="0" fontId="59" fillId="0" borderId="31" xfId="0" applyFont="1" applyBorder="1" applyAlignment="1">
      <alignment horizontal="center"/>
    </xf>
    <xf numFmtId="0" fontId="59" fillId="0" borderId="33" xfId="0" applyFont="1" applyBorder="1"/>
    <xf numFmtId="181" fontId="1" fillId="29" borderId="1" xfId="0" applyNumberFormat="1" applyFont="1" applyFill="1" applyBorder="1" applyAlignment="1">
      <alignment vertical="center"/>
    </xf>
    <xf numFmtId="181" fontId="1" fillId="22" borderId="1" xfId="0" applyNumberFormat="1" applyFont="1" applyFill="1" applyBorder="1" applyAlignment="1">
      <alignment vertical="center"/>
    </xf>
    <xf numFmtId="181" fontId="1" fillId="29" borderId="0" xfId="0" applyNumberFormat="1" applyFont="1" applyFill="1" applyAlignment="1">
      <alignment vertical="center"/>
    </xf>
    <xf numFmtId="181" fontId="70" fillId="0" borderId="0" xfId="0" applyNumberFormat="1" applyFont="1"/>
    <xf numFmtId="9" fontId="1" fillId="0" borderId="0" xfId="0" applyNumberFormat="1" applyFont="1" applyAlignment="1">
      <alignment vertical="center"/>
    </xf>
    <xf numFmtId="2" fontId="1" fillId="22" borderId="1" xfId="0" applyNumberFormat="1" applyFont="1" applyFill="1" applyBorder="1"/>
    <xf numFmtId="182" fontId="59" fillId="0" borderId="32" xfId="0" applyNumberFormat="1" applyFont="1" applyBorder="1" applyAlignment="1">
      <alignment horizontal="center"/>
    </xf>
    <xf numFmtId="185" fontId="1" fillId="29" borderId="1" xfId="0" applyNumberFormat="1" applyFont="1" applyFill="1" applyBorder="1" applyAlignment="1">
      <alignment vertical="center"/>
    </xf>
    <xf numFmtId="0" fontId="71" fillId="31" borderId="0" xfId="0" applyFont="1" applyFill="1" applyAlignment="1">
      <alignment horizontal="center" vertical="center" wrapText="1"/>
    </xf>
    <xf numFmtId="0" fontId="59" fillId="0" borderId="0" xfId="0" applyFont="1"/>
    <xf numFmtId="10" fontId="1" fillId="0" borderId="1" xfId="56" applyNumberFormat="1" applyFont="1" applyBorder="1"/>
    <xf numFmtId="1" fontId="1" fillId="0" borderId="1" xfId="56" applyNumberFormat="1" applyFont="1" applyBorder="1"/>
    <xf numFmtId="0" fontId="1" fillId="0" borderId="0" xfId="0" applyFont="1" applyProtection="1">
      <protection locked="0"/>
    </xf>
    <xf numFmtId="10" fontId="1" fillId="0" borderId="0" xfId="0" applyNumberFormat="1" applyFont="1" applyProtection="1">
      <protection locked="0"/>
    </xf>
    <xf numFmtId="167" fontId="1" fillId="0" borderId="0" xfId="55" applyFont="1" applyProtection="1">
      <protection locked="0"/>
    </xf>
    <xf numFmtId="184" fontId="1" fillId="0" borderId="0" xfId="0" applyNumberFormat="1" applyFont="1" applyProtection="1">
      <protection locked="0"/>
    </xf>
    <xf numFmtId="0" fontId="1" fillId="0" borderId="0" xfId="0" applyFont="1" applyAlignment="1" applyProtection="1">
      <alignment horizontal="center" vertical="center"/>
      <protection locked="0"/>
    </xf>
    <xf numFmtId="0" fontId="1" fillId="0" borderId="0" xfId="0" applyFont="1" applyAlignment="1" applyProtection="1">
      <alignment vertical="center"/>
      <protection locked="0"/>
    </xf>
    <xf numFmtId="164" fontId="1" fillId="0" borderId="0" xfId="2" applyNumberFormat="1" applyFont="1" applyBorder="1" applyProtection="1">
      <protection locked="0"/>
    </xf>
    <xf numFmtId="10" fontId="1" fillId="0" borderId="0" xfId="2" applyNumberFormat="1" applyFont="1" applyBorder="1" applyProtection="1">
      <protection locked="0"/>
    </xf>
    <xf numFmtId="164" fontId="1" fillId="0" borderId="0" xfId="0" applyNumberFormat="1" applyFont="1" applyProtection="1">
      <protection locked="0"/>
    </xf>
    <xf numFmtId="164" fontId="1" fillId="0" borderId="0" xfId="0" applyNumberFormat="1" applyFont="1" applyAlignment="1" applyProtection="1">
      <alignment horizontal="center" vertical="center"/>
      <protection locked="0"/>
    </xf>
    <xf numFmtId="14" fontId="1" fillId="22" borderId="0" xfId="0" applyNumberFormat="1" applyFont="1" applyFill="1" applyAlignment="1" applyProtection="1">
      <alignment horizontal="center" vertical="center"/>
      <protection locked="0"/>
    </xf>
    <xf numFmtId="0" fontId="1" fillId="0" borderId="0" xfId="0" applyFont="1" applyAlignment="1" applyProtection="1">
      <alignment horizontal="left"/>
      <protection locked="0"/>
    </xf>
    <xf numFmtId="0" fontId="67" fillId="0" borderId="0" xfId="14" applyFont="1" applyAlignment="1" applyProtection="1">
      <alignment horizontal="center" vertical="center"/>
      <protection locked="0"/>
    </xf>
    <xf numFmtId="0" fontId="62" fillId="15" borderId="2" xfId="0" applyFont="1" applyFill="1" applyBorder="1" applyAlignment="1">
      <alignment horizontal="center" vertical="center" wrapText="1"/>
    </xf>
    <xf numFmtId="0" fontId="62" fillId="15" borderId="10" xfId="0" applyFont="1" applyFill="1" applyBorder="1" applyAlignment="1">
      <alignment horizontal="center" vertical="center" wrapText="1"/>
    </xf>
    <xf numFmtId="0" fontId="62" fillId="15" borderId="4" xfId="0" applyFont="1" applyFill="1" applyBorder="1" applyAlignment="1">
      <alignment horizontal="center" vertical="center" wrapText="1"/>
    </xf>
    <xf numFmtId="17" fontId="62" fillId="15" borderId="39" xfId="0" applyNumberFormat="1" applyFont="1" applyFill="1" applyBorder="1" applyAlignment="1">
      <alignment horizontal="center" vertical="center" wrapText="1"/>
    </xf>
    <xf numFmtId="0" fontId="62" fillId="15" borderId="39" xfId="0" applyFont="1" applyFill="1" applyBorder="1" applyAlignment="1">
      <alignment horizontal="center" vertical="center" wrapText="1"/>
    </xf>
    <xf numFmtId="0" fontId="63" fillId="0" borderId="1" xfId="0" applyFont="1" applyBorder="1" applyAlignment="1">
      <alignment horizontal="center" vertical="center" wrapText="1"/>
    </xf>
    <xf numFmtId="0" fontId="64" fillId="29" borderId="1" xfId="0" applyFont="1" applyFill="1" applyBorder="1" applyAlignment="1">
      <alignment horizontal="center" vertical="center"/>
    </xf>
    <xf numFmtId="0" fontId="65" fillId="0" borderId="1" xfId="0" applyFont="1" applyBorder="1" applyAlignment="1">
      <alignment horizontal="center" vertical="center" wrapText="1"/>
    </xf>
    <xf numFmtId="168" fontId="65" fillId="0" borderId="1" xfId="55" applyNumberFormat="1" applyFont="1" applyBorder="1" applyAlignment="1" applyProtection="1">
      <alignment vertical="center"/>
    </xf>
    <xf numFmtId="168" fontId="63" fillId="29" borderId="1" xfId="55" applyNumberFormat="1" applyFont="1" applyFill="1" applyBorder="1" applyAlignment="1" applyProtection="1">
      <alignment vertical="center"/>
    </xf>
    <xf numFmtId="0" fontId="64" fillId="0" borderId="1" xfId="0" applyFont="1" applyBorder="1" applyAlignment="1">
      <alignment horizontal="center" vertical="center"/>
    </xf>
    <xf numFmtId="168" fontId="62" fillId="36" borderId="1" xfId="55" applyNumberFormat="1" applyFont="1" applyFill="1" applyBorder="1" applyAlignment="1" applyProtection="1">
      <alignment vertical="center"/>
    </xf>
    <xf numFmtId="168" fontId="1" fillId="29" borderId="1" xfId="0" applyNumberFormat="1" applyFont="1" applyFill="1" applyBorder="1" applyAlignment="1">
      <alignment vertical="center"/>
    </xf>
    <xf numFmtId="168" fontId="66" fillId="34" borderId="1" xfId="55" applyNumberFormat="1" applyFont="1" applyFill="1" applyBorder="1" applyAlignment="1" applyProtection="1">
      <alignment vertical="center"/>
    </xf>
    <xf numFmtId="168" fontId="75" fillId="0" borderId="1" xfId="0" applyNumberFormat="1" applyFont="1" applyBorder="1" applyAlignment="1" applyProtection="1">
      <alignment horizontal="right" vertical="center"/>
      <protection locked="0"/>
    </xf>
    <xf numFmtId="168" fontId="68" fillId="0" borderId="1" xfId="0" applyNumberFormat="1" applyFont="1" applyBorder="1" applyAlignment="1" applyProtection="1">
      <alignment horizontal="right" vertical="center"/>
      <protection locked="0"/>
    </xf>
    <xf numFmtId="0" fontId="74" fillId="29" borderId="1" xfId="0" applyFont="1" applyFill="1" applyBorder="1" applyAlignment="1" applyProtection="1">
      <alignment horizontal="center" vertical="center" wrapText="1"/>
      <protection locked="0"/>
    </xf>
    <xf numFmtId="0" fontId="68" fillId="0" borderId="0" xfId="0" applyFont="1" applyAlignment="1" applyProtection="1">
      <alignment vertical="center"/>
      <protection locked="0"/>
    </xf>
    <xf numFmtId="175" fontId="79" fillId="14" borderId="32" xfId="57" applyNumberFormat="1" applyFont="1" applyFill="1" applyBorder="1" applyAlignment="1" applyProtection="1">
      <alignment horizontal="center" vertical="center" wrapText="1"/>
      <protection locked="0"/>
    </xf>
    <xf numFmtId="0" fontId="74" fillId="3" borderId="0" xfId="0" applyFont="1" applyFill="1" applyAlignment="1" applyProtection="1">
      <alignment horizontal="center" vertical="center"/>
      <protection locked="0"/>
    </xf>
    <xf numFmtId="0" fontId="68" fillId="3" borderId="61" xfId="0" applyFont="1" applyFill="1" applyBorder="1" applyAlignment="1" applyProtection="1">
      <alignment vertical="center"/>
      <protection locked="0"/>
    </xf>
    <xf numFmtId="0" fontId="74" fillId="0" borderId="1" xfId="0" applyFont="1" applyBorder="1" applyAlignment="1" applyProtection="1">
      <alignment horizontal="center" vertical="center" wrapText="1"/>
      <protection locked="0"/>
    </xf>
    <xf numFmtId="0" fontId="73" fillId="35" borderId="1" xfId="0" applyFont="1" applyFill="1" applyBorder="1" applyAlignment="1" applyProtection="1">
      <alignment horizontal="justify" vertical="center" wrapText="1"/>
      <protection locked="0"/>
    </xf>
    <xf numFmtId="0" fontId="67" fillId="35" borderId="1" xfId="0" applyFont="1" applyFill="1" applyBorder="1" applyAlignment="1" applyProtection="1">
      <alignment horizontal="justify" vertical="center" wrapText="1"/>
      <protection locked="0"/>
    </xf>
    <xf numFmtId="183" fontId="67" fillId="29" borderId="1" xfId="0" applyNumberFormat="1" applyFont="1" applyFill="1" applyBorder="1" applyAlignment="1" applyProtection="1">
      <alignment horizontal="center" vertical="center"/>
      <protection locked="0"/>
    </xf>
    <xf numFmtId="0" fontId="67" fillId="29" borderId="1" xfId="0" applyFont="1" applyFill="1" applyBorder="1" applyAlignment="1" applyProtection="1">
      <alignment horizontal="center" vertical="center"/>
      <protection locked="0"/>
    </xf>
    <xf numFmtId="0" fontId="68" fillId="0" borderId="1" xfId="0" applyFont="1" applyBorder="1" applyAlignment="1" applyProtection="1">
      <alignment horizontal="center" vertical="center" wrapText="1"/>
      <protection locked="0"/>
    </xf>
    <xf numFmtId="168" fontId="68" fillId="29" borderId="1" xfId="0" applyNumberFormat="1" applyFont="1" applyFill="1" applyBorder="1" applyAlignment="1" applyProtection="1">
      <alignment vertical="center"/>
      <protection locked="0"/>
    </xf>
    <xf numFmtId="167" fontId="68" fillId="0" borderId="0" xfId="55" applyFont="1" applyAlignment="1" applyProtection="1">
      <alignment vertical="center"/>
      <protection locked="0"/>
    </xf>
    <xf numFmtId="0" fontId="73" fillId="35" borderId="1" xfId="0" applyFont="1" applyFill="1" applyBorder="1" applyAlignment="1" applyProtection="1">
      <alignment horizontal="center" vertical="center" wrapText="1"/>
      <protection locked="0"/>
    </xf>
    <xf numFmtId="0" fontId="67" fillId="35" borderId="1" xfId="0" applyFont="1" applyFill="1" applyBorder="1" applyAlignment="1" applyProtection="1">
      <alignment horizontal="left" vertical="center" wrapText="1"/>
      <protection locked="0"/>
    </xf>
    <xf numFmtId="0" fontId="73" fillId="29" borderId="1" xfId="0" applyFont="1" applyFill="1" applyBorder="1" applyAlignment="1" applyProtection="1">
      <alignment horizontal="justify" vertical="center" wrapText="1"/>
      <protection locked="0"/>
    </xf>
    <xf numFmtId="0" fontId="68" fillId="29" borderId="1" xfId="0" applyFont="1" applyFill="1" applyBorder="1" applyAlignment="1" applyProtection="1">
      <alignment horizontal="center" vertical="center" wrapText="1"/>
      <protection locked="0"/>
    </xf>
    <xf numFmtId="0" fontId="65" fillId="0" borderId="0" xfId="0" applyFont="1" applyAlignment="1" applyProtection="1">
      <alignment vertical="center" wrapText="1"/>
      <protection locked="0"/>
    </xf>
    <xf numFmtId="168" fontId="74" fillId="33" borderId="13" xfId="0" applyNumberFormat="1" applyFont="1" applyFill="1" applyBorder="1" applyAlignment="1" applyProtection="1">
      <alignment vertical="center"/>
      <protection locked="0"/>
    </xf>
    <xf numFmtId="168" fontId="74" fillId="0" borderId="0" xfId="0" applyNumberFormat="1" applyFont="1" applyAlignment="1" applyProtection="1">
      <alignment horizontal="center" vertical="center" wrapText="1"/>
      <protection locked="0"/>
    </xf>
    <xf numFmtId="168" fontId="74" fillId="33" borderId="13" xfId="0" applyNumberFormat="1" applyFont="1" applyFill="1" applyBorder="1" applyAlignment="1" applyProtection="1">
      <alignment horizontal="right" vertical="center"/>
      <protection locked="0"/>
    </xf>
    <xf numFmtId="0" fontId="68" fillId="0" borderId="0" xfId="0" applyFont="1" applyAlignment="1" applyProtection="1">
      <alignment horizontal="center" vertical="center"/>
      <protection locked="0"/>
    </xf>
    <xf numFmtId="0" fontId="68" fillId="0" borderId="0" xfId="0" applyFont="1" applyAlignment="1" applyProtection="1">
      <alignment horizontal="center" vertical="center" wrapText="1"/>
      <protection locked="0"/>
    </xf>
    <xf numFmtId="0" fontId="63" fillId="33" borderId="63" xfId="0" applyFont="1" applyFill="1" applyBorder="1" applyAlignment="1" applyProtection="1">
      <alignment horizontal="center" vertical="center" wrapText="1"/>
      <protection locked="0"/>
    </xf>
    <xf numFmtId="17" fontId="63" fillId="33" borderId="63" xfId="0" applyNumberFormat="1" applyFont="1" applyFill="1" applyBorder="1" applyAlignment="1" applyProtection="1">
      <alignment horizontal="center" vertical="center" wrapText="1"/>
      <protection locked="0"/>
    </xf>
    <xf numFmtId="0" fontId="63" fillId="33" borderId="64" xfId="0" applyFont="1" applyFill="1" applyBorder="1" applyAlignment="1" applyProtection="1">
      <alignment horizontal="center" vertical="center" wrapText="1"/>
      <protection locked="0"/>
    </xf>
    <xf numFmtId="0" fontId="65" fillId="29" borderId="63" xfId="0" applyFont="1" applyFill="1" applyBorder="1" applyAlignment="1" applyProtection="1">
      <alignment horizontal="center" vertical="center"/>
      <protection locked="0"/>
    </xf>
    <xf numFmtId="168" fontId="65" fillId="0" borderId="63" xfId="55" applyNumberFormat="1" applyFont="1" applyBorder="1" applyAlignment="1" applyProtection="1">
      <alignment vertical="center"/>
      <protection locked="0"/>
    </xf>
    <xf numFmtId="168" fontId="65" fillId="29" borderId="64" xfId="55" applyNumberFormat="1" applyFont="1" applyFill="1" applyBorder="1" applyAlignment="1" applyProtection="1">
      <alignment vertical="center"/>
      <protection locked="0"/>
    </xf>
    <xf numFmtId="0" fontId="65" fillId="0" borderId="63" xfId="0" applyFont="1" applyBorder="1" applyAlignment="1" applyProtection="1">
      <alignment horizontal="center" vertical="center"/>
      <protection locked="0"/>
    </xf>
    <xf numFmtId="168" fontId="59" fillId="3" borderId="63" xfId="0" applyNumberFormat="1" applyFont="1" applyFill="1" applyBorder="1" applyAlignment="1" applyProtection="1">
      <alignment vertical="center"/>
      <protection locked="0"/>
    </xf>
    <xf numFmtId="168" fontId="63" fillId="3" borderId="64" xfId="55" applyNumberFormat="1" applyFont="1" applyFill="1" applyBorder="1" applyAlignment="1" applyProtection="1">
      <alignment vertical="center"/>
      <protection locked="0"/>
    </xf>
    <xf numFmtId="0" fontId="74" fillId="0" borderId="0" xfId="0" applyFont="1" applyAlignment="1" applyProtection="1">
      <alignment horizontal="center" vertical="center"/>
      <protection locked="0"/>
    </xf>
    <xf numFmtId="183" fontId="68" fillId="0" borderId="0" xfId="0" applyNumberFormat="1" applyFont="1" applyAlignment="1" applyProtection="1">
      <alignment horizontal="center" vertical="center"/>
      <protection locked="0"/>
    </xf>
    <xf numFmtId="0" fontId="63" fillId="33" borderId="66" xfId="0" applyFont="1" applyFill="1" applyBorder="1" applyAlignment="1" applyProtection="1">
      <alignment horizontal="center" vertical="center" wrapText="1"/>
      <protection locked="0"/>
    </xf>
    <xf numFmtId="168" fontId="65" fillId="0" borderId="66" xfId="55" applyNumberFormat="1" applyFont="1" applyBorder="1" applyAlignment="1" applyProtection="1">
      <alignment vertical="center"/>
      <protection locked="0"/>
    </xf>
    <xf numFmtId="0" fontId="80" fillId="3" borderId="66" xfId="0" applyFont="1" applyFill="1" applyBorder="1" applyAlignment="1" applyProtection="1">
      <alignment horizontal="center" vertical="center"/>
      <protection locked="0"/>
    </xf>
    <xf numFmtId="0" fontId="63" fillId="0" borderId="63" xfId="0" applyFont="1" applyBorder="1" applyAlignment="1" applyProtection="1">
      <alignment horizontal="center" vertical="center" wrapText="1"/>
      <protection locked="0"/>
    </xf>
    <xf numFmtId="0" fontId="74" fillId="40" borderId="31" xfId="0" applyFont="1" applyFill="1" applyBorder="1" applyAlignment="1" applyProtection="1">
      <alignment horizontal="center" vertical="center" wrapText="1"/>
      <protection locked="0"/>
    </xf>
    <xf numFmtId="0" fontId="74" fillId="40" borderId="32" xfId="0" applyFont="1" applyFill="1" applyBorder="1" applyAlignment="1" applyProtection="1">
      <alignment horizontal="center" vertical="center" wrapText="1"/>
      <protection locked="0"/>
    </xf>
    <xf numFmtId="183" fontId="79" fillId="40" borderId="32" xfId="0" applyNumberFormat="1" applyFont="1" applyFill="1" applyBorder="1" applyAlignment="1" applyProtection="1">
      <alignment horizontal="center" vertical="center" wrapText="1"/>
      <protection locked="0"/>
    </xf>
    <xf numFmtId="0" fontId="79" fillId="40" borderId="32" xfId="0" applyFont="1" applyFill="1" applyBorder="1" applyAlignment="1" applyProtection="1">
      <alignment horizontal="center" vertical="center" wrapText="1"/>
      <protection locked="0"/>
    </xf>
    <xf numFmtId="0" fontId="79" fillId="40" borderId="55" xfId="0" applyFont="1" applyFill="1" applyBorder="1" applyAlignment="1" applyProtection="1">
      <alignment horizontal="center" vertical="center" wrapText="1"/>
      <protection locked="0"/>
    </xf>
    <xf numFmtId="0" fontId="67" fillId="35" borderId="1" xfId="0" applyFont="1" applyFill="1" applyBorder="1" applyAlignment="1" applyProtection="1">
      <alignment wrapText="1"/>
      <protection locked="0"/>
    </xf>
    <xf numFmtId="0" fontId="67" fillId="35" borderId="1" xfId="0" applyFont="1" applyFill="1" applyBorder="1" applyAlignment="1" applyProtection="1">
      <alignment vertical="center" wrapText="1"/>
      <protection locked="0"/>
    </xf>
    <xf numFmtId="0" fontId="84" fillId="0" borderId="0" xfId="0" applyFont="1" applyProtection="1">
      <protection locked="0"/>
    </xf>
    <xf numFmtId="0" fontId="84" fillId="0" borderId="0" xfId="0" applyFont="1" applyAlignment="1" applyProtection="1">
      <alignment vertical="center" wrapText="1"/>
      <protection locked="0"/>
    </xf>
    <xf numFmtId="175" fontId="79" fillId="42" borderId="32" xfId="57" applyNumberFormat="1" applyFont="1" applyFill="1" applyBorder="1" applyAlignment="1" applyProtection="1">
      <alignment horizontal="center" vertical="center" wrapText="1"/>
      <protection locked="0"/>
    </xf>
    <xf numFmtId="0" fontId="74" fillId="29" borderId="1" xfId="0" applyFont="1" applyFill="1" applyBorder="1" applyAlignment="1" applyProtection="1">
      <alignment horizontal="center" vertical="center" wrapText="1"/>
      <protection locked="0"/>
    </xf>
    <xf numFmtId="0" fontId="77" fillId="39" borderId="1" xfId="0" applyFont="1" applyFill="1" applyBorder="1" applyAlignment="1" applyProtection="1">
      <alignment horizontal="center" vertical="center"/>
      <protection locked="0"/>
    </xf>
    <xf numFmtId="0" fontId="74" fillId="3" borderId="0" xfId="0" applyFont="1" applyFill="1" applyAlignment="1" applyProtection="1">
      <alignment horizontal="left" vertical="center"/>
      <protection locked="0"/>
    </xf>
    <xf numFmtId="0" fontId="78" fillId="0" borderId="1" xfId="0" applyFont="1" applyBorder="1" applyAlignment="1" applyProtection="1">
      <alignment horizontal="center" vertical="center" wrapText="1"/>
      <protection locked="0"/>
    </xf>
    <xf numFmtId="0" fontId="78" fillId="0" borderId="29" xfId="0" applyFont="1" applyBorder="1" applyAlignment="1" applyProtection="1">
      <alignment horizontal="center" vertical="center" wrapText="1"/>
      <protection locked="0"/>
    </xf>
    <xf numFmtId="0" fontId="78" fillId="0" borderId="69" xfId="0" applyFont="1" applyBorder="1" applyAlignment="1" applyProtection="1">
      <alignment horizontal="center" vertical="center" wrapText="1"/>
      <protection locked="0"/>
    </xf>
    <xf numFmtId="0" fontId="74" fillId="0" borderId="62" xfId="0" applyFont="1" applyBorder="1" applyAlignment="1" applyProtection="1">
      <alignment horizontal="center" vertical="center" wrapText="1"/>
      <protection locked="0"/>
    </xf>
    <xf numFmtId="0" fontId="74" fillId="0" borderId="8" xfId="0" applyFont="1" applyBorder="1" applyAlignment="1" applyProtection="1">
      <alignment horizontal="center" vertical="center" wrapText="1"/>
      <protection locked="0"/>
    </xf>
    <xf numFmtId="0" fontId="82" fillId="39" borderId="67" xfId="0" applyFont="1" applyFill="1" applyBorder="1" applyAlignment="1" applyProtection="1">
      <alignment horizontal="left" vertical="center" wrapText="1"/>
      <protection locked="0"/>
    </xf>
    <xf numFmtId="0" fontId="82" fillId="39" borderId="68" xfId="0" applyFont="1" applyFill="1" applyBorder="1" applyAlignment="1" applyProtection="1">
      <alignment horizontal="left" vertical="center" wrapText="1"/>
      <protection locked="0"/>
    </xf>
    <xf numFmtId="174" fontId="81" fillId="41" borderId="32" xfId="0" applyNumberFormat="1" applyFont="1" applyFill="1" applyBorder="1" applyAlignment="1" applyProtection="1">
      <alignment horizontal="center" vertical="center"/>
      <protection locked="0"/>
    </xf>
    <xf numFmtId="174" fontId="81" fillId="41" borderId="33" xfId="0" applyNumberFormat="1" applyFont="1" applyFill="1" applyBorder="1" applyAlignment="1" applyProtection="1">
      <alignment horizontal="center" vertical="center"/>
      <protection locked="0"/>
    </xf>
    <xf numFmtId="0" fontId="83" fillId="17" borderId="2" xfId="0" applyFont="1" applyFill="1" applyBorder="1" applyAlignment="1" applyProtection="1">
      <alignment horizontal="center" vertical="center"/>
      <protection locked="0"/>
    </xf>
    <xf numFmtId="0" fontId="83" fillId="17" borderId="3" xfId="0" applyFont="1" applyFill="1" applyBorder="1" applyAlignment="1" applyProtection="1">
      <alignment horizontal="center" vertical="center"/>
      <protection locked="0"/>
    </xf>
    <xf numFmtId="0" fontId="83" fillId="17" borderId="54" xfId="0" applyFont="1" applyFill="1" applyBorder="1" applyAlignment="1" applyProtection="1">
      <alignment horizontal="center" vertical="center"/>
      <protection locked="0"/>
    </xf>
    <xf numFmtId="0" fontId="86" fillId="0" borderId="41" xfId="0" applyFont="1" applyBorder="1" applyAlignment="1" applyProtection="1">
      <alignment horizontal="left" vertical="center" wrapText="1"/>
      <protection locked="0"/>
    </xf>
    <xf numFmtId="0" fontId="67" fillId="0" borderId="65" xfId="0" applyFont="1" applyBorder="1" applyAlignment="1" applyProtection="1">
      <alignment horizontal="left" vertical="center" wrapText="1"/>
      <protection locked="0"/>
    </xf>
    <xf numFmtId="0" fontId="67" fillId="0" borderId="46" xfId="0" applyFont="1" applyBorder="1" applyAlignment="1" applyProtection="1">
      <alignment horizontal="left" vertical="center" wrapText="1"/>
      <protection locked="0"/>
    </xf>
    <xf numFmtId="0" fontId="63" fillId="33" borderId="63" xfId="0" applyFont="1" applyFill="1" applyBorder="1" applyAlignment="1" applyProtection="1">
      <alignment horizontal="center" vertical="center" wrapText="1"/>
      <protection locked="0"/>
    </xf>
    <xf numFmtId="0" fontId="65" fillId="0" borderId="63" xfId="0" applyFont="1" applyBorder="1" applyAlignment="1" applyProtection="1">
      <alignment horizontal="left" vertical="center" wrapText="1"/>
      <protection locked="0"/>
    </xf>
    <xf numFmtId="0" fontId="80" fillId="3" borderId="63" xfId="0" applyFont="1" applyFill="1" applyBorder="1" applyAlignment="1" applyProtection="1">
      <alignment horizontal="center" vertical="center"/>
      <protection locked="0"/>
    </xf>
    <xf numFmtId="0" fontId="84" fillId="0" borderId="0" xfId="0" applyFont="1" applyAlignment="1" applyProtection="1">
      <alignment vertical="center" wrapText="1"/>
      <protection locked="0"/>
    </xf>
    <xf numFmtId="0" fontId="67" fillId="0" borderId="36" xfId="0" applyFont="1" applyBorder="1" applyAlignment="1" applyProtection="1">
      <alignment vertical="center" wrapText="1"/>
      <protection locked="0"/>
    </xf>
    <xf numFmtId="0" fontId="67" fillId="0" borderId="35" xfId="0" applyFont="1" applyBorder="1" applyAlignment="1" applyProtection="1">
      <alignment vertical="center" wrapText="1"/>
      <protection locked="0"/>
    </xf>
    <xf numFmtId="0" fontId="67" fillId="0" borderId="34" xfId="0" applyFont="1" applyBorder="1" applyAlignment="1" applyProtection="1">
      <alignment vertical="center" wrapText="1"/>
      <protection locked="0"/>
    </xf>
    <xf numFmtId="0" fontId="74" fillId="30" borderId="22" xfId="0" applyFont="1" applyFill="1" applyBorder="1" applyAlignment="1" applyProtection="1">
      <alignment horizontal="left" vertical="center"/>
      <protection locked="0"/>
    </xf>
    <xf numFmtId="0" fontId="74" fillId="30" borderId="59" xfId="0" applyFont="1" applyFill="1" applyBorder="1" applyAlignment="1" applyProtection="1">
      <alignment horizontal="left" vertical="center"/>
      <protection locked="0"/>
    </xf>
    <xf numFmtId="0" fontId="74" fillId="30" borderId="27" xfId="0" applyFont="1" applyFill="1" applyBorder="1" applyAlignment="1" applyProtection="1">
      <alignment horizontal="left" vertical="center"/>
      <protection locked="0"/>
    </xf>
    <xf numFmtId="0" fontId="67" fillId="0" borderId="20" xfId="0" applyFont="1" applyBorder="1" applyAlignment="1" applyProtection="1">
      <alignment vertical="center" wrapText="1"/>
      <protection locked="0"/>
    </xf>
    <xf numFmtId="0" fontId="67" fillId="0" borderId="1" xfId="0" applyFont="1" applyBorder="1" applyAlignment="1" applyProtection="1">
      <alignment vertical="center" wrapText="1"/>
      <protection locked="0"/>
    </xf>
    <xf numFmtId="0" fontId="67" fillId="0" borderId="21" xfId="0" applyFont="1" applyBorder="1" applyAlignment="1" applyProtection="1">
      <alignment vertical="center" wrapText="1"/>
      <protection locked="0"/>
    </xf>
    <xf numFmtId="0" fontId="69" fillId="3" borderId="63" xfId="0" applyFont="1" applyFill="1" applyBorder="1" applyAlignment="1" applyProtection="1">
      <alignment horizontal="center" vertical="center"/>
      <protection locked="0"/>
    </xf>
    <xf numFmtId="0" fontId="63" fillId="0" borderId="63" xfId="0" applyFont="1" applyBorder="1" applyAlignment="1" applyProtection="1">
      <alignment horizontal="center" vertical="center" wrapText="1"/>
      <protection locked="0"/>
    </xf>
    <xf numFmtId="0" fontId="7" fillId="0" borderId="0" xfId="0" applyFont="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0" xfId="0" applyAlignment="1">
      <alignment horizontal="left"/>
    </xf>
    <xf numFmtId="0" fontId="0" fillId="0" borderId="6" xfId="0" applyBorder="1" applyAlignment="1">
      <alignment horizontal="left"/>
    </xf>
    <xf numFmtId="0" fontId="9" fillId="0" borderId="7" xfId="3"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7" fillId="0" borderId="0" xfId="0" applyFont="1" applyAlignment="1">
      <alignment horizontal="center" vertical="center" wrapText="1"/>
    </xf>
    <xf numFmtId="0" fontId="20" fillId="0" borderId="0" xfId="0" applyFont="1" applyAlignment="1">
      <alignment horizontal="center" vertical="center" wrapText="1"/>
    </xf>
    <xf numFmtId="0" fontId="59" fillId="0" borderId="3" xfId="0" applyFont="1" applyBorder="1" applyAlignment="1">
      <alignment horizontal="center" vertical="center" wrapText="1"/>
    </xf>
    <xf numFmtId="0" fontId="59" fillId="0" borderId="0" xfId="0" applyFont="1" applyAlignment="1">
      <alignment horizontal="center" vertical="center" wrapText="1"/>
    </xf>
    <xf numFmtId="0" fontId="69" fillId="0" borderId="0" xfId="0" applyFont="1" applyAlignment="1">
      <alignment horizontal="center"/>
    </xf>
    <xf numFmtId="0" fontId="1" fillId="0" borderId="0" xfId="0" applyFont="1" applyAlignment="1">
      <alignment horizontal="left" wrapText="1"/>
    </xf>
    <xf numFmtId="0" fontId="57" fillId="31" borderId="2" xfId="0" applyFont="1" applyFill="1" applyBorder="1" applyAlignment="1">
      <alignment horizontal="center" vertical="center"/>
    </xf>
    <xf numFmtId="0" fontId="57" fillId="31" borderId="3" xfId="0" applyFont="1" applyFill="1" applyBorder="1" applyAlignment="1">
      <alignment horizontal="center" vertical="center"/>
    </xf>
    <xf numFmtId="0" fontId="57" fillId="31" borderId="4" xfId="0" applyFont="1" applyFill="1" applyBorder="1" applyAlignment="1">
      <alignment horizontal="center" vertical="center"/>
    </xf>
    <xf numFmtId="0" fontId="57" fillId="31" borderId="7" xfId="0" applyFont="1" applyFill="1" applyBorder="1" applyAlignment="1">
      <alignment horizontal="center" vertical="center"/>
    </xf>
    <xf numFmtId="0" fontId="57" fillId="31" borderId="8" xfId="0" applyFont="1" applyFill="1" applyBorder="1" applyAlignment="1">
      <alignment horizontal="center" vertical="center"/>
    </xf>
    <xf numFmtId="0" fontId="57" fillId="31" borderId="9" xfId="0" applyFont="1" applyFill="1" applyBorder="1" applyAlignment="1">
      <alignment horizontal="center" vertical="center"/>
    </xf>
    <xf numFmtId="0" fontId="1" fillId="0" borderId="0" xfId="0" applyFont="1" applyAlignment="1">
      <alignment horizontal="center" vertical="top" wrapText="1"/>
    </xf>
    <xf numFmtId="0" fontId="1" fillId="0" borderId="28" xfId="0" applyFont="1" applyBorder="1" applyAlignment="1">
      <alignment horizontal="center" vertical="center" textRotation="90"/>
    </xf>
    <xf numFmtId="0" fontId="61" fillId="34" borderId="31" xfId="0" applyFont="1" applyFill="1" applyBorder="1" applyAlignment="1">
      <alignment horizontal="center" vertical="center"/>
    </xf>
    <xf numFmtId="0" fontId="61" fillId="34" borderId="32" xfId="0" applyFont="1" applyFill="1" applyBorder="1" applyAlignment="1">
      <alignment horizontal="center" vertical="center"/>
    </xf>
    <xf numFmtId="0" fontId="61" fillId="34" borderId="33" xfId="0" applyFont="1" applyFill="1" applyBorder="1" applyAlignment="1">
      <alignment horizontal="center" vertical="center"/>
    </xf>
    <xf numFmtId="0" fontId="61" fillId="36" borderId="57" xfId="0" applyFont="1" applyFill="1" applyBorder="1" applyAlignment="1" applyProtection="1">
      <alignment horizontal="center" vertical="center"/>
      <protection locked="0"/>
    </xf>
    <xf numFmtId="0" fontId="61" fillId="36" borderId="60" xfId="0" applyFont="1" applyFill="1" applyBorder="1" applyAlignment="1" applyProtection="1">
      <alignment horizontal="center" vertical="center"/>
      <protection locked="0"/>
    </xf>
    <xf numFmtId="0" fontId="61" fillId="36" borderId="53" xfId="0" applyFont="1" applyFill="1" applyBorder="1" applyAlignment="1" applyProtection="1">
      <alignment horizontal="center" vertical="center"/>
      <protection locked="0"/>
    </xf>
    <xf numFmtId="0" fontId="61" fillId="30" borderId="57" xfId="0" applyFont="1" applyFill="1" applyBorder="1" applyAlignment="1" applyProtection="1">
      <alignment horizontal="center" vertical="center"/>
      <protection locked="0"/>
    </xf>
    <xf numFmtId="0" fontId="61" fillId="30" borderId="60" xfId="0" applyFont="1" applyFill="1" applyBorder="1" applyAlignment="1" applyProtection="1">
      <alignment horizontal="center" vertical="center"/>
      <protection locked="0"/>
    </xf>
    <xf numFmtId="0" fontId="61" fillId="30" borderId="53" xfId="0" applyFont="1" applyFill="1" applyBorder="1" applyAlignment="1" applyProtection="1">
      <alignment horizontal="center" vertical="center"/>
      <protection locked="0"/>
    </xf>
    <xf numFmtId="0" fontId="63" fillId="0" borderId="1" xfId="0" applyFont="1" applyBorder="1" applyAlignment="1">
      <alignment horizontal="center" vertical="center" wrapText="1"/>
    </xf>
    <xf numFmtId="0" fontId="62" fillId="36" borderId="22" xfId="0" applyFont="1" applyFill="1" applyBorder="1" applyAlignment="1">
      <alignment horizontal="center" vertical="center" wrapText="1"/>
    </xf>
    <xf numFmtId="0" fontId="62" fillId="36" borderId="59" xfId="0" applyFont="1" applyFill="1" applyBorder="1" applyAlignment="1">
      <alignment horizontal="center" vertical="center" wrapText="1"/>
    </xf>
    <xf numFmtId="0" fontId="62" fillId="36" borderId="27" xfId="0" applyFont="1" applyFill="1" applyBorder="1" applyAlignment="1">
      <alignment horizontal="center" vertical="center" wrapText="1"/>
    </xf>
    <xf numFmtId="0" fontId="61" fillId="34" borderId="57" xfId="0" applyFont="1" applyFill="1" applyBorder="1" applyAlignment="1">
      <alignment horizontal="center" vertical="center"/>
    </xf>
    <xf numFmtId="0" fontId="61" fillId="34" borderId="60" xfId="0" applyFont="1" applyFill="1" applyBorder="1" applyAlignment="1">
      <alignment horizontal="center" vertical="center"/>
    </xf>
    <xf numFmtId="0" fontId="61" fillId="34" borderId="53" xfId="0" applyFont="1"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23" fillId="11" borderId="28" xfId="0" applyFont="1" applyFill="1" applyBorder="1" applyAlignment="1">
      <alignment horizontal="center" vertical="center" textRotation="90"/>
    </xf>
    <xf numFmtId="0" fontId="36" fillId="27" borderId="1" xfId="0" applyFont="1" applyFill="1" applyBorder="1" applyAlignment="1">
      <alignment horizontal="center" vertical="center" wrapText="1"/>
    </xf>
    <xf numFmtId="0" fontId="46" fillId="0" borderId="0" xfId="0" applyFont="1" applyAlignment="1">
      <alignment horizontal="left" vertical="top" wrapText="1"/>
    </xf>
    <xf numFmtId="169" fontId="34" fillId="0" borderId="10" xfId="0" applyNumberFormat="1" applyFont="1" applyBorder="1" applyAlignment="1">
      <alignment horizontal="center" vertical="center"/>
    </xf>
    <xf numFmtId="169" fontId="34" fillId="0" borderId="12" xfId="0" applyNumberFormat="1" applyFont="1" applyBorder="1" applyAlignment="1">
      <alignment horizontal="center" vertical="center"/>
    </xf>
    <xf numFmtId="0" fontId="20" fillId="0" borderId="0" xfId="0" applyFont="1" applyAlignment="1">
      <alignment horizontal="left"/>
    </xf>
    <xf numFmtId="0" fontId="33" fillId="0" borderId="0" xfId="0" applyFont="1" applyAlignment="1">
      <alignment horizontal="center" vertical="center"/>
    </xf>
    <xf numFmtId="0" fontId="27" fillId="0" borderId="0" xfId="0" applyFont="1" applyAlignment="1">
      <alignment horizontal="center" vertical="center"/>
    </xf>
    <xf numFmtId="0" fontId="34" fillId="22" borderId="0" xfId="0" applyFont="1" applyFill="1" applyAlignment="1">
      <alignment horizontal="center" vertical="center" wrapText="1"/>
    </xf>
    <xf numFmtId="0" fontId="9" fillId="0" borderId="0" xfId="3" applyAlignment="1">
      <alignment horizontal="center"/>
    </xf>
    <xf numFmtId="0" fontId="36" fillId="24" borderId="13" xfId="0" applyFont="1" applyFill="1" applyBorder="1" applyAlignment="1">
      <alignment horizontal="center" vertical="center" wrapText="1"/>
    </xf>
    <xf numFmtId="0" fontId="51" fillId="29" borderId="17" xfId="0" applyFont="1" applyFill="1" applyBorder="1" applyAlignment="1">
      <alignment horizontal="center" vertical="center" wrapText="1"/>
    </xf>
    <xf numFmtId="0" fontId="51" fillId="29" borderId="20" xfId="0" applyFont="1" applyFill="1" applyBorder="1" applyAlignment="1">
      <alignment horizontal="center" vertical="center" wrapText="1"/>
    </xf>
    <xf numFmtId="0" fontId="51" fillId="29" borderId="36" xfId="0" applyFont="1" applyFill="1" applyBorder="1" applyAlignment="1">
      <alignment horizontal="center" vertical="center" wrapText="1"/>
    </xf>
    <xf numFmtId="0" fontId="0" fillId="3" borderId="8" xfId="0" applyFill="1" applyBorder="1" applyAlignment="1">
      <alignment horizontal="center"/>
    </xf>
    <xf numFmtId="0" fontId="51" fillId="0" borderId="17" xfId="0" applyFont="1" applyBorder="1" applyAlignment="1">
      <alignment horizontal="center" vertical="center" wrapText="1"/>
    </xf>
    <xf numFmtId="0" fontId="51" fillId="0" borderId="20" xfId="0" applyFont="1" applyBorder="1" applyAlignment="1">
      <alignment horizontal="center" vertical="center" wrapText="1"/>
    </xf>
    <xf numFmtId="0" fontId="51" fillId="0" borderId="36" xfId="0" applyFont="1" applyBorder="1" applyAlignment="1">
      <alignment horizontal="center" vertical="center" wrapText="1"/>
    </xf>
    <xf numFmtId="0" fontId="25" fillId="18" borderId="23" xfId="0" applyFont="1" applyFill="1" applyBorder="1" applyAlignment="1">
      <alignment horizontal="center" vertical="center" wrapText="1"/>
    </xf>
    <xf numFmtId="0" fontId="25" fillId="18" borderId="24" xfId="0" applyFont="1" applyFill="1" applyBorder="1" applyAlignment="1">
      <alignment horizontal="center" vertical="center" wrapText="1"/>
    </xf>
    <xf numFmtId="0" fontId="30" fillId="18" borderId="23" xfId="0" applyFont="1" applyFill="1" applyBorder="1" applyAlignment="1">
      <alignment horizontal="center" vertical="center" wrapText="1"/>
    </xf>
    <xf numFmtId="0" fontId="30" fillId="18" borderId="24"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20" fillId="0" borderId="0" xfId="0" applyFont="1" applyAlignment="1">
      <alignment horizontal="center"/>
    </xf>
    <xf numFmtId="0" fontId="20" fillId="0" borderId="0" xfId="0" applyFont="1" applyAlignment="1">
      <alignment horizontal="left" vertical="center" wrapText="1"/>
    </xf>
    <xf numFmtId="0" fontId="0" fillId="0" borderId="0" xfId="0" applyAlignment="1">
      <alignment horizontal="left" vertical="center" wrapText="1"/>
    </xf>
    <xf numFmtId="0" fontId="9" fillId="0" borderId="3" xfId="3" applyBorder="1" applyAlignment="1">
      <alignment horizontal="left"/>
    </xf>
    <xf numFmtId="0" fontId="25" fillId="13" borderId="1" xfId="0" applyFont="1" applyFill="1" applyBorder="1" applyAlignment="1">
      <alignment horizontal="center" vertical="center" wrapText="1"/>
    </xf>
    <xf numFmtId="9" fontId="68" fillId="0" borderId="1" xfId="2" applyFont="1" applyFill="1" applyBorder="1" applyAlignment="1" applyProtection="1">
      <alignment horizontal="center" vertical="center"/>
      <protection locked="0"/>
    </xf>
    <xf numFmtId="168" fontId="68" fillId="42" borderId="1" xfId="0" applyNumberFormat="1" applyFont="1" applyFill="1" applyBorder="1" applyAlignment="1" applyProtection="1">
      <alignment vertical="center"/>
      <protection locked="0"/>
    </xf>
  </cellXfs>
  <cellStyles count="60">
    <cellStyle name="BodyStyle" xfId="27" xr:uid="{00000000-0005-0000-0000-000000000000}"/>
    <cellStyle name="BodyStyleBold" xfId="28" xr:uid="{00000000-0005-0000-0000-000001000000}"/>
    <cellStyle name="BodyStyleBoldRight" xfId="29" xr:uid="{00000000-0005-0000-0000-000002000000}"/>
    <cellStyle name="BodyStyleWithBorder" xfId="35" xr:uid="{00000000-0005-0000-0000-000003000000}"/>
    <cellStyle name="BorderThinBlack" xfId="39" xr:uid="{00000000-0005-0000-0000-000004000000}"/>
    <cellStyle name="Comma" xfId="18" xr:uid="{00000000-0005-0000-0000-000005000000}"/>
    <cellStyle name="Comma [0]" xfId="19" xr:uid="{00000000-0005-0000-0000-000006000000}"/>
    <cellStyle name="Comma [0] 2" xfId="43" xr:uid="{00000000-0005-0000-0000-000007000000}"/>
    <cellStyle name="Comma 2" xfId="42" xr:uid="{00000000-0005-0000-0000-000008000000}"/>
    <cellStyle name="Comma 3" xfId="44" xr:uid="{00000000-0005-0000-0000-000009000000}"/>
    <cellStyle name="Comma 4" xfId="46" xr:uid="{00000000-0005-0000-0000-00000A000000}"/>
    <cellStyle name="Comma 5" xfId="47" xr:uid="{00000000-0005-0000-0000-00000B000000}"/>
    <cellStyle name="Currency" xfId="16" xr:uid="{00000000-0005-0000-0000-00000C000000}"/>
    <cellStyle name="Currency [0]" xfId="17" xr:uid="{00000000-0005-0000-0000-00000D000000}"/>
    <cellStyle name="Currency [0] 2" xfId="41" xr:uid="{00000000-0005-0000-0000-00000E000000}"/>
    <cellStyle name="Currency 2" xfId="40" xr:uid="{00000000-0005-0000-0000-00000F000000}"/>
    <cellStyle name="Currency 3" xfId="49" xr:uid="{00000000-0005-0000-0000-000010000000}"/>
    <cellStyle name="Currency 4" xfId="48" xr:uid="{00000000-0005-0000-0000-000011000000}"/>
    <cellStyle name="Currency 5" xfId="50" xr:uid="{00000000-0005-0000-0000-000012000000}"/>
    <cellStyle name="DateStyle" xfId="31" xr:uid="{00000000-0005-0000-0000-000013000000}"/>
    <cellStyle name="DateTimeStyle" xfId="32" xr:uid="{00000000-0005-0000-0000-000014000000}"/>
    <cellStyle name="Decimal" xfId="34" xr:uid="{00000000-0005-0000-0000-000015000000}"/>
    <cellStyle name="DecimalWithBorder" xfId="38" xr:uid="{00000000-0005-0000-0000-000016000000}"/>
    <cellStyle name="EuroCurrency" xfId="30" xr:uid="{00000000-0005-0000-0000-000017000000}"/>
    <cellStyle name="EuroCurrencyWithBorder" xfId="36" xr:uid="{00000000-0005-0000-0000-000018000000}"/>
    <cellStyle name="Excel Built-in 40% - Accent5" xfId="58" xr:uid="{00000000-0005-0000-0000-000019000000}"/>
    <cellStyle name="Excel Built-in Bad" xfId="59" xr:uid="{F482FE7C-6045-4492-A7B6-4A3091089C5F}"/>
    <cellStyle name="HeaderStyle" xfId="21" xr:uid="{00000000-0005-0000-0000-00001A000000}"/>
    <cellStyle name="HeaderStyle 2" xfId="45" xr:uid="{00000000-0005-0000-0000-00001B000000}"/>
    <cellStyle name="HeaderSubTop" xfId="25" xr:uid="{00000000-0005-0000-0000-00001C000000}"/>
    <cellStyle name="HeaderSubTopNoBold" xfId="26" xr:uid="{00000000-0005-0000-0000-00001D000000}"/>
    <cellStyle name="HeaderTopBuyer" xfId="22" xr:uid="{00000000-0005-0000-0000-00001E000000}"/>
    <cellStyle name="HeaderTopStyle" xfId="23" xr:uid="{00000000-0005-0000-0000-00001F000000}"/>
    <cellStyle name="HeaderTopStyleAlignRight" xfId="24" xr:uid="{00000000-0005-0000-0000-000020000000}"/>
    <cellStyle name="Hipervínculo" xfId="3" builtinId="8"/>
    <cellStyle name="Hipervínculo 2" xfId="7" xr:uid="{00000000-0005-0000-0000-000022000000}"/>
    <cellStyle name="Hyperlink" xfId="4" xr:uid="{00000000-0005-0000-0000-000023000000}"/>
    <cellStyle name="MainTitle" xfId="20" xr:uid="{00000000-0005-0000-0000-000024000000}"/>
    <cellStyle name="Millares" xfId="56" builtinId="3"/>
    <cellStyle name="Millares 2" xfId="8" xr:uid="{00000000-0005-0000-0000-000026000000}"/>
    <cellStyle name="Millares 3" xfId="53" xr:uid="{00000000-0005-0000-0000-000027000000}"/>
    <cellStyle name="Millares 5 3" xfId="54" xr:uid="{00000000-0005-0000-0000-000028000000}"/>
    <cellStyle name="Moneda" xfId="55" builtinId="4"/>
    <cellStyle name="Moneda [0]" xfId="1" builtinId="7"/>
    <cellStyle name="Moneda [0] 2" xfId="6" xr:uid="{00000000-0005-0000-0000-00002B000000}"/>
    <cellStyle name="Moneda [0] 3" xfId="13" xr:uid="{00000000-0005-0000-0000-00002C000000}"/>
    <cellStyle name="Moneda [0] 4" xfId="52" xr:uid="{00000000-0005-0000-0000-00002D000000}"/>
    <cellStyle name="Moneda 3 2" xfId="57" xr:uid="{00000000-0005-0000-0000-00002E000000}"/>
    <cellStyle name="Normal" xfId="0" builtinId="0"/>
    <cellStyle name="Normal 2" xfId="5" xr:uid="{00000000-0005-0000-0000-000030000000}"/>
    <cellStyle name="Normal 2 2" xfId="51" xr:uid="{00000000-0005-0000-0000-000031000000}"/>
    <cellStyle name="Normal 3" xfId="10" xr:uid="{00000000-0005-0000-0000-000032000000}"/>
    <cellStyle name="Normal 4" xfId="12" xr:uid="{00000000-0005-0000-0000-000033000000}"/>
    <cellStyle name="Normal 5" xfId="14" xr:uid="{00000000-0005-0000-0000-000034000000}"/>
    <cellStyle name="Numeric" xfId="33" xr:uid="{00000000-0005-0000-0000-000035000000}"/>
    <cellStyle name="NumericWithBorder" xfId="37" xr:uid="{00000000-0005-0000-0000-000036000000}"/>
    <cellStyle name="Percent" xfId="15" xr:uid="{00000000-0005-0000-0000-000037000000}"/>
    <cellStyle name="Porcentaje" xfId="2" builtinId="5"/>
    <cellStyle name="Porcentaje 2" xfId="9" xr:uid="{00000000-0005-0000-0000-000039000000}"/>
    <cellStyle name="Porcentaje 3" xfId="11" xr:uid="{00000000-0005-0000-0000-00003A000000}"/>
  </cellStyles>
  <dxfs count="12">
    <dxf>
      <fill>
        <patternFill>
          <bgColor rgb="FF92D050"/>
        </patternFill>
      </fill>
    </dxf>
    <dxf>
      <fill>
        <patternFill>
          <bgColor rgb="FFFF0000"/>
        </patternFill>
      </fill>
    </dxf>
    <dxf>
      <fill>
        <patternFill>
          <bgColor theme="5" tint="0.39994506668294322"/>
        </patternFill>
      </fill>
    </dxf>
    <dxf>
      <fill>
        <patternFill>
          <bgColor theme="5" tint="0.39994506668294322"/>
        </patternFill>
      </fill>
    </dxf>
    <dxf>
      <font>
        <color rgb="FF9C0006"/>
      </font>
      <fill>
        <patternFill>
          <bgColor rgb="FFFFC7CE"/>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3.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ocumenttasks/documenttask1.xml><?xml version="1.0" encoding="utf-8"?>
<Tasks xmlns="http://schemas.microsoft.com/office/tasks/2019/documenttasks">
  <Task id="{AE4DE7DF-9AB8-406D-AF4B-69955320048B}">
    <Anchor>
      <Comment id="{63765E9C-699E-49F3-A751-E777EA4B0C23}"/>
    </Anchor>
    <History>
      <Event time="2026-09-12T04:39:12.10" id="{E79C77D5-9759-4E12-BD7B-CA75C309E681}">
        <Attribution userId="S::ednaj.martinez@gobiernobogota.gov.co::28e6a273-d6cb-47e7-b293-4b6b4ef57c3a" userName="Edna Johana Martinez Munoz" userProvider="AD"/>
        <Anchor>
          <Comment id="{63765E9C-699E-49F3-A751-E777EA4B0C23}"/>
        </Anchor>
        <Create/>
      </Event>
      <Event time="2026-09-12T04:39:12.10" id="{129F9820-6CF5-429C-BC7D-83C9CC498E91}">
        <Attribution userId="S::ednaj.martinez@gobiernobogota.gov.co::28e6a273-d6cb-47e7-b293-4b6b4ef57c3a" userName="Edna Johana Martinez Munoz" userProvider="AD"/>
        <Anchor>
          <Comment id="{63765E9C-699E-49F3-A751-E777EA4B0C23}"/>
        </Anchor>
        <Assign userId="S::william.solis@gobiernobogota.gov.co::bb1167fb-9574-4b9d-be51-f9ab859d851b" userName="William Jose Solis Ochoa" userProvider="AD"/>
      </Event>
      <Event time="2026-09-12T04:39:12.10" id="{7A987C90-AAEA-4C4F-AC2F-691793959CB3}">
        <Attribution userId="S::ednaj.martinez@gobiernobogota.gov.co::28e6a273-d6cb-47e7-b293-4b6b4ef57c3a" userName="Edna Johana Martinez Munoz" userProvider="AD"/>
        <Anchor>
          <Comment id="{63765E9C-699E-49F3-A751-E777EA4B0C23}"/>
        </Anchor>
        <SetTitle title="@William Jose Solis Ochoa, EL FORMATO DE OFERTA ECONOMICA DEBE AJUSTARSE, DADO QUE DEBE INCLUIR EL VALOR DEL PERSONAL PARA QUE SE ALLEGUE EL VALOR TOTAL."/>
      </Event>
    </History>
  </Task>
</Task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2229117</xdr:colOff>
      <xdr:row>0</xdr:row>
      <xdr:rowOff>0</xdr:rowOff>
    </xdr:from>
    <xdr:to>
      <xdr:col>2</xdr:col>
      <xdr:colOff>2294072</xdr:colOff>
      <xdr:row>0</xdr:row>
      <xdr:rowOff>783354</xdr:rowOff>
    </xdr:to>
    <xdr:pic>
      <xdr:nvPicPr>
        <xdr:cNvPr id="2" name="Imagen 1">
          <a:extLst>
            <a:ext uri="{FF2B5EF4-FFF2-40B4-BE49-F238E27FC236}">
              <a16:creationId xmlns:a16="http://schemas.microsoft.com/office/drawing/2014/main" id="{89C1971D-8986-449C-A91D-61E6FD3871A8}"/>
            </a:ext>
          </a:extLst>
        </xdr:cNvPr>
        <xdr:cNvPicPr/>
      </xdr:nvPicPr>
      <xdr:blipFill>
        <a:blip xmlns:r="http://schemas.openxmlformats.org/officeDocument/2006/relationships" r:embed="rId1"/>
        <a:stretch/>
      </xdr:blipFill>
      <xdr:spPr>
        <a:xfrm>
          <a:off x="2809910" y="0"/>
          <a:ext cx="2198795" cy="779544"/>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24</xdr:col>
      <xdr:colOff>142875</xdr:colOff>
      <xdr:row>0</xdr:row>
      <xdr:rowOff>19050</xdr:rowOff>
    </xdr:from>
    <xdr:to>
      <xdr:col>24</xdr:col>
      <xdr:colOff>666751</xdr:colOff>
      <xdr:row>2</xdr:row>
      <xdr:rowOff>572839</xdr:rowOff>
    </xdr:to>
    <xdr:pic>
      <xdr:nvPicPr>
        <xdr:cNvPr id="2" name="Imagen 1">
          <a:extLst>
            <a:ext uri="{FF2B5EF4-FFF2-40B4-BE49-F238E27FC236}">
              <a16:creationId xmlns:a16="http://schemas.microsoft.com/office/drawing/2014/main" id="{7366BB77-996F-4224-974B-07B0D6774125}"/>
            </a:ext>
          </a:extLst>
        </xdr:cNvPr>
        <xdr:cNvPicPr>
          <a:picLocks noChangeAspect="1"/>
        </xdr:cNvPicPr>
      </xdr:nvPicPr>
      <xdr:blipFill>
        <a:blip xmlns:r="http://schemas.openxmlformats.org/officeDocument/2006/relationships" r:embed="rId1"/>
        <a:stretch>
          <a:fillRect/>
        </a:stretch>
      </xdr:blipFill>
      <xdr:spPr>
        <a:xfrm>
          <a:off x="24984075" y="19050"/>
          <a:ext cx="523876" cy="9652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815339</xdr:colOff>
      <xdr:row>4</xdr:row>
      <xdr:rowOff>66820</xdr:rowOff>
    </xdr:from>
    <xdr:to>
      <xdr:col>6</xdr:col>
      <xdr:colOff>502920</xdr:colOff>
      <xdr:row>11</xdr:row>
      <xdr:rowOff>169665</xdr:rowOff>
    </xdr:to>
    <xdr:pic>
      <xdr:nvPicPr>
        <xdr:cNvPr id="4" name="Imagen 3">
          <a:extLst>
            <a:ext uri="{FF2B5EF4-FFF2-40B4-BE49-F238E27FC236}">
              <a16:creationId xmlns:a16="http://schemas.microsoft.com/office/drawing/2014/main" id="{E8174C62-9AA3-4174-B322-4F0F323976D7}"/>
            </a:ext>
          </a:extLst>
        </xdr:cNvPr>
        <xdr:cNvPicPr>
          <a:picLocks noChangeAspect="1"/>
        </xdr:cNvPicPr>
      </xdr:nvPicPr>
      <xdr:blipFill>
        <a:blip xmlns:r="http://schemas.openxmlformats.org/officeDocument/2006/relationships" r:embed="rId1"/>
        <a:stretch>
          <a:fillRect/>
        </a:stretch>
      </xdr:blipFill>
      <xdr:spPr>
        <a:xfrm>
          <a:off x="1135379" y="882160"/>
          <a:ext cx="5204461" cy="1383005"/>
        </a:xfrm>
        <a:prstGeom prst="rect">
          <a:avLst/>
        </a:prstGeom>
      </xdr:spPr>
    </xdr:pic>
    <xdr:clientData/>
  </xdr:twoCellAnchor>
  <xdr:twoCellAnchor>
    <xdr:from>
      <xdr:col>2</xdr:col>
      <xdr:colOff>0</xdr:colOff>
      <xdr:row>27</xdr:row>
      <xdr:rowOff>0</xdr:rowOff>
    </xdr:from>
    <xdr:to>
      <xdr:col>9</xdr:col>
      <xdr:colOff>289560</xdr:colOff>
      <xdr:row>57</xdr:row>
      <xdr:rowOff>76200</xdr:rowOff>
    </xdr:to>
    <xdr:pic>
      <xdr:nvPicPr>
        <xdr:cNvPr id="3" name="Imagen 1">
          <a:extLst>
            <a:ext uri="{FF2B5EF4-FFF2-40B4-BE49-F238E27FC236}">
              <a16:creationId xmlns:a16="http://schemas.microsoft.com/office/drawing/2014/main" id="{7089091F-E555-444B-912A-66FD7692F3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040" y="7223760"/>
          <a:ext cx="8321040" cy="5562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29</xdr:row>
      <xdr:rowOff>0</xdr:rowOff>
    </xdr:from>
    <xdr:to>
      <xdr:col>4</xdr:col>
      <xdr:colOff>343480</xdr:colOff>
      <xdr:row>59</xdr:row>
      <xdr:rowOff>30966</xdr:rowOff>
    </xdr:to>
    <xdr:pic>
      <xdr:nvPicPr>
        <xdr:cNvPr id="2" name="Imagen 1">
          <a:extLst>
            <a:ext uri="{FF2B5EF4-FFF2-40B4-BE49-F238E27FC236}">
              <a16:creationId xmlns:a16="http://schemas.microsoft.com/office/drawing/2014/main" id="{F478DC64-C23C-4E35-A8E9-532B8D3C69F9}"/>
            </a:ext>
          </a:extLst>
        </xdr:cNvPr>
        <xdr:cNvPicPr>
          <a:picLocks noChangeAspect="1"/>
        </xdr:cNvPicPr>
      </xdr:nvPicPr>
      <xdr:blipFill>
        <a:blip xmlns:r="http://schemas.openxmlformats.org/officeDocument/2006/relationships" r:embed="rId1"/>
        <a:stretch>
          <a:fillRect/>
        </a:stretch>
      </xdr:blipFill>
      <xdr:spPr>
        <a:xfrm>
          <a:off x="792480" y="5844540"/>
          <a:ext cx="6690940" cy="560880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William Jose Solis Ochoa" id="{FB9CD63D-D5C4-48CB-B218-C126CB59275E}" userId="william.solis@gobiernobogota.gov.co" providerId="PeoplePicker"/>
  <person displayName="Edna Johana Martinez Munoz" id="{533CE3DC-6D80-49AA-9ED6-79DBC3FF73DF}" userId="S::ednaj.martinez@gobiernobogota.gov.co::28e6a273-d6cb-47e7-b293-4b6b4ef57c3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 dT="2026-09-12T04:39:14.07" personId="{533CE3DC-6D80-49AA-9ED6-79DBC3FF73DF}" id="{63765E9C-699E-49F3-A751-E777EA4B0C23}">
    <text xml:space="preserve">@William Jose Solis Ochoa, EL FORMATO DE OFERTA ECONOMICA DEBE AJUSTARSE, DADO QUE DEBE INCLUIR EL VALOR DEL PERSONAL PARA QUE SE ALLEGUE EL VALOR TOTAL. </text>
    <mentions>
      <mention mentionpersonId="{FB9CD63D-D5C4-48CB-B218-C126CB59275E}" mentionId="{89C11A27-A54A-4655-9732-BC232FE46E6D}" startIndex="0" length="25"/>
    </mentions>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microsoft.com/office/2019/04/relationships/documenttask" Target="../documenttasks/documenttask1.xm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hyperlink" Target="https://www.gerencie.com/del-iva-en-los-servicios-integrales-de-aseo-y-cafeteria.html" TargetMode="External"/><Relationship Id="rId7" Type="http://schemas.openxmlformats.org/officeDocument/2006/relationships/comments" Target="../comments2.xml"/><Relationship Id="rId2" Type="http://schemas.openxmlformats.org/officeDocument/2006/relationships/hyperlink" Target="https://estatuto.co/462-1" TargetMode="External"/><Relationship Id="rId1" Type="http://schemas.openxmlformats.org/officeDocument/2006/relationships/hyperlink" Target="https://www.supervigilancia.gov.co/publicaciones/10474/circular-tarifas-minimas-para-contratacion-servicios-de-vigilancia-y-seguridad-privada-2024/" TargetMode="External"/><Relationship Id="rId6" Type="http://schemas.openxmlformats.org/officeDocument/2006/relationships/vmlDrawing" Target="../drawings/vmlDrawing2.vml"/><Relationship Id="rId5" Type="http://schemas.openxmlformats.org/officeDocument/2006/relationships/printerSettings" Target="../printerSettings/printerSettings5.bin"/><Relationship Id="rId4" Type="http://schemas.openxmlformats.org/officeDocument/2006/relationships/hyperlink" Target="https://www.supervigilancia.gov.co/loader.php?lServicio=Tools2&amp;lTipo=descargas&amp;lFuncion=descargar&amp;idFile=38937"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B050"/>
    <pageSetUpPr fitToPage="1"/>
  </sheetPr>
  <dimension ref="B2:AH55"/>
  <sheetViews>
    <sheetView showGridLines="0" zoomScaleNormal="100" workbookViewId="0">
      <selection activeCell="H16" sqref="H16"/>
    </sheetView>
  </sheetViews>
  <sheetFormatPr defaultColWidth="11.42578125" defaultRowHeight="14.45"/>
  <cols>
    <col min="1" max="1" width="5.5703125" customWidth="1"/>
    <col min="2" max="2" width="7.85546875" customWidth="1"/>
    <col min="3" max="3" width="29.85546875" customWidth="1"/>
    <col min="4" max="4" width="32.28515625" customWidth="1"/>
    <col min="5" max="5" width="8.5703125" customWidth="1"/>
    <col min="6" max="6" width="15.7109375" customWidth="1"/>
    <col min="7" max="7" width="19.85546875" customWidth="1"/>
    <col min="8" max="8" width="18.42578125" customWidth="1"/>
    <col min="9" max="9" width="15.85546875" customWidth="1"/>
    <col min="10" max="10" width="14.85546875" customWidth="1"/>
    <col min="11" max="12" width="18.42578125" customWidth="1"/>
    <col min="13" max="13" width="48.7109375" customWidth="1"/>
    <col min="14" max="14" width="13.140625" bestFit="1" customWidth="1"/>
    <col min="15" max="16" width="11.42578125" customWidth="1"/>
    <col min="17" max="17" width="8" customWidth="1"/>
  </cols>
  <sheetData>
    <row r="2" spans="2:18" ht="18">
      <c r="B2" s="405"/>
      <c r="C2" s="405"/>
      <c r="D2" s="405"/>
      <c r="E2" s="405"/>
      <c r="F2" s="405"/>
      <c r="G2" s="405"/>
      <c r="H2" s="405"/>
      <c r="I2" s="405"/>
      <c r="J2" s="405"/>
      <c r="K2" s="405"/>
      <c r="L2" s="405"/>
      <c r="M2" s="405"/>
      <c r="N2" s="405"/>
      <c r="O2" s="405"/>
    </row>
    <row r="3" spans="2:18" ht="18">
      <c r="B3" s="16"/>
      <c r="C3" s="16"/>
      <c r="D3" s="16"/>
      <c r="E3" s="16"/>
      <c r="F3" s="16"/>
      <c r="G3" s="16"/>
      <c r="H3" s="16"/>
      <c r="I3" s="16"/>
      <c r="J3" s="16"/>
      <c r="K3" s="16"/>
      <c r="L3" s="16"/>
      <c r="M3" s="16"/>
      <c r="N3" s="16"/>
      <c r="O3" s="16"/>
    </row>
    <row r="4" spans="2:18" ht="54.75" customHeight="1" thickBot="1">
      <c r="F4" s="19"/>
      <c r="G4" s="117" t="s">
        <v>0</v>
      </c>
      <c r="H4" s="117"/>
      <c r="I4" s="117"/>
      <c r="J4" s="117"/>
    </row>
    <row r="5" spans="2:18" ht="54.75" customHeight="1">
      <c r="B5" s="25" t="s">
        <v>1</v>
      </c>
      <c r="C5" s="26" t="s">
        <v>2</v>
      </c>
      <c r="D5" s="26" t="s">
        <v>3</v>
      </c>
      <c r="E5" s="26" t="s">
        <v>4</v>
      </c>
      <c r="F5" s="26" t="s">
        <v>5</v>
      </c>
      <c r="G5" s="27" t="s">
        <v>6</v>
      </c>
      <c r="H5" s="111" t="s">
        <v>7</v>
      </c>
      <c r="I5" s="111" t="s">
        <v>8</v>
      </c>
      <c r="J5" s="111" t="s">
        <v>9</v>
      </c>
      <c r="K5" s="28" t="s">
        <v>10</v>
      </c>
      <c r="L5" s="28" t="s">
        <v>11</v>
      </c>
      <c r="M5" s="29" t="s">
        <v>12</v>
      </c>
      <c r="N5" s="29" t="s">
        <v>13</v>
      </c>
      <c r="O5" s="30" t="s">
        <v>14</v>
      </c>
      <c r="Q5" s="57" t="s">
        <v>15</v>
      </c>
      <c r="R5" s="57" t="s">
        <v>16</v>
      </c>
    </row>
    <row r="6" spans="2:18" ht="30.6">
      <c r="B6" s="31">
        <v>1</v>
      </c>
      <c r="C6" s="20" t="s">
        <v>17</v>
      </c>
      <c r="D6" s="20" t="s">
        <v>18</v>
      </c>
      <c r="E6" s="21" t="s">
        <v>19</v>
      </c>
      <c r="F6" s="21">
        <v>1</v>
      </c>
      <c r="G6" s="61" t="e">
        <f>+#REF!</f>
        <v>#REF!</v>
      </c>
      <c r="H6" s="61"/>
      <c r="I6" s="61"/>
      <c r="J6" s="61"/>
      <c r="K6" s="17" t="str">
        <f>IFERROR(IF(O6&gt;(0.15),ROUND(MEDIAN(G6:J6),0),ROUND(AVERAGE(G6:J6),0)),"")</f>
        <v/>
      </c>
      <c r="L6" s="18" t="str">
        <f t="shared" ref="L6:L21" si="0">IFERROR(K6*F6,"")</f>
        <v/>
      </c>
      <c r="M6" s="81"/>
      <c r="N6" s="17" t="str">
        <f t="shared" ref="N6:N21" si="1">IFERROR(STDEV(G6:J6),"")</f>
        <v/>
      </c>
      <c r="O6" s="32" t="str">
        <f t="shared" ref="O6:O21" si="2">IFERROR(N6/AVERAGE(G6:J6),"")</f>
        <v/>
      </c>
      <c r="Q6" s="58">
        <v>3</v>
      </c>
      <c r="R6" s="112" t="e">
        <f t="shared" ref="R6:R13" si="3">1-(MIN(G6:J6)/K6)</f>
        <v>#REF!</v>
      </c>
    </row>
    <row r="7" spans="2:18" ht="30.6">
      <c r="B7" s="31">
        <v>2</v>
      </c>
      <c r="C7" s="20" t="s">
        <v>17</v>
      </c>
      <c r="D7" s="20" t="s">
        <v>20</v>
      </c>
      <c r="E7" s="21" t="s">
        <v>19</v>
      </c>
      <c r="F7" s="21">
        <v>1</v>
      </c>
      <c r="G7" s="61" t="e">
        <f>+#REF!</f>
        <v>#REF!</v>
      </c>
      <c r="H7" s="61"/>
      <c r="I7" s="61"/>
      <c r="J7" s="61"/>
      <c r="K7" s="17" t="str">
        <f t="shared" ref="K7" si="4">IFERROR(IF(O7&gt;(0.15),ROUND(MEDIAN(G7:J7),0),ROUND(AVERAGE(G7:J7),0)),"")</f>
        <v/>
      </c>
      <c r="L7" s="18" t="str">
        <f t="shared" si="0"/>
        <v/>
      </c>
      <c r="M7" s="81"/>
      <c r="N7" s="17" t="str">
        <f t="shared" si="1"/>
        <v/>
      </c>
      <c r="O7" s="32" t="str">
        <f t="shared" si="2"/>
        <v/>
      </c>
      <c r="Q7" s="58">
        <v>3</v>
      </c>
      <c r="R7" s="112" t="e">
        <f t="shared" si="3"/>
        <v>#REF!</v>
      </c>
    </row>
    <row r="8" spans="2:18" ht="30.6">
      <c r="B8" s="31">
        <v>3</v>
      </c>
      <c r="C8" s="20" t="s">
        <v>17</v>
      </c>
      <c r="D8" s="20" t="s">
        <v>21</v>
      </c>
      <c r="E8" s="21" t="s">
        <v>19</v>
      </c>
      <c r="F8" s="21">
        <v>1</v>
      </c>
      <c r="G8" s="61" t="e">
        <f>+#REF!</f>
        <v>#REF!</v>
      </c>
      <c r="H8" s="61"/>
      <c r="I8" s="61"/>
      <c r="J8" s="61"/>
      <c r="K8" s="17" t="str">
        <f>IFERROR(IF(O8&gt;(0.15),ROUND(MEDIAN(G8:J8),0),ROUND(AVERAGE(G8:J8),0)),"")</f>
        <v/>
      </c>
      <c r="L8" s="18" t="str">
        <f t="shared" si="0"/>
        <v/>
      </c>
      <c r="M8" s="81"/>
      <c r="N8" s="17" t="str">
        <f>IFERROR(STDEV(G8:J8),"")</f>
        <v/>
      </c>
      <c r="O8" s="32" t="str">
        <f>IFERROR(N8/AVERAGE(G8:J8),"")</f>
        <v/>
      </c>
      <c r="Q8" s="58">
        <v>3</v>
      </c>
      <c r="R8" s="112" t="e">
        <f>1-(MIN(G8:J8)/K8)</f>
        <v>#REF!</v>
      </c>
    </row>
    <row r="9" spans="2:18" ht="20.45">
      <c r="B9" s="31">
        <f>+B8+1</f>
        <v>4</v>
      </c>
      <c r="C9" s="20" t="s">
        <v>17</v>
      </c>
      <c r="D9" s="20" t="s">
        <v>22</v>
      </c>
      <c r="E9" s="21" t="s">
        <v>19</v>
      </c>
      <c r="F9" s="21">
        <v>1</v>
      </c>
      <c r="G9" s="61" t="e">
        <f>+#REF!</f>
        <v>#REF!</v>
      </c>
      <c r="H9" s="61"/>
      <c r="I9" s="61"/>
      <c r="J9" s="61"/>
      <c r="K9" s="17" t="str">
        <f t="shared" ref="K9:K10" si="5">IFERROR(IF(O9&gt;(0.15),ROUND(MEDIAN(G9:J9),0),ROUND(AVERAGE(G9:J9),0)),"")</f>
        <v/>
      </c>
      <c r="L9" s="18" t="str">
        <f t="shared" si="0"/>
        <v/>
      </c>
      <c r="M9" s="81"/>
      <c r="N9" s="17" t="str">
        <f t="shared" ref="N9:N10" si="6">IFERROR(STDEV(G9:J9),"")</f>
        <v/>
      </c>
      <c r="O9" s="32" t="str">
        <f t="shared" ref="O9:O10" si="7">IFERROR(N9/AVERAGE(G9:J9),"")</f>
        <v/>
      </c>
      <c r="Q9" s="58">
        <v>3</v>
      </c>
      <c r="R9" s="112" t="e">
        <f t="shared" ref="R9:R10" si="8">1-(MIN(G9:J9)/K9)</f>
        <v>#REF!</v>
      </c>
    </row>
    <row r="10" spans="2:18" ht="20.45">
      <c r="B10" s="31">
        <f t="shared" ref="B10:B21" si="9">+B9+1</f>
        <v>5</v>
      </c>
      <c r="C10" s="20" t="s">
        <v>17</v>
      </c>
      <c r="D10" s="20" t="s">
        <v>23</v>
      </c>
      <c r="E10" s="21" t="s">
        <v>19</v>
      </c>
      <c r="F10" s="21">
        <v>1</v>
      </c>
      <c r="G10" s="61" t="e">
        <f>+#REF!</f>
        <v>#REF!</v>
      </c>
      <c r="H10" s="61"/>
      <c r="I10" s="61"/>
      <c r="J10" s="61"/>
      <c r="K10" s="17" t="str">
        <f t="shared" si="5"/>
        <v/>
      </c>
      <c r="L10" s="18" t="str">
        <f t="shared" si="0"/>
        <v/>
      </c>
      <c r="M10" s="81"/>
      <c r="N10" s="17" t="str">
        <f t="shared" si="6"/>
        <v/>
      </c>
      <c r="O10" s="32" t="str">
        <f t="shared" si="7"/>
        <v/>
      </c>
      <c r="Q10" s="58">
        <v>3</v>
      </c>
      <c r="R10" s="112" t="e">
        <f t="shared" si="8"/>
        <v>#REF!</v>
      </c>
    </row>
    <row r="11" spans="2:18" ht="20.45">
      <c r="B11" s="31">
        <f t="shared" si="9"/>
        <v>6</v>
      </c>
      <c r="C11" s="20" t="s">
        <v>24</v>
      </c>
      <c r="D11" s="20" t="s">
        <v>25</v>
      </c>
      <c r="E11" s="21" t="s">
        <v>19</v>
      </c>
      <c r="F11" s="21">
        <v>1</v>
      </c>
      <c r="G11" s="61"/>
      <c r="H11" s="61"/>
      <c r="I11" s="61"/>
      <c r="J11" s="61"/>
      <c r="K11" s="17"/>
      <c r="L11" s="18"/>
      <c r="M11" s="81"/>
      <c r="N11" s="17" t="str">
        <f>IFERROR(STDEV(G11),"")</f>
        <v/>
      </c>
      <c r="O11" s="32" t="str">
        <f t="shared" si="2"/>
        <v/>
      </c>
      <c r="Q11" s="58">
        <v>3</v>
      </c>
      <c r="R11" s="112" t="e">
        <f>1-(MIN(G11:J11)/K11)</f>
        <v>#DIV/0!</v>
      </c>
    </row>
    <row r="12" spans="2:18" ht="20.45">
      <c r="B12" s="31">
        <f t="shared" si="9"/>
        <v>7</v>
      </c>
      <c r="C12" s="20" t="s">
        <v>24</v>
      </c>
      <c r="D12" s="20" t="s">
        <v>26</v>
      </c>
      <c r="E12" s="21" t="s">
        <v>19</v>
      </c>
      <c r="F12" s="21">
        <v>1</v>
      </c>
      <c r="G12" s="61">
        <v>0</v>
      </c>
      <c r="H12" s="61">
        <v>0</v>
      </c>
      <c r="I12" s="61">
        <v>0</v>
      </c>
      <c r="J12" s="61">
        <v>0</v>
      </c>
      <c r="K12" s="17">
        <f>IFERROR(IF(O12&gt;(0.15),ROUND(MEDIAN(G12:J12),0),ROUND(AVERAGE(G12:J12),0)),"")</f>
        <v>0</v>
      </c>
      <c r="L12" s="18">
        <f t="shared" si="0"/>
        <v>0</v>
      </c>
      <c r="M12" s="81"/>
      <c r="N12" s="17">
        <f t="shared" si="1"/>
        <v>0</v>
      </c>
      <c r="O12" s="32" t="str">
        <f t="shared" si="2"/>
        <v/>
      </c>
      <c r="Q12" s="58">
        <v>3</v>
      </c>
      <c r="R12" s="112" t="e">
        <f t="shared" si="3"/>
        <v>#DIV/0!</v>
      </c>
    </row>
    <row r="13" spans="2:18" ht="20.45">
      <c r="B13" s="31">
        <f t="shared" si="9"/>
        <v>8</v>
      </c>
      <c r="C13" s="20" t="s">
        <v>24</v>
      </c>
      <c r="D13" s="20" t="s">
        <v>27</v>
      </c>
      <c r="E13" s="21" t="s">
        <v>19</v>
      </c>
      <c r="F13" s="21">
        <v>1</v>
      </c>
      <c r="G13" s="61">
        <v>8000</v>
      </c>
      <c r="H13" s="61">
        <v>5000</v>
      </c>
      <c r="I13" s="61">
        <v>6000</v>
      </c>
      <c r="J13" s="61">
        <v>7000</v>
      </c>
      <c r="K13" s="17">
        <f t="shared" ref="K13:K21" si="10">IFERROR(IF(O13&gt;(0.15),ROUND(MEDIAN(G13:J13),0),ROUND(AVERAGE(G13:J13),0)),"")</f>
        <v>6500</v>
      </c>
      <c r="L13" s="18">
        <f t="shared" si="0"/>
        <v>6500</v>
      </c>
      <c r="M13" s="81"/>
      <c r="N13" s="17">
        <f t="shared" si="1"/>
        <v>1290.9944487358057</v>
      </c>
      <c r="O13" s="32">
        <f t="shared" si="2"/>
        <v>0.19861453057473935</v>
      </c>
      <c r="Q13" s="58">
        <v>3</v>
      </c>
      <c r="R13" s="112">
        <f t="shared" si="3"/>
        <v>0.23076923076923073</v>
      </c>
    </row>
    <row r="14" spans="2:18" ht="20.45">
      <c r="B14" s="31">
        <f t="shared" si="9"/>
        <v>9</v>
      </c>
      <c r="C14" s="20" t="s">
        <v>24</v>
      </c>
      <c r="D14" s="20" t="s">
        <v>27</v>
      </c>
      <c r="E14" s="21" t="s">
        <v>19</v>
      </c>
      <c r="F14" s="21">
        <v>1</v>
      </c>
      <c r="G14" s="61">
        <v>8000</v>
      </c>
      <c r="H14" s="61">
        <v>5000</v>
      </c>
      <c r="I14" s="61">
        <v>6000</v>
      </c>
      <c r="J14" s="61">
        <v>7000</v>
      </c>
      <c r="K14" s="17">
        <f t="shared" si="10"/>
        <v>6500</v>
      </c>
      <c r="L14" s="18">
        <f t="shared" si="0"/>
        <v>6500</v>
      </c>
      <c r="M14" s="81"/>
      <c r="N14" s="17">
        <f t="shared" si="1"/>
        <v>1290.9944487358057</v>
      </c>
      <c r="O14" s="32">
        <f t="shared" si="2"/>
        <v>0.19861453057473935</v>
      </c>
      <c r="Q14" s="58">
        <v>3</v>
      </c>
      <c r="R14" s="112">
        <f t="shared" ref="R14:R21" si="11">1-(MIN(G14:J14)/K14)</f>
        <v>0.23076923076923073</v>
      </c>
    </row>
    <row r="15" spans="2:18">
      <c r="B15" s="31">
        <f t="shared" si="9"/>
        <v>10</v>
      </c>
      <c r="C15" s="20" t="s">
        <v>24</v>
      </c>
      <c r="D15" s="20" t="s">
        <v>28</v>
      </c>
      <c r="E15" s="21" t="s">
        <v>19</v>
      </c>
      <c r="F15" s="21">
        <v>1</v>
      </c>
      <c r="G15" s="61">
        <v>8000</v>
      </c>
      <c r="H15" s="61">
        <v>5000</v>
      </c>
      <c r="I15" s="61">
        <v>6000</v>
      </c>
      <c r="J15" s="61">
        <v>7000</v>
      </c>
      <c r="K15" s="17">
        <f t="shared" si="10"/>
        <v>6500</v>
      </c>
      <c r="L15" s="18">
        <f t="shared" si="0"/>
        <v>6500</v>
      </c>
      <c r="M15" s="81"/>
      <c r="N15" s="17">
        <f t="shared" si="1"/>
        <v>1290.9944487358057</v>
      </c>
      <c r="O15" s="32">
        <f t="shared" si="2"/>
        <v>0.19861453057473935</v>
      </c>
      <c r="Q15" s="58">
        <v>3</v>
      </c>
      <c r="R15" s="112">
        <f t="shared" si="11"/>
        <v>0.23076923076923073</v>
      </c>
    </row>
    <row r="16" spans="2:18">
      <c r="B16" s="31">
        <f t="shared" si="9"/>
        <v>11</v>
      </c>
      <c r="C16" s="20" t="s">
        <v>24</v>
      </c>
      <c r="D16" s="20" t="s">
        <v>29</v>
      </c>
      <c r="E16" s="21" t="s">
        <v>19</v>
      </c>
      <c r="F16" s="21">
        <v>1</v>
      </c>
      <c r="G16" s="61">
        <v>8000</v>
      </c>
      <c r="H16" s="61">
        <v>5000</v>
      </c>
      <c r="I16" s="61">
        <v>6000</v>
      </c>
      <c r="J16" s="61">
        <v>7000</v>
      </c>
      <c r="K16" s="17">
        <f t="shared" si="10"/>
        <v>6500</v>
      </c>
      <c r="L16" s="18">
        <f t="shared" si="0"/>
        <v>6500</v>
      </c>
      <c r="M16" s="81"/>
      <c r="N16" s="17">
        <f t="shared" si="1"/>
        <v>1290.9944487358057</v>
      </c>
      <c r="O16" s="32">
        <f t="shared" si="2"/>
        <v>0.19861453057473935</v>
      </c>
      <c r="Q16" s="58">
        <v>3</v>
      </c>
      <c r="R16" s="112">
        <f t="shared" si="11"/>
        <v>0.23076923076923073</v>
      </c>
    </row>
    <row r="17" spans="2:18" ht="20.45">
      <c r="B17" s="31">
        <f t="shared" si="9"/>
        <v>12</v>
      </c>
      <c r="C17" s="20" t="s">
        <v>24</v>
      </c>
      <c r="D17" s="20" t="s">
        <v>30</v>
      </c>
      <c r="E17" s="21" t="s">
        <v>19</v>
      </c>
      <c r="F17" s="21">
        <v>1</v>
      </c>
      <c r="G17" s="61">
        <v>8000</v>
      </c>
      <c r="H17" s="61">
        <v>5000</v>
      </c>
      <c r="I17" s="61">
        <v>6000</v>
      </c>
      <c r="J17" s="61">
        <v>7000</v>
      </c>
      <c r="K17" s="17">
        <f t="shared" si="10"/>
        <v>6500</v>
      </c>
      <c r="L17" s="18">
        <f t="shared" si="0"/>
        <v>6500</v>
      </c>
      <c r="M17" s="81"/>
      <c r="N17" s="17">
        <f t="shared" si="1"/>
        <v>1290.9944487358057</v>
      </c>
      <c r="O17" s="32">
        <f t="shared" si="2"/>
        <v>0.19861453057473935</v>
      </c>
      <c r="Q17" s="58">
        <v>3</v>
      </c>
      <c r="R17" s="112">
        <f t="shared" si="11"/>
        <v>0.23076923076923073</v>
      </c>
    </row>
    <row r="18" spans="2:18" ht="20.45">
      <c r="B18" s="31">
        <f t="shared" si="9"/>
        <v>13</v>
      </c>
      <c r="C18" s="20" t="s">
        <v>24</v>
      </c>
      <c r="D18" s="20" t="s">
        <v>31</v>
      </c>
      <c r="E18" s="21" t="s">
        <v>19</v>
      </c>
      <c r="F18" s="21">
        <v>1</v>
      </c>
      <c r="G18" s="61">
        <v>8000</v>
      </c>
      <c r="H18" s="61">
        <v>5000</v>
      </c>
      <c r="I18" s="61">
        <v>6000</v>
      </c>
      <c r="J18" s="61">
        <v>7000</v>
      </c>
      <c r="K18" s="17">
        <f t="shared" si="10"/>
        <v>6500</v>
      </c>
      <c r="L18" s="18">
        <f t="shared" si="0"/>
        <v>6500</v>
      </c>
      <c r="M18" s="81"/>
      <c r="N18" s="17">
        <f t="shared" si="1"/>
        <v>1290.9944487358057</v>
      </c>
      <c r="O18" s="32">
        <f t="shared" si="2"/>
        <v>0.19861453057473935</v>
      </c>
      <c r="Q18" s="58">
        <v>3</v>
      </c>
      <c r="R18" s="112">
        <f t="shared" si="11"/>
        <v>0.23076923076923073</v>
      </c>
    </row>
    <row r="19" spans="2:18" ht="20.45">
      <c r="B19" s="31">
        <f t="shared" si="9"/>
        <v>14</v>
      </c>
      <c r="C19" s="20" t="s">
        <v>24</v>
      </c>
      <c r="D19" s="20" t="s">
        <v>32</v>
      </c>
      <c r="E19" s="21" t="s">
        <v>19</v>
      </c>
      <c r="F19" s="21">
        <v>1</v>
      </c>
      <c r="G19" s="61">
        <v>8000</v>
      </c>
      <c r="H19" s="61">
        <v>5000</v>
      </c>
      <c r="I19" s="61">
        <v>6000</v>
      </c>
      <c r="J19" s="61">
        <v>7000</v>
      </c>
      <c r="K19" s="17">
        <f t="shared" si="10"/>
        <v>6500</v>
      </c>
      <c r="L19" s="18">
        <f t="shared" si="0"/>
        <v>6500</v>
      </c>
      <c r="M19" s="81"/>
      <c r="N19" s="17">
        <f t="shared" si="1"/>
        <v>1290.9944487358057</v>
      </c>
      <c r="O19" s="32">
        <f t="shared" si="2"/>
        <v>0.19861453057473935</v>
      </c>
      <c r="Q19" s="58">
        <v>3</v>
      </c>
      <c r="R19" s="112">
        <f t="shared" si="11"/>
        <v>0.23076923076923073</v>
      </c>
    </row>
    <row r="20" spans="2:18">
      <c r="B20" s="31">
        <f t="shared" si="9"/>
        <v>15</v>
      </c>
      <c r="C20" s="20" t="s">
        <v>24</v>
      </c>
      <c r="D20" s="20" t="s">
        <v>33</v>
      </c>
      <c r="E20" s="21" t="s">
        <v>19</v>
      </c>
      <c r="F20" s="21">
        <v>1</v>
      </c>
      <c r="G20" s="61">
        <v>8000</v>
      </c>
      <c r="H20" s="61">
        <v>5000</v>
      </c>
      <c r="I20" s="61">
        <v>6000</v>
      </c>
      <c r="J20" s="61">
        <v>7000</v>
      </c>
      <c r="K20" s="17">
        <f t="shared" si="10"/>
        <v>6500</v>
      </c>
      <c r="L20" s="18">
        <f t="shared" si="0"/>
        <v>6500</v>
      </c>
      <c r="M20" s="81"/>
      <c r="N20" s="17">
        <f t="shared" si="1"/>
        <v>1290.9944487358057</v>
      </c>
      <c r="O20" s="32">
        <f t="shared" si="2"/>
        <v>0.19861453057473935</v>
      </c>
      <c r="Q20" s="58">
        <v>3</v>
      </c>
      <c r="R20" s="112">
        <f t="shared" si="11"/>
        <v>0.23076923076923073</v>
      </c>
    </row>
    <row r="21" spans="2:18" ht="20.45">
      <c r="B21" s="31">
        <f t="shared" si="9"/>
        <v>16</v>
      </c>
      <c r="C21" s="20" t="s">
        <v>24</v>
      </c>
      <c r="D21" s="20" t="s">
        <v>34</v>
      </c>
      <c r="E21" s="21" t="s">
        <v>19</v>
      </c>
      <c r="F21" s="21">
        <v>1</v>
      </c>
      <c r="G21" s="61">
        <v>8000</v>
      </c>
      <c r="H21" s="61">
        <v>5000</v>
      </c>
      <c r="I21" s="61">
        <v>6000</v>
      </c>
      <c r="J21" s="61">
        <v>7000</v>
      </c>
      <c r="K21" s="17">
        <f t="shared" si="10"/>
        <v>6500</v>
      </c>
      <c r="L21" s="18">
        <f t="shared" si="0"/>
        <v>6500</v>
      </c>
      <c r="M21" s="81"/>
      <c r="N21" s="17">
        <f t="shared" si="1"/>
        <v>1290.9944487358057</v>
      </c>
      <c r="O21" s="32">
        <f t="shared" si="2"/>
        <v>0.19861453057473935</v>
      </c>
      <c r="Q21" s="58">
        <v>3</v>
      </c>
      <c r="R21" s="112">
        <f t="shared" si="11"/>
        <v>0.23076923076923073</v>
      </c>
    </row>
    <row r="22" spans="2:18" ht="15" thickBot="1">
      <c r="B22" s="79"/>
      <c r="C22" s="79"/>
      <c r="D22" s="79"/>
      <c r="E22" s="80"/>
      <c r="F22" s="22" t="s">
        <v>35</v>
      </c>
      <c r="G22" s="23" t="e">
        <f>SUMPRODUCT($F$6:$F$21,G6:G21)</f>
        <v>#REF!</v>
      </c>
      <c r="H22" s="23">
        <f t="shared" ref="H22:L22" si="12">SUMPRODUCT($F$6:$F$21,H6:H21)</f>
        <v>45000</v>
      </c>
      <c r="I22" s="23">
        <f t="shared" si="12"/>
        <v>54000</v>
      </c>
      <c r="J22" s="23">
        <f t="shared" si="12"/>
        <v>63000</v>
      </c>
      <c r="K22" s="23">
        <f t="shared" si="12"/>
        <v>58500</v>
      </c>
      <c r="L22" s="23">
        <f t="shared" si="12"/>
        <v>58500</v>
      </c>
      <c r="M22" s="19"/>
      <c r="N22" s="19"/>
    </row>
    <row r="23" spans="2:18">
      <c r="G23" s="9"/>
      <c r="H23" s="9"/>
      <c r="I23" s="9"/>
      <c r="J23" s="9"/>
      <c r="K23" s="9"/>
    </row>
    <row r="24" spans="2:18">
      <c r="I24" s="9"/>
    </row>
    <row r="25" spans="2:18">
      <c r="C25" s="62"/>
      <c r="D25" s="1"/>
      <c r="F25" s="72"/>
      <c r="G25" s="66"/>
      <c r="H25" s="66"/>
      <c r="I25" s="9"/>
    </row>
    <row r="26" spans="2:18">
      <c r="G26" s="9"/>
      <c r="H26" s="9"/>
      <c r="I26" s="9"/>
    </row>
    <row r="27" spans="2:18">
      <c r="I27" s="9"/>
    </row>
    <row r="28" spans="2:18">
      <c r="G28" s="9"/>
      <c r="H28" s="9"/>
      <c r="I28" s="9"/>
    </row>
    <row r="29" spans="2:18">
      <c r="G29" s="9"/>
      <c r="H29" s="9"/>
      <c r="I29" s="9"/>
    </row>
    <row r="30" spans="2:18">
      <c r="G30" s="9"/>
      <c r="H30" s="9"/>
      <c r="I30" s="9"/>
    </row>
    <row r="31" spans="2:18">
      <c r="G31" s="9"/>
      <c r="H31" s="9"/>
      <c r="I31" s="9"/>
    </row>
    <row r="32" spans="2:18">
      <c r="G32" s="9"/>
      <c r="H32" s="9"/>
      <c r="I32" s="9"/>
    </row>
    <row r="33" spans="7:9">
      <c r="G33" s="9"/>
      <c r="H33" s="9"/>
      <c r="I33" s="9"/>
    </row>
    <row r="34" spans="7:9">
      <c r="G34" s="9"/>
      <c r="H34" s="9"/>
      <c r="I34" s="9"/>
    </row>
    <row r="35" spans="7:9">
      <c r="G35" s="9"/>
      <c r="H35" s="9"/>
      <c r="I35" s="9"/>
    </row>
    <row r="36" spans="7:9">
      <c r="G36" s="9"/>
      <c r="H36" s="9"/>
      <c r="I36" s="9"/>
    </row>
    <row r="37" spans="7:9">
      <c r="G37" s="9"/>
      <c r="H37" s="9"/>
      <c r="I37" s="9"/>
    </row>
    <row r="38" spans="7:9">
      <c r="G38" s="9"/>
      <c r="H38" s="9"/>
      <c r="I38" s="9"/>
    </row>
    <row r="39" spans="7:9">
      <c r="G39" s="9"/>
      <c r="H39" s="9"/>
      <c r="I39" s="9"/>
    </row>
    <row r="40" spans="7:9">
      <c r="G40" s="9"/>
      <c r="H40" s="9"/>
      <c r="I40" s="9"/>
    </row>
    <row r="41" spans="7:9">
      <c r="G41" s="9"/>
      <c r="H41" s="9"/>
      <c r="I41" s="9"/>
    </row>
    <row r="42" spans="7:9">
      <c r="G42" s="9"/>
      <c r="H42" s="9"/>
      <c r="I42" s="9"/>
    </row>
    <row r="43" spans="7:9">
      <c r="I43" s="9"/>
    </row>
    <row r="44" spans="7:9">
      <c r="I44" s="9"/>
    </row>
    <row r="45" spans="7:9">
      <c r="I45" s="9"/>
    </row>
    <row r="46" spans="7:9">
      <c r="I46" s="9"/>
    </row>
    <row r="47" spans="7:9">
      <c r="I47" s="9"/>
    </row>
    <row r="48" spans="7:9">
      <c r="I48" s="9"/>
    </row>
    <row r="49" spans="9:34">
      <c r="I49" s="9"/>
    </row>
    <row r="50" spans="9:34">
      <c r="I50" s="9"/>
    </row>
    <row r="51" spans="9:34">
      <c r="I51" s="9"/>
    </row>
    <row r="52" spans="9:34">
      <c r="I52" s="9"/>
    </row>
    <row r="55" spans="9:34">
      <c r="I55" s="9"/>
      <c r="J55" s="9"/>
      <c r="K55" s="9"/>
      <c r="L55" s="9"/>
      <c r="M55" s="9"/>
      <c r="N55" s="9"/>
      <c r="O55" s="9"/>
      <c r="P55" s="9"/>
      <c r="Q55" s="9"/>
      <c r="R55" s="9"/>
      <c r="S55" s="9"/>
      <c r="T55" s="9"/>
      <c r="U55" s="9"/>
      <c r="V55" s="9"/>
      <c r="W55" s="9"/>
      <c r="X55" s="9"/>
      <c r="Y55" s="9"/>
      <c r="Z55" s="9"/>
      <c r="AA55" s="9"/>
      <c r="AB55" s="9"/>
      <c r="AC55" s="9"/>
      <c r="AD55" s="9"/>
      <c r="AE55" s="9"/>
      <c r="AF55" s="9"/>
      <c r="AG55" s="9"/>
      <c r="AH55" s="9"/>
    </row>
  </sheetData>
  <autoFilter ref="B5:Q6" xr:uid="{00000000-0009-0000-0000-000000000000}"/>
  <mergeCells count="1">
    <mergeCell ref="B2:O2"/>
  </mergeCells>
  <phoneticPr fontId="28" type="noConversion"/>
  <conditionalFormatting sqref="D5">
    <cfRule type="duplicateValues" dxfId="11" priority="258"/>
  </conditionalFormatting>
  <conditionalFormatting sqref="O6:O21">
    <cfRule type="cellIs" dxfId="10" priority="250" operator="greaterThan">
      <formula>0.15</formula>
    </cfRule>
  </conditionalFormatting>
  <pageMargins left="0.7" right="0.7" top="0.75" bottom="0.75" header="0.3" footer="0.3"/>
  <pageSetup paperSize="9" scale="3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3"/>
    <pageSetUpPr fitToPage="1"/>
  </sheetPr>
  <dimension ref="A1:P27"/>
  <sheetViews>
    <sheetView showGridLines="0" topLeftCell="A11" zoomScaleNormal="100" workbookViewId="0">
      <selection activeCell="F6" sqref="F6"/>
    </sheetView>
  </sheetViews>
  <sheetFormatPr defaultColWidth="0" defaultRowHeight="15" customHeight="1"/>
  <cols>
    <col min="1" max="1" width="9" customWidth="1"/>
    <col min="2" max="2" width="5" customWidth="1"/>
    <col min="3" max="3" width="21.5703125" customWidth="1"/>
    <col min="4" max="4" width="36.5703125" customWidth="1"/>
    <col min="5" max="5" width="10.7109375" bestFit="1" customWidth="1"/>
    <col min="6" max="6" width="10.42578125" customWidth="1"/>
    <col min="7" max="7" width="15" bestFit="1" customWidth="1"/>
    <col min="8" max="8" width="14.140625" bestFit="1" customWidth="1"/>
    <col min="9" max="9" width="9.7109375" customWidth="1"/>
    <col min="10" max="10" width="11" customWidth="1"/>
    <col min="11" max="11" width="16.28515625" customWidth="1"/>
    <col min="12" max="12" width="11.42578125" customWidth="1"/>
    <col min="13" max="16" width="0" hidden="1" customWidth="1"/>
    <col min="17" max="16384" width="11.42578125" hidden="1"/>
  </cols>
  <sheetData>
    <row r="1" spans="1:11" ht="15" customHeight="1">
      <c r="A1" s="217"/>
      <c r="B1" s="217"/>
      <c r="C1" s="217"/>
      <c r="D1" s="217"/>
      <c r="E1" s="217"/>
      <c r="F1" s="217"/>
      <c r="G1" s="217"/>
      <c r="H1" s="217"/>
      <c r="I1" s="217"/>
      <c r="J1" s="217"/>
      <c r="K1" s="217"/>
    </row>
    <row r="2" spans="1:11" ht="15" customHeight="1">
      <c r="A2" s="217"/>
      <c r="B2" s="217"/>
      <c r="C2" s="217"/>
      <c r="D2" s="217"/>
      <c r="E2" s="217"/>
      <c r="F2" s="217"/>
      <c r="G2" s="217"/>
      <c r="H2" s="217"/>
      <c r="I2" s="217"/>
      <c r="J2" s="217"/>
      <c r="K2" s="217"/>
    </row>
    <row r="3" spans="1:11" ht="18">
      <c r="A3" s="217"/>
      <c r="B3" s="418" t="s">
        <v>36</v>
      </c>
      <c r="C3" s="418"/>
      <c r="D3" s="418"/>
      <c r="E3" s="418"/>
      <c r="F3" s="418"/>
      <c r="G3" s="418"/>
      <c r="H3" s="418"/>
      <c r="I3" s="418"/>
      <c r="J3" s="116"/>
      <c r="K3" s="116"/>
    </row>
    <row r="4" spans="1:11" ht="28.9" customHeight="1" thickBot="1">
      <c r="A4" s="217"/>
      <c r="B4" s="419" t="s">
        <v>37</v>
      </c>
      <c r="C4" s="419"/>
      <c r="D4" s="419"/>
      <c r="E4" s="419"/>
      <c r="F4" s="419"/>
      <c r="G4" s="419"/>
      <c r="H4" s="419"/>
      <c r="I4" s="419"/>
      <c r="J4" s="218"/>
      <c r="K4" s="218"/>
    </row>
    <row r="5" spans="1:11" ht="50.25" customHeight="1" thickBot="1">
      <c r="A5" s="217"/>
      <c r="B5" s="241" t="s">
        <v>1</v>
      </c>
      <c r="C5" s="244" t="s">
        <v>2</v>
      </c>
      <c r="D5" s="219" t="s">
        <v>3</v>
      </c>
      <c r="E5" s="219" t="s">
        <v>4</v>
      </c>
      <c r="F5" s="220" t="s">
        <v>5</v>
      </c>
      <c r="G5" s="221" t="s">
        <v>38</v>
      </c>
      <c r="H5" s="221" t="s">
        <v>38</v>
      </c>
      <c r="I5" s="222"/>
      <c r="J5" s="223"/>
      <c r="K5" s="223"/>
    </row>
    <row r="6" spans="1:11" ht="28.9">
      <c r="A6" s="217"/>
      <c r="B6" s="234">
        <v>1</v>
      </c>
      <c r="C6" s="235" t="s">
        <v>39</v>
      </c>
      <c r="D6" s="235" t="s">
        <v>25</v>
      </c>
      <c r="E6" s="235" t="s">
        <v>19</v>
      </c>
      <c r="F6" s="235">
        <v>1</v>
      </c>
      <c r="G6" s="242">
        <f>+CosteoIndividual!L11</f>
        <v>0</v>
      </c>
      <c r="H6" s="243">
        <f>+F6*G6</f>
        <v>0</v>
      </c>
      <c r="I6" s="224"/>
      <c r="J6" s="225"/>
      <c r="K6" s="225"/>
    </row>
    <row r="7" spans="1:11" ht="28.9">
      <c r="A7" s="217"/>
      <c r="B7" s="226">
        <f>+B6+1</f>
        <v>2</v>
      </c>
      <c r="C7" s="227" t="s">
        <v>40</v>
      </c>
      <c r="D7" s="227" t="s">
        <v>26</v>
      </c>
      <c r="E7" s="227" t="s">
        <v>19</v>
      </c>
      <c r="F7" s="227">
        <v>2</v>
      </c>
      <c r="G7" s="237">
        <f>+CosteoIndividual!L12</f>
        <v>0</v>
      </c>
      <c r="H7" s="238">
        <f>+F7*G7</f>
        <v>0</v>
      </c>
      <c r="I7" s="224"/>
      <c r="J7" s="225"/>
      <c r="K7" s="225"/>
    </row>
    <row r="8" spans="1:11" ht="43.15">
      <c r="A8" s="217"/>
      <c r="B8" s="226">
        <f>+B7+1</f>
        <v>3</v>
      </c>
      <c r="C8" s="227" t="s">
        <v>41</v>
      </c>
      <c r="D8" s="227" t="s">
        <v>27</v>
      </c>
      <c r="E8" s="227" t="s">
        <v>19</v>
      </c>
      <c r="F8" s="227">
        <v>6</v>
      </c>
      <c r="G8" s="237">
        <f>+CosteoIndividual!L13</f>
        <v>6500</v>
      </c>
      <c r="H8" s="238">
        <f t="shared" ref="H8:H16" si="0">+F8*G8</f>
        <v>39000</v>
      </c>
      <c r="I8" s="224"/>
      <c r="J8" s="225"/>
      <c r="K8" s="225"/>
    </row>
    <row r="9" spans="1:11" ht="57.75" customHeight="1">
      <c r="A9" s="217"/>
      <c r="B9" s="226">
        <v>4</v>
      </c>
      <c r="C9" s="227" t="s">
        <v>41</v>
      </c>
      <c r="D9" s="227" t="s">
        <v>27</v>
      </c>
      <c r="E9" s="227" t="s">
        <v>19</v>
      </c>
      <c r="F9" s="227">
        <v>4</v>
      </c>
      <c r="G9" s="237">
        <f>+CosteoIndividual!L14</f>
        <v>6500</v>
      </c>
      <c r="H9" s="238">
        <f t="shared" si="0"/>
        <v>26000</v>
      </c>
      <c r="I9" s="224"/>
      <c r="J9" s="225"/>
      <c r="K9" s="225"/>
    </row>
    <row r="10" spans="1:11" ht="97.5" customHeight="1">
      <c r="A10" s="217"/>
      <c r="B10" s="226">
        <f>+B9+1</f>
        <v>5</v>
      </c>
      <c r="C10" s="227" t="s">
        <v>42</v>
      </c>
      <c r="D10" s="227" t="s">
        <v>28</v>
      </c>
      <c r="E10" s="227" t="s">
        <v>19</v>
      </c>
      <c r="F10" s="227">
        <v>6</v>
      </c>
      <c r="G10" s="237">
        <f>+CosteoIndividual!L15</f>
        <v>6500</v>
      </c>
      <c r="H10" s="238">
        <f t="shared" si="0"/>
        <v>39000</v>
      </c>
      <c r="I10" s="224"/>
      <c r="J10" s="225"/>
      <c r="K10" s="225"/>
    </row>
    <row r="11" spans="1:11" ht="82.5" customHeight="1">
      <c r="A11" s="217"/>
      <c r="B11" s="226">
        <f t="shared" ref="B11:B16" si="1">+B10+1</f>
        <v>6</v>
      </c>
      <c r="C11" s="227" t="s">
        <v>43</v>
      </c>
      <c r="D11" s="227" t="s">
        <v>29</v>
      </c>
      <c r="E11" s="227" t="s">
        <v>19</v>
      </c>
      <c r="F11" s="227">
        <v>1</v>
      </c>
      <c r="G11" s="237">
        <f>+CosteoIndividual!L16</f>
        <v>6500</v>
      </c>
      <c r="H11" s="238">
        <f t="shared" si="0"/>
        <v>6500</v>
      </c>
      <c r="I11" s="224"/>
      <c r="J11" s="225"/>
      <c r="K11" s="225"/>
    </row>
    <row r="12" spans="1:11" ht="71.25" customHeight="1">
      <c r="A12" s="217"/>
      <c r="B12" s="226">
        <f t="shared" si="1"/>
        <v>7</v>
      </c>
      <c r="C12" s="227" t="s">
        <v>44</v>
      </c>
      <c r="D12" s="227" t="s">
        <v>30</v>
      </c>
      <c r="E12" s="227" t="s">
        <v>19</v>
      </c>
      <c r="F12" s="227">
        <v>2</v>
      </c>
      <c r="G12" s="237">
        <f>+CosteoIndividual!L17</f>
        <v>6500</v>
      </c>
      <c r="H12" s="238">
        <f t="shared" si="0"/>
        <v>13000</v>
      </c>
      <c r="I12" s="224"/>
      <c r="J12" s="225"/>
      <c r="K12" s="225"/>
    </row>
    <row r="13" spans="1:11" ht="75" customHeight="1">
      <c r="A13" s="217"/>
      <c r="B13" s="226">
        <f t="shared" si="1"/>
        <v>8</v>
      </c>
      <c r="C13" s="227" t="s">
        <v>45</v>
      </c>
      <c r="D13" s="227" t="s">
        <v>31</v>
      </c>
      <c r="E13" s="227" t="s">
        <v>19</v>
      </c>
      <c r="F13" s="227">
        <v>2</v>
      </c>
      <c r="G13" s="237">
        <f>+CosteoIndividual!L18</f>
        <v>6500</v>
      </c>
      <c r="H13" s="238">
        <f t="shared" si="0"/>
        <v>13000</v>
      </c>
      <c r="I13" s="224"/>
      <c r="J13" s="225"/>
      <c r="K13" s="225"/>
    </row>
    <row r="14" spans="1:11" ht="67.5" customHeight="1">
      <c r="A14" s="217"/>
      <c r="B14" s="226">
        <f t="shared" si="1"/>
        <v>9</v>
      </c>
      <c r="C14" s="227" t="s">
        <v>46</v>
      </c>
      <c r="D14" s="227" t="s">
        <v>32</v>
      </c>
      <c r="E14" s="227" t="s">
        <v>19</v>
      </c>
      <c r="F14" s="227">
        <v>2</v>
      </c>
      <c r="G14" s="237">
        <f>+CosteoIndividual!L19</f>
        <v>6500</v>
      </c>
      <c r="H14" s="238">
        <f t="shared" si="0"/>
        <v>13000</v>
      </c>
      <c r="I14" s="224"/>
      <c r="J14" s="225"/>
      <c r="K14" s="225"/>
    </row>
    <row r="15" spans="1:11" ht="70.5" customHeight="1">
      <c r="A15" s="217"/>
      <c r="B15" s="226">
        <f t="shared" si="1"/>
        <v>10</v>
      </c>
      <c r="C15" s="227" t="s">
        <v>47</v>
      </c>
      <c r="D15" s="227" t="s">
        <v>33</v>
      </c>
      <c r="E15" s="227" t="s">
        <v>19</v>
      </c>
      <c r="F15" s="227">
        <v>2</v>
      </c>
      <c r="G15" s="237">
        <f>+CosteoIndividual!L20</f>
        <v>6500</v>
      </c>
      <c r="H15" s="238">
        <f t="shared" si="0"/>
        <v>13000</v>
      </c>
      <c r="I15" s="224"/>
      <c r="J15" s="225"/>
      <c r="K15" s="225"/>
    </row>
    <row r="16" spans="1:11" ht="84" customHeight="1" thickBot="1">
      <c r="A16" s="217"/>
      <c r="B16" s="236">
        <f t="shared" si="1"/>
        <v>11</v>
      </c>
      <c r="C16" s="228" t="s">
        <v>48</v>
      </c>
      <c r="D16" s="228" t="s">
        <v>34</v>
      </c>
      <c r="E16" s="228" t="s">
        <v>19</v>
      </c>
      <c r="F16" s="228">
        <v>3</v>
      </c>
      <c r="G16" s="239">
        <f>+CosteoIndividual!L21</f>
        <v>6500</v>
      </c>
      <c r="H16" s="240">
        <f t="shared" si="0"/>
        <v>19500</v>
      </c>
      <c r="I16" s="224"/>
      <c r="J16" s="225"/>
      <c r="K16" s="225"/>
    </row>
    <row r="17" spans="1:11" thickBot="1">
      <c r="A17" s="217"/>
      <c r="B17" s="217"/>
      <c r="C17" s="217"/>
      <c r="D17" s="217"/>
      <c r="E17" s="217"/>
      <c r="F17" s="217"/>
      <c r="G17" s="229">
        <f>SUM(G6:G16)</f>
        <v>58500</v>
      </c>
      <c r="H17" s="229">
        <f>SUM(H6:H16)</f>
        <v>182000</v>
      </c>
      <c r="I17" s="224"/>
      <c r="J17" s="230"/>
      <c r="K17" s="231"/>
    </row>
    <row r="18" spans="1:11" ht="14.45">
      <c r="A18" s="217"/>
      <c r="B18" s="217"/>
      <c r="C18" s="217"/>
      <c r="D18" s="217"/>
      <c r="E18" s="217"/>
      <c r="F18" s="217"/>
      <c r="G18" s="232"/>
      <c r="H18" s="232"/>
      <c r="I18" s="232"/>
      <c r="J18" s="217"/>
      <c r="K18" s="232"/>
    </row>
    <row r="19" spans="1:11" ht="14.45">
      <c r="A19" s="217"/>
      <c r="B19" s="217"/>
      <c r="C19" s="217"/>
      <c r="D19" s="217"/>
      <c r="E19" s="217"/>
      <c r="F19" s="217"/>
      <c r="G19" s="232"/>
      <c r="H19" s="232"/>
      <c r="I19" s="232"/>
      <c r="J19" s="217"/>
      <c r="K19" s="232"/>
    </row>
    <row r="20" spans="1:11" ht="14.45">
      <c r="A20" s="217"/>
      <c r="B20" s="217"/>
      <c r="C20" s="217"/>
      <c r="D20" s="217"/>
      <c r="E20" s="217"/>
      <c r="F20" s="217"/>
      <c r="G20" s="217"/>
      <c r="H20" s="217"/>
      <c r="I20" s="217"/>
      <c r="J20" s="233"/>
      <c r="K20" s="233"/>
    </row>
    <row r="21" spans="1:11" ht="14.45">
      <c r="A21" s="217"/>
      <c r="B21" s="217"/>
      <c r="C21" s="217"/>
      <c r="D21" s="217"/>
      <c r="E21" s="217"/>
      <c r="F21" s="217"/>
      <c r="G21" s="217"/>
      <c r="H21" s="217"/>
      <c r="I21" s="217"/>
      <c r="J21" s="217"/>
      <c r="K21" s="217"/>
    </row>
    <row r="22" spans="1:11" ht="14.45">
      <c r="A22" s="217"/>
      <c r="B22" s="217"/>
      <c r="C22" s="217"/>
      <c r="D22" s="217"/>
      <c r="E22" s="217"/>
      <c r="F22" s="217"/>
      <c r="G22" s="217"/>
      <c r="H22" s="217"/>
      <c r="I22" s="217"/>
      <c r="J22" s="217"/>
      <c r="K22" s="217"/>
    </row>
    <row r="23" spans="1:11" ht="14.45">
      <c r="A23" s="217"/>
      <c r="B23" s="217"/>
      <c r="C23" s="217"/>
      <c r="D23" s="217"/>
      <c r="E23" s="217"/>
      <c r="F23" s="217"/>
      <c r="G23" s="217"/>
      <c r="H23" s="217"/>
      <c r="I23" s="217"/>
      <c r="J23" s="217"/>
      <c r="K23" s="217"/>
    </row>
    <row r="24" spans="1:11" ht="15" customHeight="1" thickBot="1"/>
    <row r="25" spans="1:11" ht="15" customHeight="1">
      <c r="G25" s="406" t="s">
        <v>49</v>
      </c>
      <c r="H25" s="409"/>
      <c r="I25" s="410"/>
      <c r="J25" s="411"/>
    </row>
    <row r="26" spans="1:11" ht="15" customHeight="1">
      <c r="G26" s="407"/>
      <c r="H26" s="412"/>
      <c r="I26" s="413"/>
      <c r="J26" s="414"/>
    </row>
    <row r="27" spans="1:11" ht="15" customHeight="1" thickBot="1">
      <c r="G27" s="408"/>
      <c r="H27" s="415"/>
      <c r="I27" s="416"/>
      <c r="J27" s="417"/>
    </row>
  </sheetData>
  <mergeCells count="6">
    <mergeCell ref="G25:G27"/>
    <mergeCell ref="H25:J25"/>
    <mergeCell ref="H26:J26"/>
    <mergeCell ref="H27:J27"/>
    <mergeCell ref="B3:I3"/>
    <mergeCell ref="B4:I4"/>
  </mergeCells>
  <phoneticPr fontId="28" type="noConversion"/>
  <pageMargins left="0.7" right="0.7" top="0.75" bottom="0.75" header="0.3" footer="0.3"/>
  <pageSetup paperSize="9" scale="36"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284D8-D66F-441E-BDA5-89048729C069}">
  <dimension ref="A1:R52"/>
  <sheetViews>
    <sheetView showGridLines="0" topLeftCell="B35" zoomScaleNormal="100" workbookViewId="0">
      <selection activeCell="C43" sqref="C43"/>
    </sheetView>
  </sheetViews>
  <sheetFormatPr defaultColWidth="11.5703125" defaultRowHeight="13.9"/>
  <cols>
    <col min="1" max="1" width="5.28515625" style="245" customWidth="1"/>
    <col min="2" max="2" width="43.28515625" style="245" customWidth="1"/>
    <col min="3" max="3" width="17.5703125" style="245" customWidth="1"/>
    <col min="4" max="4" width="17.28515625" style="245" customWidth="1"/>
    <col min="5" max="5" width="19.42578125" style="245" customWidth="1"/>
    <col min="6" max="6" width="20.42578125" style="245" customWidth="1"/>
    <col min="7" max="7" width="18.85546875" style="245" customWidth="1"/>
    <col min="8" max="8" width="17.28515625" style="245" customWidth="1"/>
    <col min="9" max="9" width="15.42578125" style="245" customWidth="1"/>
    <col min="10" max="12" width="15.28515625" style="245" bestFit="1" customWidth="1"/>
    <col min="13" max="13" width="15.140625" style="245" customWidth="1"/>
    <col min="14" max="14" width="17" style="245" customWidth="1"/>
    <col min="15" max="15" width="5.140625" style="245" customWidth="1"/>
    <col min="16" max="16" width="14.28515625" style="245" hidden="1" customWidth="1"/>
    <col min="17" max="17" width="11.5703125" style="245"/>
    <col min="18" max="18" width="14.42578125" style="245" customWidth="1"/>
    <col min="19" max="19" width="12.85546875" style="245" customWidth="1"/>
    <col min="20" max="16384" width="11.5703125" style="245"/>
  </cols>
  <sheetData>
    <row r="1" spans="1:18">
      <c r="A1" s="424" t="s">
        <v>50</v>
      </c>
      <c r="B1" s="425"/>
      <c r="C1" s="425"/>
      <c r="D1" s="425"/>
      <c r="E1" s="425"/>
      <c r="F1" s="425"/>
      <c r="G1" s="425"/>
      <c r="H1" s="425"/>
      <c r="I1" s="425"/>
      <c r="J1" s="425"/>
      <c r="K1" s="425"/>
      <c r="L1" s="425"/>
      <c r="M1" s="425"/>
      <c r="N1" s="425"/>
      <c r="O1" s="425"/>
      <c r="P1" s="425"/>
      <c r="Q1" s="426"/>
    </row>
    <row r="2" spans="1:18" ht="14.45" thickBot="1">
      <c r="A2" s="427"/>
      <c r="B2" s="428"/>
      <c r="C2" s="428"/>
      <c r="D2" s="428"/>
      <c r="E2" s="428"/>
      <c r="F2" s="428"/>
      <c r="G2" s="428"/>
      <c r="H2" s="428"/>
      <c r="I2" s="428"/>
      <c r="J2" s="428"/>
      <c r="K2" s="428"/>
      <c r="L2" s="428"/>
      <c r="M2" s="428"/>
      <c r="N2" s="428"/>
      <c r="O2" s="428"/>
      <c r="P2" s="428"/>
      <c r="Q2" s="429"/>
    </row>
    <row r="3" spans="1:18">
      <c r="B3" s="420" t="s">
        <v>51</v>
      </c>
      <c r="C3" s="420"/>
      <c r="D3" s="420"/>
      <c r="E3" s="420"/>
      <c r="F3" s="420"/>
      <c r="G3" s="420"/>
      <c r="H3" s="420"/>
      <c r="I3" s="420"/>
      <c r="J3" s="420"/>
      <c r="K3" s="420"/>
      <c r="L3" s="420"/>
      <c r="M3" s="420"/>
      <c r="N3" s="420"/>
    </row>
    <row r="4" spans="1:18">
      <c r="B4" s="421"/>
      <c r="C4" s="421"/>
      <c r="D4" s="421"/>
      <c r="E4" s="421"/>
      <c r="F4" s="421"/>
      <c r="G4" s="421"/>
      <c r="H4" s="421"/>
      <c r="I4" s="421"/>
      <c r="J4" s="421"/>
      <c r="K4" s="421"/>
      <c r="L4" s="421"/>
      <c r="M4" s="421"/>
      <c r="N4" s="421"/>
    </row>
    <row r="5" spans="1:18" ht="18">
      <c r="B5" s="422" t="s">
        <v>52</v>
      </c>
      <c r="C5" s="422"/>
      <c r="D5" s="422"/>
      <c r="E5" s="422"/>
      <c r="F5" s="422"/>
      <c r="G5" s="422"/>
      <c r="H5" s="422"/>
      <c r="I5" s="422"/>
      <c r="J5" s="422"/>
      <c r="K5" s="422"/>
      <c r="L5" s="422"/>
      <c r="M5" s="422"/>
      <c r="N5" s="422"/>
    </row>
    <row r="6" spans="1:18" ht="18">
      <c r="B6" s="247"/>
      <c r="C6" s="247"/>
      <c r="D6" s="247"/>
      <c r="E6" s="247"/>
      <c r="F6" s="247"/>
      <c r="G6" s="247"/>
      <c r="H6" s="247"/>
      <c r="I6" s="247"/>
      <c r="J6" s="247"/>
      <c r="K6" s="247"/>
      <c r="L6" s="247"/>
      <c r="M6" s="247"/>
      <c r="N6" s="247"/>
    </row>
    <row r="7" spans="1:18" ht="34.5" customHeight="1"/>
    <row r="8" spans="1:18">
      <c r="B8" s="248" t="s">
        <v>53</v>
      </c>
      <c r="C8" s="249">
        <v>1750905</v>
      </c>
      <c r="I8" s="430"/>
      <c r="J8" s="430"/>
      <c r="K8" s="430"/>
      <c r="L8" s="430"/>
      <c r="M8" s="430"/>
      <c r="N8" s="430"/>
    </row>
    <row r="9" spans="1:18">
      <c r="B9" s="248" t="s">
        <v>54</v>
      </c>
      <c r="C9" s="250">
        <v>10.210000000000001</v>
      </c>
      <c r="I9" s="430"/>
      <c r="J9" s="430"/>
      <c r="K9" s="430"/>
      <c r="L9" s="430"/>
      <c r="M9" s="430"/>
      <c r="N9" s="430"/>
    </row>
    <row r="10" spans="1:18">
      <c r="B10" s="248" t="s">
        <v>55</v>
      </c>
      <c r="C10" s="251">
        <f>+C8*C9</f>
        <v>17876740.050000001</v>
      </c>
      <c r="I10" s="430"/>
      <c r="J10" s="430"/>
      <c r="K10" s="430"/>
      <c r="L10" s="430"/>
      <c r="M10" s="430"/>
      <c r="N10" s="430"/>
    </row>
    <row r="12" spans="1:18">
      <c r="D12" s="252"/>
      <c r="E12" s="293">
        <v>0.47589999999999999</v>
      </c>
      <c r="F12" s="293">
        <v>0.52410000000000001</v>
      </c>
      <c r="G12" s="294">
        <v>25</v>
      </c>
      <c r="H12" s="252"/>
    </row>
    <row r="13" spans="1:18" ht="41.45">
      <c r="B13" s="253" t="s">
        <v>56</v>
      </c>
      <c r="C13" s="253" t="s">
        <v>57</v>
      </c>
      <c r="D13" s="253" t="s">
        <v>58</v>
      </c>
      <c r="E13" s="253" t="s">
        <v>59</v>
      </c>
      <c r="F13" s="253" t="s">
        <v>59</v>
      </c>
      <c r="G13" s="253" t="s">
        <v>60</v>
      </c>
      <c r="H13" s="253" t="s">
        <v>61</v>
      </c>
      <c r="I13" s="253" t="s">
        <v>62</v>
      </c>
      <c r="J13" s="253" t="s">
        <v>63</v>
      </c>
      <c r="K13" s="253" t="s">
        <v>64</v>
      </c>
      <c r="L13" s="253" t="s">
        <v>65</v>
      </c>
      <c r="M13" s="253" t="s">
        <v>66</v>
      </c>
    </row>
    <row r="14" spans="1:18" ht="41.45">
      <c r="A14" s="431" t="s">
        <v>67</v>
      </c>
      <c r="B14" s="254" t="s">
        <v>18</v>
      </c>
      <c r="C14" s="290">
        <f>+$C$10</f>
        <v>17876740.050000001</v>
      </c>
      <c r="D14" s="284">
        <v>5000</v>
      </c>
      <c r="E14" s="284">
        <f>ROUND((C14*$E$12)+(D14*$E$12),0)</f>
        <v>8509920</v>
      </c>
      <c r="F14" s="284">
        <f>ROUND((C14*$F$12)+(D14*$F$12),0)</f>
        <v>9371820</v>
      </c>
      <c r="G14" s="284">
        <f>((E14+F14)/30)*$G$12</f>
        <v>14901450</v>
      </c>
      <c r="H14" s="256">
        <v>0.08</v>
      </c>
      <c r="I14" s="283">
        <f>G14*H14</f>
        <v>1192116</v>
      </c>
      <c r="J14" s="283">
        <f>G14+I14</f>
        <v>16093566</v>
      </c>
      <c r="K14" s="283">
        <f>ROUND(+J14*10%,0)</f>
        <v>1609357</v>
      </c>
      <c r="L14" s="283">
        <f>ROUND(+K14*19%,0)</f>
        <v>305778</v>
      </c>
      <c r="M14" s="283">
        <f>+J14+K14+L14</f>
        <v>18008701</v>
      </c>
      <c r="R14" s="257"/>
    </row>
    <row r="15" spans="1:18" ht="41.45">
      <c r="A15" s="431"/>
      <c r="B15" s="254" t="s">
        <v>20</v>
      </c>
      <c r="C15" s="290">
        <f t="shared" ref="C15:C16" si="0">+$C$10</f>
        <v>17876740.050000001</v>
      </c>
      <c r="D15" s="284">
        <v>5000</v>
      </c>
      <c r="E15" s="284">
        <f t="shared" ref="E15:E18" si="1">ROUND((C15*$E$12)+(D15*$E$12),0)</f>
        <v>8509920</v>
      </c>
      <c r="F15" s="284">
        <f t="shared" ref="F15:F18" si="2">ROUND((C15*$F$12)+(D15*$F$12),0)</f>
        <v>9371820</v>
      </c>
      <c r="G15" s="284">
        <f t="shared" ref="G15:G18" si="3">((E15+F15)/30)*$G$12</f>
        <v>14901450</v>
      </c>
      <c r="H15" s="256">
        <v>0.1</v>
      </c>
      <c r="I15" s="283">
        <f t="shared" ref="I15:I18" si="4">G15*H15</f>
        <v>1490145</v>
      </c>
      <c r="J15" s="283">
        <f t="shared" ref="J15:J18" si="5">G15+I15</f>
        <v>16391595</v>
      </c>
      <c r="K15" s="283">
        <f t="shared" ref="K15:K18" si="6">ROUND(+J15*10%,0)</f>
        <v>1639160</v>
      </c>
      <c r="L15" s="283">
        <f t="shared" ref="L15:L18" si="7">ROUND(+K15*19%,0)</f>
        <v>311440</v>
      </c>
      <c r="M15" s="283">
        <f t="shared" ref="M15:M18" si="8">+J15+K15+L15</f>
        <v>18342195</v>
      </c>
      <c r="R15" s="257"/>
    </row>
    <row r="16" spans="1:18" ht="41.45">
      <c r="A16" s="431"/>
      <c r="B16" s="254" t="s">
        <v>21</v>
      </c>
      <c r="C16" s="290">
        <f t="shared" si="0"/>
        <v>17876740.050000001</v>
      </c>
      <c r="D16" s="284">
        <v>5000</v>
      </c>
      <c r="E16" s="284">
        <f t="shared" si="1"/>
        <v>8509920</v>
      </c>
      <c r="F16" s="284">
        <f t="shared" si="2"/>
        <v>9371820</v>
      </c>
      <c r="G16" s="284">
        <f t="shared" si="3"/>
        <v>14901450</v>
      </c>
      <c r="H16" s="256">
        <v>0.11</v>
      </c>
      <c r="I16" s="283">
        <f t="shared" si="4"/>
        <v>1639159.5</v>
      </c>
      <c r="J16" s="283">
        <f t="shared" si="5"/>
        <v>16540609.5</v>
      </c>
      <c r="K16" s="283">
        <f t="shared" si="6"/>
        <v>1654061</v>
      </c>
      <c r="L16" s="283">
        <f t="shared" si="7"/>
        <v>314272</v>
      </c>
      <c r="M16" s="283">
        <f t="shared" si="8"/>
        <v>18508942.5</v>
      </c>
      <c r="R16" s="257"/>
    </row>
    <row r="17" spans="1:18" ht="38.25" customHeight="1">
      <c r="B17" s="254" t="s">
        <v>22</v>
      </c>
      <c r="C17" s="290">
        <f>+((((((($C$8*10.21))*47.59%)/30)*20)/13)*12)</f>
        <v>5235409.5937200002</v>
      </c>
      <c r="D17" s="284">
        <v>3000</v>
      </c>
      <c r="E17" s="284">
        <f t="shared" si="1"/>
        <v>2492959</v>
      </c>
      <c r="F17" s="284">
        <f t="shared" si="2"/>
        <v>2745450</v>
      </c>
      <c r="G17" s="284">
        <f t="shared" si="3"/>
        <v>4365340.833333333</v>
      </c>
      <c r="H17" s="256">
        <v>0.08</v>
      </c>
      <c r="I17" s="283">
        <f t="shared" si="4"/>
        <v>349227.26666666666</v>
      </c>
      <c r="J17" s="283">
        <f t="shared" si="5"/>
        <v>4714568.0999999996</v>
      </c>
      <c r="K17" s="283">
        <f t="shared" si="6"/>
        <v>471457</v>
      </c>
      <c r="L17" s="283">
        <f t="shared" si="7"/>
        <v>89577</v>
      </c>
      <c r="M17" s="283">
        <f t="shared" si="8"/>
        <v>5275602.0999999996</v>
      </c>
      <c r="R17" s="257"/>
    </row>
    <row r="18" spans="1:18" ht="45" customHeight="1">
      <c r="B18" s="254" t="s">
        <v>23</v>
      </c>
      <c r="C18" s="290">
        <f>+((((((($C$8*10.21))*47.59%)/30)*24)/13)*12)</f>
        <v>6282491.5124640008</v>
      </c>
      <c r="D18" s="284">
        <v>3000</v>
      </c>
      <c r="E18" s="284">
        <f t="shared" si="1"/>
        <v>2991265</v>
      </c>
      <c r="F18" s="284">
        <f t="shared" si="2"/>
        <v>3294226</v>
      </c>
      <c r="G18" s="284">
        <f t="shared" si="3"/>
        <v>5237909.166666667</v>
      </c>
      <c r="H18" s="256">
        <v>0.08</v>
      </c>
      <c r="I18" s="283">
        <f t="shared" si="4"/>
        <v>419032.7333333334</v>
      </c>
      <c r="J18" s="283">
        <f t="shared" si="5"/>
        <v>5656941.9000000004</v>
      </c>
      <c r="K18" s="283">
        <f t="shared" si="6"/>
        <v>565694</v>
      </c>
      <c r="L18" s="283">
        <f t="shared" si="7"/>
        <v>107482</v>
      </c>
      <c r="M18" s="283">
        <f t="shared" si="8"/>
        <v>6330117.9000000004</v>
      </c>
      <c r="R18" s="258"/>
    </row>
    <row r="19" spans="1:18">
      <c r="B19" s="259"/>
      <c r="C19" s="285"/>
      <c r="D19" s="286">
        <f>+((((((($C$8*10.21))*47.59%)/30)*20)/13)*12)</f>
        <v>5235409.5937200002</v>
      </c>
      <c r="E19" s="286"/>
      <c r="F19" s="286"/>
      <c r="G19" s="284">
        <f t="shared" ref="G19" si="9">((E19+F19)/30)*20</f>
        <v>0</v>
      </c>
      <c r="H19" s="260"/>
      <c r="I19" s="262"/>
      <c r="J19" s="260"/>
      <c r="K19" s="260"/>
      <c r="L19" s="260"/>
      <c r="M19" s="260"/>
      <c r="N19" s="260"/>
      <c r="R19" s="258"/>
    </row>
    <row r="20" spans="1:18">
      <c r="B20" s="259"/>
      <c r="C20" s="260"/>
      <c r="D20" s="260"/>
      <c r="E20" s="260"/>
      <c r="F20" s="260"/>
      <c r="G20" s="260"/>
      <c r="H20" s="260"/>
      <c r="I20" s="262"/>
      <c r="J20" s="260"/>
      <c r="K20" s="260"/>
      <c r="L20" s="260"/>
      <c r="M20" s="260"/>
      <c r="N20" s="260"/>
      <c r="R20" s="258"/>
    </row>
    <row r="21" spans="1:18" hidden="1">
      <c r="B21" s="259"/>
      <c r="C21" s="260">
        <f>+((((((($C$8*9.85))*47.59%)/30)*9)/13)*12)</f>
        <v>2272865.1345899999</v>
      </c>
      <c r="D21" s="261">
        <f>+((((((($C$8*10.21))*47.59%)/30)*11)/13)*12)</f>
        <v>2879475.276546</v>
      </c>
      <c r="E21" s="261"/>
      <c r="F21" s="261"/>
      <c r="G21" s="261"/>
      <c r="H21" s="260"/>
      <c r="I21" s="262"/>
      <c r="J21" s="260"/>
      <c r="K21" s="260"/>
      <c r="L21" s="260"/>
      <c r="M21" s="260"/>
      <c r="N21" s="260"/>
      <c r="R21" s="258"/>
    </row>
    <row r="22" spans="1:18" hidden="1">
      <c r="B22" s="259"/>
      <c r="C22" s="260">
        <f>+((((((($C$8*9.85))*47.59%)/30)*12)/13)*12)</f>
        <v>3030486.8461199999</v>
      </c>
      <c r="D22" s="261">
        <f>+((((((($C$8*10.21))*47.59%)/30)*12)/13)*12)</f>
        <v>3141245.7562320004</v>
      </c>
      <c r="E22" s="261"/>
      <c r="F22" s="261"/>
      <c r="G22" s="261"/>
      <c r="H22" s="260"/>
      <c r="I22" s="262"/>
      <c r="J22" s="260"/>
      <c r="K22" s="260"/>
      <c r="L22" s="260"/>
      <c r="M22" s="260"/>
      <c r="N22" s="260"/>
      <c r="R22" s="258"/>
    </row>
    <row r="23" spans="1:18" hidden="1">
      <c r="D23" s="261">
        <f>+((((((($C$8*10.21))*47.59%)/30)*24)/13)*12)</f>
        <v>6282491.5124640008</v>
      </c>
      <c r="E23" s="261"/>
      <c r="F23" s="261"/>
      <c r="G23" s="261"/>
    </row>
    <row r="24" spans="1:18" ht="14.45" thickBot="1"/>
    <row r="25" spans="1:18">
      <c r="A25" s="424" t="s">
        <v>68</v>
      </c>
      <c r="B25" s="425"/>
      <c r="C25" s="425"/>
      <c r="D25" s="425"/>
      <c r="E25" s="425"/>
      <c r="F25" s="425"/>
      <c r="G25" s="425"/>
      <c r="H25" s="425"/>
      <c r="I25" s="425"/>
      <c r="J25" s="425"/>
      <c r="K25" s="425"/>
      <c r="L25" s="425"/>
      <c r="M25" s="425"/>
      <c r="N25" s="425"/>
      <c r="O25" s="425"/>
      <c r="P25" s="425"/>
      <c r="Q25" s="426"/>
      <c r="R25" s="263"/>
    </row>
    <row r="26" spans="1:18" ht="14.45" thickBot="1">
      <c r="A26" s="427"/>
      <c r="B26" s="428"/>
      <c r="C26" s="428"/>
      <c r="D26" s="428"/>
      <c r="E26" s="428"/>
      <c r="F26" s="428"/>
      <c r="G26" s="428"/>
      <c r="H26" s="428"/>
      <c r="I26" s="428"/>
      <c r="J26" s="428"/>
      <c r="K26" s="428"/>
      <c r="L26" s="428"/>
      <c r="M26" s="428"/>
      <c r="N26" s="428"/>
      <c r="O26" s="428"/>
      <c r="P26" s="428"/>
      <c r="Q26" s="429"/>
      <c r="R26" s="263"/>
    </row>
    <row r="27" spans="1:18" ht="23.25" customHeight="1">
      <c r="B27" s="420" t="s">
        <v>69</v>
      </c>
      <c r="C27" s="420"/>
      <c r="D27" s="420"/>
      <c r="E27" s="420"/>
      <c r="F27" s="420"/>
      <c r="G27" s="420"/>
      <c r="H27" s="420"/>
      <c r="I27" s="420"/>
      <c r="J27" s="420"/>
      <c r="K27" s="420"/>
      <c r="L27" s="420"/>
      <c r="M27" s="420"/>
      <c r="N27" s="420"/>
    </row>
    <row r="28" spans="1:18">
      <c r="B28" s="421"/>
      <c r="C28" s="421"/>
      <c r="D28" s="421"/>
      <c r="E28" s="421"/>
      <c r="F28" s="421"/>
      <c r="G28" s="421"/>
      <c r="H28" s="421"/>
      <c r="I28" s="421"/>
      <c r="J28" s="421"/>
      <c r="K28" s="421"/>
      <c r="L28" s="421"/>
      <c r="M28" s="421"/>
      <c r="N28" s="421"/>
    </row>
    <row r="29" spans="1:18" ht="18">
      <c r="B29" s="422" t="s">
        <v>70</v>
      </c>
      <c r="C29" s="422"/>
      <c r="D29" s="422"/>
      <c r="E29" s="422"/>
      <c r="F29" s="422"/>
      <c r="G29" s="422"/>
      <c r="H29" s="422"/>
      <c r="I29" s="422"/>
      <c r="J29" s="422"/>
      <c r="K29" s="422"/>
      <c r="L29" s="422"/>
      <c r="M29" s="422"/>
      <c r="N29" s="422"/>
    </row>
    <row r="31" spans="1:18">
      <c r="B31" s="264" t="s">
        <v>53</v>
      </c>
      <c r="C31" s="249">
        <f>+C8*$C$52+C8</f>
        <v>1998412.9308</v>
      </c>
      <c r="I31" s="423"/>
      <c r="J31" s="423"/>
      <c r="K31" s="423"/>
      <c r="L31" s="423"/>
      <c r="M31" s="423"/>
      <c r="N31" s="423"/>
    </row>
    <row r="32" spans="1:18">
      <c r="B32" s="264" t="s">
        <v>54</v>
      </c>
      <c r="C32" s="288">
        <f>+C9</f>
        <v>10.210000000000001</v>
      </c>
      <c r="I32" s="423"/>
      <c r="J32" s="423"/>
      <c r="K32" s="423"/>
      <c r="L32" s="423"/>
      <c r="M32" s="423"/>
      <c r="N32" s="423"/>
    </row>
    <row r="33" spans="2:14">
      <c r="B33" s="264" t="s">
        <v>55</v>
      </c>
      <c r="C33" s="251">
        <f>C31*C32</f>
        <v>20403796.023468003</v>
      </c>
      <c r="I33" s="423"/>
      <c r="J33" s="423"/>
      <c r="K33" s="423"/>
      <c r="L33" s="423"/>
      <c r="M33" s="423"/>
      <c r="N33" s="423"/>
    </row>
    <row r="36" spans="2:14" ht="27.6">
      <c r="B36" s="265" t="s">
        <v>56</v>
      </c>
      <c r="C36" s="265" t="s">
        <v>57</v>
      </c>
      <c r="D36" s="265" t="s">
        <v>58</v>
      </c>
      <c r="E36" s="265"/>
      <c r="F36" s="265"/>
      <c r="G36" s="265"/>
      <c r="H36" s="265" t="s">
        <v>71</v>
      </c>
      <c r="I36" s="265" t="s">
        <v>72</v>
      </c>
      <c r="J36" s="265" t="s">
        <v>63</v>
      </c>
      <c r="K36" s="265" t="s">
        <v>64</v>
      </c>
      <c r="L36" s="265" t="s">
        <v>65</v>
      </c>
      <c r="M36" s="265" t="s">
        <v>66</v>
      </c>
    </row>
    <row r="37" spans="2:14" ht="41.45">
      <c r="B37" s="254" t="s">
        <v>18</v>
      </c>
      <c r="C37" s="255">
        <f>+$C$33</f>
        <v>20403796.023468003</v>
      </c>
      <c r="D37" s="255">
        <v>5000</v>
      </c>
      <c r="E37" s="255"/>
      <c r="F37" s="255"/>
      <c r="G37" s="255"/>
      <c r="H37" s="256">
        <v>0.08</v>
      </c>
      <c r="I37" s="283">
        <f>+(C37+D37)*H37</f>
        <v>1632703.6818774403</v>
      </c>
      <c r="J37" s="255">
        <f>+C37+D37+I37</f>
        <v>22041499.705345444</v>
      </c>
      <c r="K37" s="255">
        <f>+J37*10%</f>
        <v>2204149.9705345444</v>
      </c>
      <c r="L37" s="255">
        <f>+K37*19%</f>
        <v>418788.49440156342</v>
      </c>
      <c r="M37" s="249">
        <f>+J37+L37+K37</f>
        <v>24664438.170281552</v>
      </c>
      <c r="N37" s="287">
        <f t="shared" ref="N37:N41" si="10">+C37/C14-1</f>
        <v>0.14136000000000015</v>
      </c>
    </row>
    <row r="38" spans="2:14" ht="41.45">
      <c r="B38" s="254" t="s">
        <v>20</v>
      </c>
      <c r="C38" s="255">
        <f>+$C$33</f>
        <v>20403796.023468003</v>
      </c>
      <c r="D38" s="255">
        <v>5000</v>
      </c>
      <c r="E38" s="255"/>
      <c r="F38" s="255"/>
      <c r="G38" s="255"/>
      <c r="H38" s="256">
        <v>0.1</v>
      </c>
      <c r="I38" s="283">
        <f>+(C38+D38)*H38</f>
        <v>2040879.6023468003</v>
      </c>
      <c r="J38" s="255">
        <f t="shared" ref="J38:J41" si="11">+C38+D38+I38</f>
        <v>22449675.625814803</v>
      </c>
      <c r="K38" s="255">
        <f t="shared" ref="K38:K41" si="12">+J38*10%</f>
        <v>2244967.5625814805</v>
      </c>
      <c r="L38" s="255">
        <f t="shared" ref="L38:L41" si="13">+K38*19%</f>
        <v>426543.8368904813</v>
      </c>
      <c r="M38" s="249">
        <f t="shared" ref="M38:M41" si="14">+J38+L38+K38</f>
        <v>25121187.025286764</v>
      </c>
      <c r="N38" s="287">
        <f t="shared" si="10"/>
        <v>0.14136000000000015</v>
      </c>
    </row>
    <row r="39" spans="2:14" ht="41.45">
      <c r="B39" s="254" t="s">
        <v>21</v>
      </c>
      <c r="C39" s="255">
        <f>+$C$33</f>
        <v>20403796.023468003</v>
      </c>
      <c r="D39" s="255">
        <v>5000</v>
      </c>
      <c r="E39" s="255"/>
      <c r="F39" s="255"/>
      <c r="G39" s="255"/>
      <c r="H39" s="256">
        <v>0.11</v>
      </c>
      <c r="I39" s="283">
        <f>+(C39+D39)*H39</f>
        <v>2244967.5625814805</v>
      </c>
      <c r="J39" s="255">
        <f t="shared" si="11"/>
        <v>22653763.586049482</v>
      </c>
      <c r="K39" s="255">
        <f t="shared" si="12"/>
        <v>2265376.3586049485</v>
      </c>
      <c r="L39" s="255">
        <f t="shared" si="13"/>
        <v>430421.50813494023</v>
      </c>
      <c r="M39" s="249">
        <f t="shared" si="14"/>
        <v>25349561.45278937</v>
      </c>
      <c r="N39" s="287">
        <f t="shared" si="10"/>
        <v>0.14136000000000015</v>
      </c>
    </row>
    <row r="40" spans="2:14" ht="27.6">
      <c r="B40" s="254" t="s">
        <v>22</v>
      </c>
      <c r="C40" s="255">
        <f>+((((((($C$31*10.21))*47.59%)/30)*20)/13)*12)</f>
        <v>5975487.0938882604</v>
      </c>
      <c r="D40" s="255">
        <v>3000</v>
      </c>
      <c r="E40" s="255"/>
      <c r="F40" s="255"/>
      <c r="G40" s="255"/>
      <c r="H40" s="256">
        <v>0.08</v>
      </c>
      <c r="I40" s="283">
        <f>+(C40+D40)*H40</f>
        <v>478278.96751106082</v>
      </c>
      <c r="J40" s="255">
        <f t="shared" si="11"/>
        <v>6456766.0613993211</v>
      </c>
      <c r="K40" s="255">
        <f t="shared" si="12"/>
        <v>645676.60613993218</v>
      </c>
      <c r="L40" s="255">
        <f t="shared" si="13"/>
        <v>122678.55516658712</v>
      </c>
      <c r="M40" s="249">
        <f t="shared" si="14"/>
        <v>7225121.2227058401</v>
      </c>
      <c r="N40" s="287">
        <f t="shared" si="10"/>
        <v>0.14136000000000015</v>
      </c>
    </row>
    <row r="41" spans="2:14" ht="27.6">
      <c r="B41" s="254" t="s">
        <v>23</v>
      </c>
      <c r="C41" s="255">
        <f>+((((((($C$31*10.21))*47.59%)/30)*24)/13)*12)</f>
        <v>7170584.5126659125</v>
      </c>
      <c r="D41" s="255">
        <v>3000</v>
      </c>
      <c r="E41" s="255"/>
      <c r="F41" s="255"/>
      <c r="G41" s="255"/>
      <c r="H41" s="256">
        <v>0.08</v>
      </c>
      <c r="I41" s="283">
        <f>+(C41+D41)*H41</f>
        <v>573886.76101327303</v>
      </c>
      <c r="J41" s="255">
        <f t="shared" si="11"/>
        <v>7747471.2736791857</v>
      </c>
      <c r="K41" s="255">
        <f t="shared" si="12"/>
        <v>774747.12736791861</v>
      </c>
      <c r="L41" s="255">
        <f t="shared" si="13"/>
        <v>147201.95419990455</v>
      </c>
      <c r="M41" s="249">
        <f t="shared" si="14"/>
        <v>8669420.3552470095</v>
      </c>
      <c r="N41" s="287">
        <f t="shared" si="10"/>
        <v>0.14136000000000015</v>
      </c>
    </row>
    <row r="42" spans="2:14">
      <c r="D42" s="261"/>
      <c r="E42" s="261"/>
      <c r="F42" s="261"/>
      <c r="G42" s="261"/>
    </row>
    <row r="43" spans="2:14">
      <c r="D43" s="261"/>
      <c r="E43" s="261"/>
      <c r="F43" s="261"/>
      <c r="G43" s="261"/>
    </row>
    <row r="45" spans="2:14" ht="14.45" thickBot="1"/>
    <row r="46" spans="2:14" ht="14.25" customHeight="1" thickBot="1">
      <c r="B46" s="266" t="s">
        <v>73</v>
      </c>
      <c r="C46" s="267" t="s">
        <v>74</v>
      </c>
      <c r="D46" s="267" t="s">
        <v>75</v>
      </c>
      <c r="E46" s="291"/>
      <c r="F46" s="291"/>
      <c r="G46" s="291"/>
      <c r="H46" s="268"/>
    </row>
    <row r="47" spans="2:14" ht="14.25" customHeight="1">
      <c r="B47" s="269">
        <v>2026</v>
      </c>
      <c r="C47" s="270">
        <v>0.23</v>
      </c>
      <c r="D47" s="271">
        <f>+C47*D48+D48</f>
        <v>1750905</v>
      </c>
      <c r="E47" s="277"/>
      <c r="F47" s="277"/>
      <c r="G47" s="277"/>
      <c r="H47" s="268"/>
    </row>
    <row r="48" spans="2:14" ht="14.25" customHeight="1">
      <c r="B48" s="272">
        <v>2025</v>
      </c>
      <c r="C48" s="273">
        <v>9.5399999999999999E-2</v>
      </c>
      <c r="D48" s="274">
        <v>1423500</v>
      </c>
      <c r="E48" s="277"/>
      <c r="F48" s="277"/>
      <c r="G48" s="277"/>
      <c r="H48" s="268"/>
      <c r="I48" s="275"/>
      <c r="J48" s="276"/>
    </row>
    <row r="49" spans="2:8">
      <c r="B49" s="272">
        <v>2024</v>
      </c>
      <c r="C49" s="273">
        <v>0.1207</v>
      </c>
      <c r="D49" s="274">
        <v>1300000</v>
      </c>
      <c r="E49" s="277"/>
      <c r="F49" s="277"/>
      <c r="G49" s="277"/>
      <c r="H49" s="277"/>
    </row>
    <row r="50" spans="2:8">
      <c r="B50" s="272">
        <v>2023</v>
      </c>
      <c r="C50" s="273">
        <v>0.16</v>
      </c>
      <c r="D50" s="274">
        <v>1160000</v>
      </c>
      <c r="E50" s="277"/>
      <c r="F50" s="277"/>
      <c r="G50" s="277"/>
      <c r="H50" s="277"/>
    </row>
    <row r="51" spans="2:8" ht="14.45" thickBot="1">
      <c r="B51" s="278">
        <v>2022</v>
      </c>
      <c r="C51" s="279">
        <v>0.1007</v>
      </c>
      <c r="D51" s="280">
        <v>1000000</v>
      </c>
      <c r="E51" s="277"/>
      <c r="F51" s="277"/>
      <c r="G51" s="277"/>
      <c r="H51" s="277"/>
    </row>
    <row r="52" spans="2:8" ht="14.45" thickBot="1">
      <c r="B52" s="281" t="s">
        <v>76</v>
      </c>
      <c r="C52" s="289">
        <f>AVERAGE(C47:C51)</f>
        <v>0.14136000000000001</v>
      </c>
      <c r="D52" s="282"/>
      <c r="E52" s="292"/>
      <c r="F52" s="292"/>
      <c r="G52" s="292"/>
    </row>
  </sheetData>
  <mergeCells count="9">
    <mergeCell ref="B27:N28"/>
    <mergeCell ref="B29:N29"/>
    <mergeCell ref="I31:N33"/>
    <mergeCell ref="A1:Q2"/>
    <mergeCell ref="B3:N4"/>
    <mergeCell ref="B5:N5"/>
    <mergeCell ref="I8:N10"/>
    <mergeCell ref="A14:A16"/>
    <mergeCell ref="A25:Q26"/>
  </mergeCells>
  <dataValidations count="1">
    <dataValidation type="list" allowBlank="1" showInputMessage="1" showErrorMessage="1" sqref="I19:I22" xr:uid="{1CCDEF6F-708B-43A0-81CB-CA86E340195C}">
      <formula1>$C$18:$C$24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ADEFB-1636-4512-92CF-0B37D2282DA4}">
  <sheetPr>
    <tabColor rgb="FFFF0000"/>
    <pageSetUpPr fitToPage="1"/>
  </sheetPr>
  <dimension ref="A1:H36"/>
  <sheetViews>
    <sheetView showGridLines="0" topLeftCell="A3" zoomScale="85" zoomScaleNormal="85" workbookViewId="0">
      <selection activeCell="A7" sqref="A7:C7"/>
    </sheetView>
  </sheetViews>
  <sheetFormatPr defaultColWidth="11.5703125" defaultRowHeight="15" customHeight="1"/>
  <cols>
    <col min="1" max="1" width="23" style="295" customWidth="1"/>
    <col min="2" max="2" width="14.85546875" style="295" customWidth="1"/>
    <col min="3" max="3" width="38.42578125" style="299" customWidth="1"/>
    <col min="4" max="4" width="22.28515625" style="300" customWidth="1"/>
    <col min="5" max="5" width="26.5703125" style="295" customWidth="1"/>
    <col min="6" max="6" width="22.7109375" style="295" customWidth="1"/>
    <col min="7" max="7" width="30.140625" style="295" customWidth="1"/>
    <col min="8" max="8" width="17.7109375" style="295" customWidth="1"/>
    <col min="9" max="11" width="11.5703125" style="295" customWidth="1"/>
    <col min="12" max="16384" width="11.5703125" style="295"/>
  </cols>
  <sheetData>
    <row r="1" spans="1:8" ht="42.6" customHeight="1" thickBot="1">
      <c r="A1" s="435" t="s">
        <v>77</v>
      </c>
      <c r="B1" s="436"/>
      <c r="C1" s="436"/>
      <c r="D1" s="436"/>
      <c r="E1" s="437"/>
    </row>
    <row r="2" spans="1:8" ht="47.45" customHeight="1" thickBot="1">
      <c r="A2" s="438" t="s">
        <v>78</v>
      </c>
      <c r="B2" s="439"/>
      <c r="C2" s="439"/>
      <c r="D2" s="439"/>
      <c r="E2" s="440"/>
    </row>
    <row r="3" spans="1:8" ht="43.5" customHeight="1">
      <c r="A3" s="308" t="s">
        <v>79</v>
      </c>
      <c r="B3" s="309" t="s">
        <v>80</v>
      </c>
      <c r="C3" s="310" t="s">
        <v>81</v>
      </c>
      <c r="D3" s="311" t="s">
        <v>82</v>
      </c>
      <c r="E3" s="312" t="s">
        <v>83</v>
      </c>
    </row>
    <row r="4" spans="1:8" ht="42" customHeight="1">
      <c r="A4" s="441"/>
      <c r="B4" s="314">
        <v>2</v>
      </c>
      <c r="C4" s="315" t="s">
        <v>84</v>
      </c>
      <c r="D4" s="316">
        <f>ROUND('ProyecciónResolución2026 (2)'!$M$14*'RECURSO HUMANO 2026 '!B4,0)</f>
        <v>36017402</v>
      </c>
      <c r="E4" s="317">
        <f t="shared" ref="E4:E6" si="0">ROUND(SUM(D4:D4),0)</f>
        <v>36017402</v>
      </c>
      <c r="G4" s="296"/>
    </row>
    <row r="5" spans="1:8" ht="42" customHeight="1">
      <c r="A5" s="441"/>
      <c r="B5" s="318">
        <v>1</v>
      </c>
      <c r="C5" s="315" t="s">
        <v>85</v>
      </c>
      <c r="D5" s="316">
        <f>ROUND('ProyecciónResolución2026 (2)'!$M$14*'RECURSO HUMANO 2026 '!B5,0)</f>
        <v>18008701</v>
      </c>
      <c r="E5" s="317">
        <f t="shared" si="0"/>
        <v>18008701</v>
      </c>
      <c r="G5" s="297"/>
    </row>
    <row r="6" spans="1:8" ht="41.25" customHeight="1">
      <c r="A6" s="313" t="s">
        <v>86</v>
      </c>
      <c r="B6" s="318">
        <v>1</v>
      </c>
      <c r="C6" s="315" t="s">
        <v>85</v>
      </c>
      <c r="D6" s="316">
        <f>ROUND('ProyecciónResolución2026 (2)'!$M$14*'RECURSO HUMANO 2026 '!B6,0)</f>
        <v>18008701</v>
      </c>
      <c r="E6" s="317">
        <f t="shared" si="0"/>
        <v>18008701</v>
      </c>
      <c r="G6" s="296"/>
    </row>
    <row r="7" spans="1:8" ht="53.45" customHeight="1" thickBot="1">
      <c r="A7" s="442" t="s">
        <v>39</v>
      </c>
      <c r="B7" s="443"/>
      <c r="C7" s="444"/>
      <c r="D7" s="319">
        <f>'COMPONENTES LOGIS Y TECN'!M16</f>
        <v>0</v>
      </c>
      <c r="E7" s="319">
        <f>'COMPONENTES LOGIS Y TECN'!N16</f>
        <v>0</v>
      </c>
      <c r="G7" s="298"/>
      <c r="H7" s="298"/>
    </row>
    <row r="8" spans="1:8" ht="30" customHeight="1" thickBot="1">
      <c r="A8" s="445" t="s">
        <v>87</v>
      </c>
      <c r="B8" s="446"/>
      <c r="C8" s="447"/>
      <c r="D8" s="320">
        <f>+SUM(D4:D6)</f>
        <v>72034804</v>
      </c>
      <c r="E8" s="321">
        <f>+SUM(E4:E6)</f>
        <v>72034804</v>
      </c>
      <c r="F8" s="298"/>
      <c r="G8" s="298"/>
    </row>
    <row r="9" spans="1:8" ht="30" customHeight="1" thickBot="1">
      <c r="A9" s="432" t="s">
        <v>88</v>
      </c>
      <c r="B9" s="433"/>
      <c r="C9" s="434"/>
      <c r="D9" s="320">
        <f>SUM(D4:D7)</f>
        <v>72034804</v>
      </c>
      <c r="E9" s="321">
        <f>SUM(D9:D9)</f>
        <v>72034804</v>
      </c>
      <c r="G9" s="298"/>
    </row>
    <row r="10" spans="1:8" ht="15" customHeight="1">
      <c r="F10" s="301"/>
    </row>
    <row r="11" spans="1:8" ht="20.25" customHeight="1">
      <c r="E11" s="302"/>
      <c r="F11" s="302"/>
    </row>
    <row r="12" spans="1:8" ht="15" customHeight="1">
      <c r="E12" s="302"/>
      <c r="F12" s="302"/>
    </row>
    <row r="13" spans="1:8" ht="15" customHeight="1">
      <c r="E13" s="303"/>
    </row>
    <row r="14" spans="1:8" ht="15" customHeight="1">
      <c r="E14" s="303"/>
    </row>
    <row r="15" spans="1:8" ht="15" customHeight="1">
      <c r="E15" s="295">
        <f>+E7/5.5</f>
        <v>0</v>
      </c>
    </row>
    <row r="16" spans="1:8" ht="15" customHeight="1">
      <c r="C16" s="304"/>
    </row>
    <row r="17" spans="3:6" ht="15" customHeight="1">
      <c r="C17" s="304"/>
    </row>
    <row r="23" spans="3:6" ht="15" hidden="1" customHeight="1">
      <c r="C23" s="305">
        <v>45657</v>
      </c>
      <c r="F23" s="306"/>
    </row>
    <row r="24" spans="3:6" ht="15" hidden="1" customHeight="1">
      <c r="C24" s="305">
        <v>45658</v>
      </c>
      <c r="F24" s="306"/>
    </row>
    <row r="25" spans="3:6" ht="15" customHeight="1">
      <c r="C25" s="307"/>
      <c r="F25" s="306"/>
    </row>
    <row r="26" spans="3:6" ht="15" customHeight="1">
      <c r="C26" s="307"/>
      <c r="E26" s="306"/>
      <c r="F26" s="306"/>
    </row>
    <row r="27" spans="3:6" ht="15" customHeight="1">
      <c r="C27" s="307"/>
    </row>
    <row r="28" spans="3:6" ht="15" customHeight="1">
      <c r="C28" s="307"/>
    </row>
    <row r="29" spans="3:6" ht="15" customHeight="1">
      <c r="C29" s="246"/>
    </row>
    <row r="30" spans="3:6" ht="15" customHeight="1">
      <c r="C30" s="246"/>
    </row>
    <row r="31" spans="3:6" ht="15" customHeight="1">
      <c r="C31" s="246"/>
    </row>
    <row r="32" spans="3:6" ht="15" customHeight="1">
      <c r="C32" s="246"/>
    </row>
    <row r="33" spans="3:3" ht="15" customHeight="1">
      <c r="C33" s="246"/>
    </row>
    <row r="34" spans="3:3" ht="15" customHeight="1">
      <c r="C34" s="246"/>
    </row>
    <row r="35" spans="3:3" ht="15" customHeight="1">
      <c r="C35" s="246"/>
    </row>
    <row r="36" spans="3:3" ht="15" customHeight="1">
      <c r="C36" s="246"/>
    </row>
  </sheetData>
  <sheetProtection algorithmName="SHA-512" hashValue="u4jT3eagsFBDkQBR1cmp1QBWQ8FDF7H+nbliqEXCQFFCa/WrYVdtaTj4403D3fT0INXXXZCU9RapmmPoHDrxSA==" saltValue="/0XOal8NQg6j7wAD3ziuAw==" spinCount="100000" sheet="1" objects="1" scenarios="1"/>
  <mergeCells count="6">
    <mergeCell ref="A9:C9"/>
    <mergeCell ref="A1:E1"/>
    <mergeCell ref="A2:E2"/>
    <mergeCell ref="A4:A5"/>
    <mergeCell ref="A7:C7"/>
    <mergeCell ref="A8:C8"/>
  </mergeCells>
  <pageMargins left="0.7" right="0.7" top="0.75" bottom="0.75" header="0.3" footer="0.3"/>
  <pageSetup paperSize="9" scale="58" fitToHeight="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N36"/>
  <sheetViews>
    <sheetView showGridLines="0" tabSelected="1" view="pageBreakPreview" topLeftCell="A23" zoomScale="82" zoomScaleNormal="70" zoomScaleSheetLayoutView="82" workbookViewId="0">
      <selection activeCell="A29" sqref="A29:C29"/>
    </sheetView>
  </sheetViews>
  <sheetFormatPr defaultColWidth="11.42578125" defaultRowHeight="105" customHeight="1"/>
  <cols>
    <col min="1" max="1" width="11.5703125" style="356" customWidth="1"/>
    <col min="2" max="2" width="23" style="356" customWidth="1"/>
    <col min="3" max="3" width="73.28515625" style="325" customWidth="1"/>
    <col min="4" max="4" width="9.7109375" style="357" customWidth="1"/>
    <col min="5" max="5" width="14.28515625" style="345" customWidth="1"/>
    <col min="6" max="6" width="8.42578125" style="346" customWidth="1"/>
    <col min="7" max="7" width="18.140625" style="346" customWidth="1"/>
    <col min="8" max="9" width="18.28515625" style="346" customWidth="1"/>
    <col min="10" max="10" width="18.28515625" style="325" customWidth="1"/>
    <col min="11" max="11" width="10.7109375" style="325" customWidth="1"/>
    <col min="12" max="13" width="18.28515625" style="325" customWidth="1"/>
    <col min="14" max="14" width="19.5703125" style="325" customWidth="1"/>
    <col min="15" max="16384" width="11.42578125" style="325"/>
  </cols>
  <sheetData>
    <row r="1" spans="1:14" ht="75.75" customHeight="1">
      <c r="A1" s="372"/>
      <c r="B1" s="372"/>
      <c r="C1" s="372"/>
      <c r="D1" s="373" t="s">
        <v>89</v>
      </c>
      <c r="E1" s="373"/>
      <c r="F1" s="373"/>
      <c r="G1" s="373"/>
      <c r="H1" s="373"/>
      <c r="I1" s="373"/>
      <c r="J1" s="373"/>
      <c r="K1" s="373"/>
      <c r="L1" s="373"/>
      <c r="M1" s="373"/>
    </row>
    <row r="2" spans="1:14" ht="51.75" customHeight="1">
      <c r="A2" s="375" t="s">
        <v>90</v>
      </c>
      <c r="B2" s="375"/>
      <c r="C2" s="375"/>
      <c r="D2" s="375"/>
      <c r="E2" s="375"/>
      <c r="F2" s="375"/>
      <c r="G2" s="375"/>
      <c r="H2" s="375"/>
      <c r="I2" s="375"/>
      <c r="J2" s="376"/>
      <c r="K2" s="376"/>
      <c r="L2" s="376"/>
      <c r="M2" s="377"/>
    </row>
    <row r="3" spans="1:14" ht="63" customHeight="1" thickBot="1">
      <c r="A3" s="380" t="s">
        <v>91</v>
      </c>
      <c r="B3" s="380"/>
      <c r="C3" s="380"/>
      <c r="D3" s="380"/>
      <c r="E3" s="380"/>
      <c r="F3" s="380"/>
      <c r="G3" s="380"/>
      <c r="H3" s="380"/>
      <c r="I3" s="381"/>
      <c r="J3" s="378"/>
      <c r="K3" s="379"/>
      <c r="L3" s="379"/>
      <c r="M3" s="379"/>
    </row>
    <row r="4" spans="1:14" ht="84" customHeight="1" thickBot="1">
      <c r="A4" s="362" t="s">
        <v>92</v>
      </c>
      <c r="B4" s="363" t="s">
        <v>93</v>
      </c>
      <c r="C4" s="363" t="s">
        <v>94</v>
      </c>
      <c r="D4" s="364" t="s">
        <v>95</v>
      </c>
      <c r="E4" s="365" t="s">
        <v>96</v>
      </c>
      <c r="F4" s="366" t="s">
        <v>97</v>
      </c>
      <c r="G4" s="366" t="s">
        <v>98</v>
      </c>
      <c r="H4" s="366" t="s">
        <v>99</v>
      </c>
      <c r="I4" s="366" t="s">
        <v>100</v>
      </c>
      <c r="J4" s="371" t="s">
        <v>101</v>
      </c>
      <c r="K4" s="326" t="s">
        <v>102</v>
      </c>
      <c r="L4" s="326" t="s">
        <v>103</v>
      </c>
      <c r="M4" s="326" t="s">
        <v>104</v>
      </c>
    </row>
    <row r="5" spans="1:14" ht="22.15" customHeight="1">
      <c r="A5" s="374" t="s">
        <v>105</v>
      </c>
      <c r="B5" s="374"/>
      <c r="C5" s="374"/>
      <c r="D5" s="374"/>
      <c r="E5" s="374"/>
      <c r="F5" s="374"/>
      <c r="G5" s="327"/>
      <c r="H5" s="327"/>
      <c r="I5" s="327"/>
      <c r="J5" s="328"/>
      <c r="K5" s="328"/>
      <c r="L5" s="328"/>
      <c r="M5" s="328"/>
    </row>
    <row r="6" spans="1:14" ht="57" customHeight="1">
      <c r="A6" s="329">
        <v>1</v>
      </c>
      <c r="B6" s="330" t="s">
        <v>106</v>
      </c>
      <c r="C6" s="367" t="s">
        <v>107</v>
      </c>
      <c r="D6" s="332">
        <v>1</v>
      </c>
      <c r="E6" s="333" t="s">
        <v>108</v>
      </c>
      <c r="F6" s="334">
        <v>119</v>
      </c>
      <c r="G6" s="335">
        <v>26109</v>
      </c>
      <c r="H6" s="335">
        <v>31070</v>
      </c>
      <c r="I6" s="335">
        <f>H6*F6*D6</f>
        <v>3697330</v>
      </c>
      <c r="J6" s="486"/>
      <c r="K6" s="485">
        <v>0.19</v>
      </c>
      <c r="L6" s="322">
        <f t="shared" ref="L6:L15" si="0">ROUND(J6*(1+K6),0)</f>
        <v>0</v>
      </c>
      <c r="M6" s="323">
        <f>ROUND(L6*D6*F6,0)</f>
        <v>0</v>
      </c>
      <c r="N6" s="336"/>
    </row>
    <row r="7" spans="1:14" ht="57" customHeight="1">
      <c r="A7" s="329">
        <v>2</v>
      </c>
      <c r="B7" s="330" t="s">
        <v>109</v>
      </c>
      <c r="C7" s="368" t="s">
        <v>110</v>
      </c>
      <c r="D7" s="332">
        <v>1</v>
      </c>
      <c r="E7" s="333" t="s">
        <v>108</v>
      </c>
      <c r="F7" s="334">
        <v>6</v>
      </c>
      <c r="G7" s="335">
        <v>18388</v>
      </c>
      <c r="H7" s="335">
        <v>21882</v>
      </c>
      <c r="I7" s="335">
        <f t="shared" ref="I7:I15" si="1">H7*F7*D7</f>
        <v>131292</v>
      </c>
      <c r="J7" s="486"/>
      <c r="K7" s="485">
        <v>0.19</v>
      </c>
      <c r="L7" s="322">
        <f t="shared" si="0"/>
        <v>0</v>
      </c>
      <c r="M7" s="323">
        <f t="shared" ref="M7:M15" si="2">ROUND(L7*D7*F7,0)</f>
        <v>0</v>
      </c>
      <c r="N7" s="336"/>
    </row>
    <row r="8" spans="1:14" ht="57" customHeight="1">
      <c r="A8" s="329">
        <v>3</v>
      </c>
      <c r="B8" s="337" t="s">
        <v>111</v>
      </c>
      <c r="C8" s="368" t="s">
        <v>112</v>
      </c>
      <c r="D8" s="332">
        <v>1</v>
      </c>
      <c r="E8" s="333" t="s">
        <v>108</v>
      </c>
      <c r="F8" s="334">
        <v>5</v>
      </c>
      <c r="G8" s="335">
        <v>70852</v>
      </c>
      <c r="H8" s="335">
        <v>84314</v>
      </c>
      <c r="I8" s="335">
        <f t="shared" si="1"/>
        <v>421570</v>
      </c>
      <c r="J8" s="486"/>
      <c r="K8" s="485">
        <v>0.19</v>
      </c>
      <c r="L8" s="322">
        <f t="shared" si="0"/>
        <v>0</v>
      </c>
      <c r="M8" s="323">
        <f t="shared" si="2"/>
        <v>0</v>
      </c>
      <c r="N8" s="336"/>
    </row>
    <row r="9" spans="1:14" ht="57" customHeight="1">
      <c r="A9" s="329">
        <v>4</v>
      </c>
      <c r="B9" s="337" t="s">
        <v>113</v>
      </c>
      <c r="C9" s="338" t="s">
        <v>114</v>
      </c>
      <c r="D9" s="332">
        <v>1</v>
      </c>
      <c r="E9" s="333" t="s">
        <v>108</v>
      </c>
      <c r="F9" s="334">
        <v>2</v>
      </c>
      <c r="G9" s="335">
        <v>51308</v>
      </c>
      <c r="H9" s="335">
        <v>61057</v>
      </c>
      <c r="I9" s="335">
        <f t="shared" si="1"/>
        <v>122114</v>
      </c>
      <c r="J9" s="486"/>
      <c r="K9" s="485">
        <v>0.19</v>
      </c>
      <c r="L9" s="322">
        <f t="shared" si="0"/>
        <v>0</v>
      </c>
      <c r="M9" s="323">
        <f t="shared" si="2"/>
        <v>0</v>
      </c>
      <c r="N9" s="336"/>
    </row>
    <row r="10" spans="1:14" ht="57" customHeight="1">
      <c r="A10" s="329">
        <v>5</v>
      </c>
      <c r="B10" s="330" t="s">
        <v>115</v>
      </c>
      <c r="C10" s="368" t="s">
        <v>116</v>
      </c>
      <c r="D10" s="332">
        <v>1</v>
      </c>
      <c r="E10" s="333" t="s">
        <v>108</v>
      </c>
      <c r="F10" s="334">
        <v>7</v>
      </c>
      <c r="G10" s="335">
        <v>41683</v>
      </c>
      <c r="H10" s="335">
        <v>49603</v>
      </c>
      <c r="I10" s="335">
        <f t="shared" si="1"/>
        <v>347221</v>
      </c>
      <c r="J10" s="486"/>
      <c r="K10" s="485">
        <v>0.19</v>
      </c>
      <c r="L10" s="322">
        <f t="shared" si="0"/>
        <v>0</v>
      </c>
      <c r="M10" s="323">
        <f t="shared" si="2"/>
        <v>0</v>
      </c>
      <c r="N10" s="336"/>
    </row>
    <row r="11" spans="1:14" ht="16.5" customHeight="1">
      <c r="A11" s="397" t="s">
        <v>117</v>
      </c>
      <c r="B11" s="398"/>
      <c r="C11" s="398"/>
      <c r="D11" s="398"/>
      <c r="E11" s="398"/>
      <c r="F11" s="398"/>
      <c r="G11" s="398"/>
      <c r="H11" s="398"/>
      <c r="I11" s="398"/>
      <c r="J11" s="398"/>
      <c r="K11" s="398"/>
      <c r="L11" s="398"/>
      <c r="M11" s="399"/>
      <c r="N11" s="336"/>
    </row>
    <row r="12" spans="1:14" ht="73.150000000000006" customHeight="1">
      <c r="A12" s="324">
        <v>6</v>
      </c>
      <c r="B12" s="339" t="s">
        <v>118</v>
      </c>
      <c r="C12" s="331" t="s">
        <v>119</v>
      </c>
      <c r="D12" s="332">
        <v>1</v>
      </c>
      <c r="E12" s="333" t="s">
        <v>108</v>
      </c>
      <c r="F12" s="340">
        <v>2</v>
      </c>
      <c r="G12" s="335">
        <v>359057</v>
      </c>
      <c r="H12" s="335">
        <v>427278</v>
      </c>
      <c r="I12" s="335">
        <f>H12*F12*D12</f>
        <v>854556</v>
      </c>
      <c r="J12" s="486"/>
      <c r="K12" s="485">
        <v>0.19</v>
      </c>
      <c r="L12" s="322">
        <f t="shared" si="0"/>
        <v>0</v>
      </c>
      <c r="M12" s="323">
        <f t="shared" si="2"/>
        <v>0</v>
      </c>
      <c r="N12" s="336"/>
    </row>
    <row r="13" spans="1:14" ht="73.150000000000006" customHeight="1">
      <c r="A13" s="329">
        <v>7</v>
      </c>
      <c r="B13" s="330" t="s">
        <v>120</v>
      </c>
      <c r="C13" s="331" t="s">
        <v>121</v>
      </c>
      <c r="D13" s="332">
        <v>1</v>
      </c>
      <c r="E13" s="333" t="s">
        <v>108</v>
      </c>
      <c r="F13" s="334">
        <v>2</v>
      </c>
      <c r="G13" s="335">
        <v>80495</v>
      </c>
      <c r="H13" s="335">
        <v>95789</v>
      </c>
      <c r="I13" s="335">
        <f t="shared" si="1"/>
        <v>191578</v>
      </c>
      <c r="J13" s="486"/>
      <c r="K13" s="485">
        <v>0.19</v>
      </c>
      <c r="L13" s="322">
        <f t="shared" si="0"/>
        <v>0</v>
      </c>
      <c r="M13" s="323">
        <f t="shared" si="2"/>
        <v>0</v>
      </c>
      <c r="N13" s="336"/>
    </row>
    <row r="14" spans="1:14" ht="43.15" customHeight="1">
      <c r="A14" s="329">
        <v>8</v>
      </c>
      <c r="B14" s="330" t="s">
        <v>122</v>
      </c>
      <c r="C14" s="331" t="s">
        <v>123</v>
      </c>
      <c r="D14" s="332">
        <v>1</v>
      </c>
      <c r="E14" s="333" t="s">
        <v>108</v>
      </c>
      <c r="F14" s="334">
        <v>2</v>
      </c>
      <c r="G14" s="335">
        <v>46951</v>
      </c>
      <c r="H14" s="335">
        <v>55872</v>
      </c>
      <c r="I14" s="335">
        <f t="shared" si="1"/>
        <v>111744</v>
      </c>
      <c r="J14" s="486"/>
      <c r="K14" s="485">
        <v>0.19</v>
      </c>
      <c r="L14" s="322">
        <f t="shared" si="0"/>
        <v>0</v>
      </c>
      <c r="M14" s="323">
        <f t="shared" si="2"/>
        <v>0</v>
      </c>
      <c r="N14" s="336"/>
    </row>
    <row r="15" spans="1:14" ht="73.150000000000006" customHeight="1">
      <c r="A15" s="329">
        <v>9</v>
      </c>
      <c r="B15" s="330" t="s">
        <v>124</v>
      </c>
      <c r="C15" s="331" t="s">
        <v>125</v>
      </c>
      <c r="D15" s="332">
        <v>1</v>
      </c>
      <c r="E15" s="333" t="s">
        <v>108</v>
      </c>
      <c r="F15" s="334">
        <v>2</v>
      </c>
      <c r="G15" s="335">
        <v>88170</v>
      </c>
      <c r="H15" s="335">
        <v>104922</v>
      </c>
      <c r="I15" s="335">
        <f t="shared" si="1"/>
        <v>209844</v>
      </c>
      <c r="J15" s="486"/>
      <c r="K15" s="485">
        <v>0.19</v>
      </c>
      <c r="L15" s="322">
        <f t="shared" si="0"/>
        <v>0</v>
      </c>
      <c r="M15" s="323">
        <f t="shared" si="2"/>
        <v>0</v>
      </c>
      <c r="N15" s="336"/>
    </row>
    <row r="16" spans="1:14" s="345" customFormat="1" ht="32.25" customHeight="1">
      <c r="G16" s="341"/>
      <c r="H16" s="341"/>
      <c r="I16" s="342">
        <f>I6+I7+I8+I9+I10+I12+I13+I14+I15</f>
        <v>6087249</v>
      </c>
      <c r="J16" s="343"/>
      <c r="K16" s="343"/>
      <c r="L16" s="344">
        <f>L6+L7+L8+L9+L10+L12+L13+L14+L15</f>
        <v>0</v>
      </c>
      <c r="M16" s="344">
        <f>M6+M7+M8+M9+M10+M12+M13+M14+M15</f>
        <v>0</v>
      </c>
    </row>
    <row r="17" spans="1:13" s="345" customFormat="1" ht="32.25" customHeight="1"/>
    <row r="18" spans="1:13" s="345" customFormat="1" ht="32.25" customHeight="1">
      <c r="A18" s="403" t="s">
        <v>126</v>
      </c>
      <c r="B18" s="403"/>
      <c r="C18" s="403"/>
      <c r="D18" s="403"/>
      <c r="E18" s="403"/>
      <c r="F18" s="403"/>
      <c r="G18" s="341"/>
      <c r="H18" s="341"/>
      <c r="I18" s="341"/>
      <c r="J18" s="341"/>
      <c r="K18" s="341"/>
      <c r="L18" s="341"/>
      <c r="M18" s="341"/>
    </row>
    <row r="19" spans="1:13" ht="23.25" customHeight="1">
      <c r="A19" s="403" t="s">
        <v>78</v>
      </c>
      <c r="B19" s="403"/>
      <c r="C19" s="403"/>
      <c r="D19" s="403"/>
      <c r="E19" s="403"/>
      <c r="F19" s="403"/>
      <c r="G19" s="341"/>
      <c r="H19" s="341"/>
    </row>
    <row r="20" spans="1:13" ht="54" customHeight="1">
      <c r="A20" s="347" t="s">
        <v>79</v>
      </c>
      <c r="B20" s="347" t="s">
        <v>127</v>
      </c>
      <c r="C20" s="390" t="s">
        <v>81</v>
      </c>
      <c r="D20" s="390"/>
      <c r="E20" s="390"/>
      <c r="F20" s="390"/>
      <c r="G20" s="358" t="s">
        <v>128</v>
      </c>
      <c r="H20" s="348" t="s">
        <v>129</v>
      </c>
      <c r="I20" s="349" t="s">
        <v>130</v>
      </c>
    </row>
    <row r="21" spans="1:13" ht="33" customHeight="1">
      <c r="A21" s="404" t="s">
        <v>131</v>
      </c>
      <c r="B21" s="350">
        <v>2</v>
      </c>
      <c r="C21" s="391" t="s">
        <v>84</v>
      </c>
      <c r="D21" s="391"/>
      <c r="E21" s="391"/>
      <c r="F21" s="391"/>
      <c r="G21" s="359">
        <v>18008701</v>
      </c>
      <c r="H21" s="351">
        <f>G21*B21</f>
        <v>36017402</v>
      </c>
      <c r="I21" s="352">
        <f t="shared" ref="I21:I23" si="3">ROUND(SUM(H21:H21),0)</f>
        <v>36017402</v>
      </c>
    </row>
    <row r="22" spans="1:13" ht="33" customHeight="1">
      <c r="A22" s="404"/>
      <c r="B22" s="353">
        <v>1</v>
      </c>
      <c r="C22" s="391" t="s">
        <v>85</v>
      </c>
      <c r="D22" s="391"/>
      <c r="E22" s="391"/>
      <c r="F22" s="391"/>
      <c r="G22" s="359">
        <v>18342195</v>
      </c>
      <c r="H22" s="351">
        <f>G22*B22</f>
        <v>18342195</v>
      </c>
      <c r="I22" s="352">
        <f t="shared" si="3"/>
        <v>18342195</v>
      </c>
    </row>
    <row r="23" spans="1:13" ht="33" customHeight="1">
      <c r="A23" s="361" t="s">
        <v>86</v>
      </c>
      <c r="B23" s="353">
        <v>1</v>
      </c>
      <c r="C23" s="391" t="s">
        <v>85</v>
      </c>
      <c r="D23" s="391"/>
      <c r="E23" s="391"/>
      <c r="F23" s="391"/>
      <c r="G23" s="359">
        <v>18342195</v>
      </c>
      <c r="H23" s="351">
        <f>G23*B23</f>
        <v>18342195</v>
      </c>
      <c r="I23" s="352">
        <f t="shared" si="3"/>
        <v>18342195</v>
      </c>
    </row>
    <row r="24" spans="1:13" ht="28.5" customHeight="1">
      <c r="A24" s="392" t="s">
        <v>87</v>
      </c>
      <c r="B24" s="392"/>
      <c r="C24" s="392"/>
      <c r="D24" s="392"/>
      <c r="E24" s="392"/>
      <c r="F24" s="392"/>
      <c r="G24" s="360"/>
      <c r="H24" s="354">
        <f>+SUM(H21:H23)</f>
        <v>72701792</v>
      </c>
      <c r="I24" s="355">
        <f>+SUM(I21:I23)</f>
        <v>72701792</v>
      </c>
    </row>
    <row r="25" spans="1:13" ht="35.25" customHeight="1" thickBot="1"/>
    <row r="26" spans="1:13" ht="43.9" customHeight="1" thickBot="1">
      <c r="A26" s="384" t="s">
        <v>132</v>
      </c>
      <c r="B26" s="385"/>
      <c r="C26" s="385"/>
      <c r="D26" s="386"/>
      <c r="E26" s="382" t="str">
        <f>IF(M16=0,"",(M16+I24))</f>
        <v/>
      </c>
      <c r="F26" s="383"/>
    </row>
    <row r="27" spans="1:13" ht="43.9" customHeight="1" thickBot="1">
      <c r="A27" s="346"/>
      <c r="B27" s="346"/>
      <c r="C27" s="346"/>
      <c r="D27" s="346"/>
      <c r="E27" s="346"/>
    </row>
    <row r="28" spans="1:13" ht="40.15" customHeight="1">
      <c r="A28" s="387" t="s">
        <v>133</v>
      </c>
      <c r="B28" s="388"/>
      <c r="C28" s="389"/>
      <c r="D28" s="369"/>
      <c r="E28" s="369"/>
      <c r="F28" s="369"/>
      <c r="G28" s="369"/>
      <c r="H28" s="369"/>
      <c r="I28" s="369"/>
      <c r="J28" s="369"/>
    </row>
    <row r="29" spans="1:13" ht="45" customHeight="1">
      <c r="A29" s="400" t="s">
        <v>134</v>
      </c>
      <c r="B29" s="401"/>
      <c r="C29" s="402"/>
      <c r="D29" s="370"/>
      <c r="E29" s="370"/>
      <c r="F29" s="370"/>
      <c r="G29" s="370"/>
      <c r="H29" s="370"/>
      <c r="I29" s="370"/>
      <c r="J29" s="370"/>
    </row>
    <row r="30" spans="1:13" ht="41.25" customHeight="1">
      <c r="A30" s="400" t="s">
        <v>135</v>
      </c>
      <c r="B30" s="401"/>
      <c r="C30" s="402"/>
      <c r="D30" s="370"/>
      <c r="E30" s="370"/>
      <c r="F30" s="370"/>
      <c r="G30" s="370"/>
      <c r="H30" s="370"/>
      <c r="I30" s="370"/>
      <c r="J30" s="370"/>
    </row>
    <row r="31" spans="1:13" ht="31.9" customHeight="1">
      <c r="A31" s="400" t="s">
        <v>136</v>
      </c>
      <c r="B31" s="401"/>
      <c r="C31" s="402"/>
      <c r="D31" s="370"/>
      <c r="E31" s="370"/>
      <c r="F31" s="370"/>
      <c r="G31" s="370"/>
      <c r="H31" s="370"/>
      <c r="I31" s="370"/>
      <c r="J31" s="370"/>
    </row>
    <row r="32" spans="1:13" ht="31.9" customHeight="1">
      <c r="A32" s="400" t="s">
        <v>137</v>
      </c>
      <c r="B32" s="401"/>
      <c r="C32" s="402"/>
      <c r="D32" s="370"/>
      <c r="E32" s="370"/>
      <c r="F32" s="370"/>
      <c r="G32" s="370"/>
      <c r="H32" s="370"/>
      <c r="I32" s="370"/>
      <c r="J32" s="370"/>
    </row>
    <row r="33" spans="1:10" ht="31.9" customHeight="1">
      <c r="A33" s="400" t="s">
        <v>138</v>
      </c>
      <c r="B33" s="401"/>
      <c r="C33" s="402"/>
      <c r="D33" s="370"/>
      <c r="E33" s="370"/>
      <c r="F33" s="370"/>
      <c r="G33" s="370"/>
      <c r="H33" s="370"/>
      <c r="I33" s="370"/>
      <c r="J33" s="370"/>
    </row>
    <row r="34" spans="1:10" ht="31.9" customHeight="1">
      <c r="A34" s="400" t="s">
        <v>139</v>
      </c>
      <c r="B34" s="401"/>
      <c r="C34" s="402"/>
      <c r="D34" s="370"/>
      <c r="E34" s="370"/>
      <c r="F34" s="370"/>
      <c r="G34" s="370"/>
      <c r="H34" s="370"/>
      <c r="I34" s="370"/>
      <c r="J34" s="370"/>
    </row>
    <row r="35" spans="1:10" ht="31.9" customHeight="1">
      <c r="A35" s="400" t="s">
        <v>140</v>
      </c>
      <c r="B35" s="401"/>
      <c r="C35" s="402"/>
      <c r="D35" s="393"/>
      <c r="E35" s="393"/>
      <c r="F35" s="393"/>
      <c r="G35" s="393"/>
      <c r="H35" s="393"/>
      <c r="I35" s="393"/>
      <c r="J35" s="370"/>
    </row>
    <row r="36" spans="1:10" ht="31.9" customHeight="1" thickBot="1">
      <c r="A36" s="394" t="s">
        <v>141</v>
      </c>
      <c r="B36" s="395"/>
      <c r="C36" s="396"/>
      <c r="D36" s="393"/>
      <c r="E36" s="393"/>
      <c r="F36" s="393"/>
      <c r="G36" s="393"/>
      <c r="H36" s="393"/>
      <c r="I36" s="393"/>
      <c r="J36" s="370"/>
    </row>
  </sheetData>
  <sheetProtection autoFilter="0"/>
  <mergeCells count="30">
    <mergeCell ref="G35:I35"/>
    <mergeCell ref="A36:C36"/>
    <mergeCell ref="D36:F36"/>
    <mergeCell ref="G36:I36"/>
    <mergeCell ref="A11:M11"/>
    <mergeCell ref="A29:C29"/>
    <mergeCell ref="A30:C30"/>
    <mergeCell ref="A31:C31"/>
    <mergeCell ref="A32:C32"/>
    <mergeCell ref="A33:C33"/>
    <mergeCell ref="A34:C34"/>
    <mergeCell ref="A35:C35"/>
    <mergeCell ref="D35:F35"/>
    <mergeCell ref="A18:F18"/>
    <mergeCell ref="A19:F19"/>
    <mergeCell ref="A21:A22"/>
    <mergeCell ref="E26:F26"/>
    <mergeCell ref="A26:D26"/>
    <mergeCell ref="A28:C28"/>
    <mergeCell ref="C20:F20"/>
    <mergeCell ref="C21:F21"/>
    <mergeCell ref="C22:F22"/>
    <mergeCell ref="C23:F23"/>
    <mergeCell ref="A24:F24"/>
    <mergeCell ref="A1:C1"/>
    <mergeCell ref="D1:M1"/>
    <mergeCell ref="A5:F5"/>
    <mergeCell ref="A2:M2"/>
    <mergeCell ref="J3:M3"/>
    <mergeCell ref="A3:I3"/>
  </mergeCells>
  <pageMargins left="0.70866141732283472" right="0.70866141732283472" top="0.74803149606299213" bottom="0.74803149606299213" header="0.31496062992125984" footer="0.31496062992125984"/>
  <pageSetup paperSize="9" scale="31"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tabColor rgb="FF00B050"/>
  </sheetPr>
  <dimension ref="A2:B7"/>
  <sheetViews>
    <sheetView workbookViewId="0">
      <selection activeCell="A4" sqref="A4"/>
    </sheetView>
  </sheetViews>
  <sheetFormatPr defaultColWidth="11.42578125" defaultRowHeight="14.45"/>
  <cols>
    <col min="2" max="2" width="22.7109375" customWidth="1"/>
  </cols>
  <sheetData>
    <row r="2" spans="1:2">
      <c r="A2">
        <v>6</v>
      </c>
      <c r="B2" t="s">
        <v>142</v>
      </c>
    </row>
    <row r="3" spans="1:2">
      <c r="A3">
        <v>5</v>
      </c>
      <c r="B3" t="s">
        <v>143</v>
      </c>
    </row>
    <row r="4" spans="1:2">
      <c r="A4">
        <v>4</v>
      </c>
      <c r="B4" t="s">
        <v>144</v>
      </c>
    </row>
    <row r="5" spans="1:2">
      <c r="A5">
        <v>3</v>
      </c>
      <c r="B5" t="s">
        <v>145</v>
      </c>
    </row>
    <row r="6" spans="1:2">
      <c r="A6">
        <v>2</v>
      </c>
      <c r="B6" t="s">
        <v>146</v>
      </c>
    </row>
    <row r="7" spans="1:2">
      <c r="A7">
        <v>1</v>
      </c>
      <c r="B7" s="113" t="s">
        <v>147</v>
      </c>
    </row>
  </sheetData>
  <phoneticPr fontId="2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rgb="FF00B050"/>
    <pageSetUpPr fitToPage="1"/>
  </sheetPr>
  <dimension ref="A2:Q41"/>
  <sheetViews>
    <sheetView showGridLines="0" zoomScale="70" zoomScaleNormal="70" workbookViewId="0">
      <pane ySplit="9" topLeftCell="A10" activePane="bottomLeft" state="frozenSplit"/>
      <selection pane="bottomLeft" activeCell="I11" sqref="I11"/>
      <selection activeCell="D40" sqref="D40:I42"/>
    </sheetView>
  </sheetViews>
  <sheetFormatPr defaultColWidth="0" defaultRowHeight="14.45"/>
  <cols>
    <col min="1" max="1" width="4.28515625" customWidth="1"/>
    <col min="2" max="2" width="6.5703125" customWidth="1"/>
    <col min="3" max="3" width="29.42578125" bestFit="1" customWidth="1"/>
    <col min="4" max="4" width="49.7109375" customWidth="1"/>
    <col min="5" max="5" width="32" customWidth="1"/>
    <col min="6" max="6" width="14.28515625" customWidth="1"/>
    <col min="7" max="7" width="14" customWidth="1"/>
    <col min="8" max="9" width="15" customWidth="1"/>
    <col min="10" max="10" width="8.7109375" bestFit="1" customWidth="1"/>
    <col min="11" max="14" width="15" customWidth="1"/>
    <col min="15" max="15" width="19.5703125" customWidth="1"/>
    <col min="16" max="16" width="11.42578125" customWidth="1"/>
    <col min="17" max="17" width="0" hidden="1" customWidth="1"/>
    <col min="18" max="16384" width="11.42578125" hidden="1"/>
  </cols>
  <sheetData>
    <row r="2" spans="1:15" ht="25.9">
      <c r="B2" s="463" t="s">
        <v>148</v>
      </c>
      <c r="C2" s="463"/>
      <c r="D2" s="463"/>
      <c r="E2" s="463"/>
      <c r="F2" s="463"/>
      <c r="G2" s="463"/>
      <c r="H2" s="463"/>
      <c r="I2" s="463"/>
      <c r="J2" s="463"/>
      <c r="K2" s="463"/>
      <c r="L2" s="463"/>
      <c r="M2" s="463"/>
      <c r="N2" s="463"/>
      <c r="O2" s="463"/>
    </row>
    <row r="3" spans="1:15" ht="21">
      <c r="B3" s="464" t="s">
        <v>149</v>
      </c>
      <c r="C3" s="464"/>
      <c r="D3" s="464"/>
      <c r="E3" s="464"/>
      <c r="F3" s="464"/>
      <c r="G3" s="464"/>
      <c r="H3" s="464"/>
      <c r="I3" s="464"/>
      <c r="J3" s="464"/>
      <c r="K3" s="464"/>
      <c r="L3" s="464"/>
      <c r="M3" s="464"/>
      <c r="N3" s="464"/>
      <c r="O3" s="464"/>
    </row>
    <row r="4" spans="1:15" ht="21">
      <c r="B4" s="82"/>
      <c r="C4" s="82"/>
      <c r="D4" s="82"/>
      <c r="E4" s="82"/>
      <c r="F4" s="82"/>
      <c r="G4" s="82"/>
      <c r="H4" s="82"/>
      <c r="I4" s="82"/>
      <c r="J4" s="82"/>
      <c r="K4" s="82"/>
      <c r="L4" s="82"/>
      <c r="M4" s="82"/>
      <c r="N4" s="82"/>
      <c r="O4" s="82"/>
    </row>
    <row r="6" spans="1:15" ht="45.6" customHeight="1">
      <c r="B6" s="465" t="s">
        <v>150</v>
      </c>
      <c r="C6" s="465"/>
      <c r="D6" s="465"/>
      <c r="E6" s="465"/>
      <c r="F6" s="465"/>
      <c r="G6" s="465"/>
      <c r="H6" s="465"/>
      <c r="I6" s="465"/>
      <c r="J6" s="465"/>
      <c r="K6" s="465"/>
      <c r="L6" s="465"/>
      <c r="M6" s="465"/>
      <c r="N6" s="465"/>
      <c r="O6" s="465"/>
    </row>
    <row r="7" spans="1:15">
      <c r="B7" s="466" t="s">
        <v>151</v>
      </c>
      <c r="C7" s="466"/>
    </row>
    <row r="9" spans="1:15" ht="39.6" customHeight="1">
      <c r="A9" s="84"/>
      <c r="B9" s="85" t="s">
        <v>1</v>
      </c>
      <c r="C9" s="86" t="s">
        <v>2</v>
      </c>
      <c r="D9" s="86" t="s">
        <v>152</v>
      </c>
      <c r="E9" s="86" t="s">
        <v>153</v>
      </c>
      <c r="F9" s="86" t="s">
        <v>4</v>
      </c>
      <c r="G9" s="86" t="s">
        <v>5</v>
      </c>
      <c r="H9" s="87" t="s">
        <v>57</v>
      </c>
      <c r="I9" s="87" t="s">
        <v>154</v>
      </c>
      <c r="J9" s="87" t="s">
        <v>71</v>
      </c>
      <c r="K9" s="87" t="s">
        <v>72</v>
      </c>
      <c r="L9" s="87" t="s">
        <v>63</v>
      </c>
      <c r="M9" s="87" t="s">
        <v>155</v>
      </c>
      <c r="N9" s="87" t="s">
        <v>156</v>
      </c>
      <c r="O9" s="87" t="s">
        <v>157</v>
      </c>
    </row>
    <row r="10" spans="1:15" s="88" customFormat="1" ht="46.9" customHeight="1">
      <c r="A10" s="457" t="s">
        <v>158</v>
      </c>
      <c r="B10" s="467" t="s">
        <v>159</v>
      </c>
      <c r="C10" s="467"/>
      <c r="D10" s="467"/>
      <c r="E10" s="467"/>
      <c r="F10" s="467"/>
      <c r="G10" s="467"/>
      <c r="H10" s="467"/>
      <c r="I10" s="467"/>
      <c r="J10" s="467"/>
      <c r="K10" s="467"/>
      <c r="L10" s="467"/>
      <c r="M10" s="467"/>
      <c r="N10" s="467"/>
      <c r="O10" s="467"/>
    </row>
    <row r="11" spans="1:15" ht="46.9" customHeight="1">
      <c r="A11" s="457"/>
      <c r="B11" s="89">
        <v>1</v>
      </c>
      <c r="C11" s="90" t="s">
        <v>160</v>
      </c>
      <c r="D11" s="90" t="s">
        <v>161</v>
      </c>
      <c r="E11" s="91"/>
      <c r="F11" s="92" t="s">
        <v>19</v>
      </c>
      <c r="G11" s="92">
        <v>1</v>
      </c>
      <c r="H11" s="93" t="e">
        <f>#REF!</f>
        <v>#REF!</v>
      </c>
      <c r="I11" s="94" t="e">
        <f>#REF!</f>
        <v>#REF!</v>
      </c>
      <c r="J11" s="95">
        <v>0.08</v>
      </c>
      <c r="K11" s="93" t="e">
        <f>(H11+I11)*J11</f>
        <v>#REF!</v>
      </c>
      <c r="L11" s="96" t="e">
        <f>H11+I11+K11</f>
        <v>#REF!</v>
      </c>
      <c r="M11" s="93" t="e">
        <f>L11*10%</f>
        <v>#REF!</v>
      </c>
      <c r="N11" s="93" t="e">
        <f>M11*19%</f>
        <v>#REF!</v>
      </c>
      <c r="O11" s="97" t="e">
        <f>ROUNDUP(L11+N11,-2)*G11</f>
        <v>#REF!</v>
      </c>
    </row>
    <row r="12" spans="1:15" ht="46.9" customHeight="1">
      <c r="A12" s="457"/>
      <c r="B12" s="89">
        <v>2</v>
      </c>
      <c r="C12" s="90" t="s">
        <v>162</v>
      </c>
      <c r="D12" s="90" t="s">
        <v>163</v>
      </c>
      <c r="E12" s="91"/>
      <c r="F12" s="98" t="s">
        <v>19</v>
      </c>
      <c r="G12" s="98">
        <v>1</v>
      </c>
      <c r="H12" s="93" t="e">
        <f>#REF!</f>
        <v>#REF!</v>
      </c>
      <c r="I12" s="94" t="e">
        <f>#REF!</f>
        <v>#REF!</v>
      </c>
      <c r="J12" s="95">
        <v>0.08</v>
      </c>
      <c r="K12" s="93" t="e">
        <f>(H12+I12)*J12</f>
        <v>#REF!</v>
      </c>
      <c r="L12" s="96" t="e">
        <f t="shared" ref="L12:L13" si="0">H12+I12+K12</f>
        <v>#REF!</v>
      </c>
      <c r="M12" s="93" t="e">
        <f t="shared" ref="M12:M13" si="1">L12*10%</f>
        <v>#REF!</v>
      </c>
      <c r="N12" s="93" t="e">
        <f t="shared" ref="N12:N13" si="2">M12*19%</f>
        <v>#REF!</v>
      </c>
      <c r="O12" s="97" t="e">
        <f t="shared" ref="O12:O17" si="3">ROUNDUP(L12+N12,-2)*G12</f>
        <v>#REF!</v>
      </c>
    </row>
    <row r="13" spans="1:15" ht="46.9" customHeight="1">
      <c r="A13" s="457"/>
      <c r="B13" s="89">
        <v>3</v>
      </c>
      <c r="C13" s="90" t="s">
        <v>164</v>
      </c>
      <c r="D13" s="90" t="s">
        <v>165</v>
      </c>
      <c r="E13" s="91"/>
      <c r="F13" s="98" t="s">
        <v>19</v>
      </c>
      <c r="G13" s="98">
        <v>1</v>
      </c>
      <c r="H13" s="93" t="e">
        <f>#REF!</f>
        <v>#REF!</v>
      </c>
      <c r="I13" s="94" t="e">
        <f>#REF!</f>
        <v>#REF!</v>
      </c>
      <c r="J13" s="95">
        <v>0.08</v>
      </c>
      <c r="K13" s="93" t="e">
        <f t="shared" ref="K13" si="4">(H13+I13)*J13</f>
        <v>#REF!</v>
      </c>
      <c r="L13" s="96" t="e">
        <f t="shared" si="0"/>
        <v>#REF!</v>
      </c>
      <c r="M13" s="93" t="e">
        <f t="shared" si="1"/>
        <v>#REF!</v>
      </c>
      <c r="N13" s="93" t="e">
        <f t="shared" si="2"/>
        <v>#REF!</v>
      </c>
      <c r="O13" s="97" t="e">
        <f t="shared" si="3"/>
        <v>#REF!</v>
      </c>
    </row>
    <row r="14" spans="1:15" ht="46.9" customHeight="1">
      <c r="A14" s="457" t="s">
        <v>166</v>
      </c>
      <c r="B14" s="458" t="s">
        <v>167</v>
      </c>
      <c r="C14" s="458"/>
      <c r="D14" s="458"/>
      <c r="E14" s="458"/>
      <c r="F14" s="458"/>
      <c r="G14" s="458"/>
      <c r="H14" s="458"/>
      <c r="I14" s="458"/>
      <c r="J14" s="458"/>
      <c r="K14" s="458"/>
      <c r="L14" s="458"/>
      <c r="M14" s="458"/>
      <c r="N14" s="458"/>
      <c r="O14" s="458"/>
    </row>
    <row r="15" spans="1:15" ht="46.9" customHeight="1">
      <c r="A15" s="457"/>
      <c r="B15" s="99">
        <v>1</v>
      </c>
      <c r="C15" s="100" t="s">
        <v>168</v>
      </c>
      <c r="D15" s="100" t="s">
        <v>161</v>
      </c>
      <c r="E15" s="101"/>
      <c r="F15" s="102" t="s">
        <v>19</v>
      </c>
      <c r="G15" s="102">
        <v>1</v>
      </c>
      <c r="H15" s="94" t="e">
        <f>#REF!</f>
        <v>#REF!</v>
      </c>
      <c r="I15" s="94" t="e">
        <f>#REF!</f>
        <v>#REF!</v>
      </c>
      <c r="J15" s="103">
        <v>0.08</v>
      </c>
      <c r="K15" s="104" t="e">
        <f>(H15+I15)*J15</f>
        <v>#REF!</v>
      </c>
      <c r="L15" s="96" t="e">
        <f>H15+I15+K15</f>
        <v>#REF!</v>
      </c>
      <c r="M15" s="104" t="e">
        <f>L15*10%</f>
        <v>#REF!</v>
      </c>
      <c r="N15" s="104" t="e">
        <f>M15*19%</f>
        <v>#REF!</v>
      </c>
      <c r="O15" s="105" t="e">
        <f>ROUNDUP(L15+N15,-2)*G15</f>
        <v>#REF!</v>
      </c>
    </row>
    <row r="16" spans="1:15" ht="46.9" customHeight="1">
      <c r="A16" s="457"/>
      <c r="B16" s="99">
        <v>2</v>
      </c>
      <c r="C16" s="100" t="s">
        <v>169</v>
      </c>
      <c r="D16" s="100" t="s">
        <v>163</v>
      </c>
      <c r="E16" s="101"/>
      <c r="F16" s="106" t="s">
        <v>19</v>
      </c>
      <c r="G16" s="106">
        <v>1</v>
      </c>
      <c r="H16" s="94" t="e">
        <f>#REF!</f>
        <v>#REF!</v>
      </c>
      <c r="I16" s="94" t="e">
        <f>#REF!</f>
        <v>#REF!</v>
      </c>
      <c r="J16" s="103">
        <v>0.08</v>
      </c>
      <c r="K16" s="104" t="e">
        <f>(H16+I16)*J16</f>
        <v>#REF!</v>
      </c>
      <c r="L16" s="96" t="e">
        <f t="shared" ref="L16:L17" si="5">H16+I16+K16</f>
        <v>#REF!</v>
      </c>
      <c r="M16" s="104" t="e">
        <f t="shared" ref="M16:M17" si="6">L16*10%</f>
        <v>#REF!</v>
      </c>
      <c r="N16" s="104" t="e">
        <f t="shared" ref="N16:N17" si="7">M16*19%</f>
        <v>#REF!</v>
      </c>
      <c r="O16" s="105" t="e">
        <f>ROUNDUP(L16+N16,-2)*G16</f>
        <v>#REF!</v>
      </c>
    </row>
    <row r="17" spans="1:15" ht="46.9" customHeight="1">
      <c r="A17" s="457"/>
      <c r="B17" s="99">
        <v>3</v>
      </c>
      <c r="C17" s="100" t="s">
        <v>170</v>
      </c>
      <c r="D17" s="100" t="s">
        <v>165</v>
      </c>
      <c r="E17" s="101"/>
      <c r="F17" s="106" t="s">
        <v>19</v>
      </c>
      <c r="G17" s="106">
        <v>1</v>
      </c>
      <c r="H17" s="94" t="e">
        <f>#REF!</f>
        <v>#REF!</v>
      </c>
      <c r="I17" s="94" t="e">
        <f>#REF!</f>
        <v>#REF!</v>
      </c>
      <c r="J17" s="103">
        <v>0.08</v>
      </c>
      <c r="K17" s="104" t="e">
        <f t="shared" ref="K17" si="8">(H17+I17)*J17</f>
        <v>#REF!</v>
      </c>
      <c r="L17" s="96" t="e">
        <f t="shared" si="5"/>
        <v>#REF!</v>
      </c>
      <c r="M17" s="104" t="e">
        <f t="shared" si="6"/>
        <v>#REF!</v>
      </c>
      <c r="N17" s="104" t="e">
        <f t="shared" si="7"/>
        <v>#REF!</v>
      </c>
      <c r="O17" s="105" t="e">
        <f t="shared" si="3"/>
        <v>#REF!</v>
      </c>
    </row>
    <row r="18" spans="1:15" ht="15.6">
      <c r="C18" s="107"/>
    </row>
    <row r="19" spans="1:15" ht="16.149999999999999" thickBot="1">
      <c r="C19" s="107"/>
    </row>
    <row r="20" spans="1:15" ht="14.45" customHeight="1">
      <c r="B20" s="459" t="s">
        <v>171</v>
      </c>
      <c r="C20" s="459"/>
      <c r="D20" s="459"/>
      <c r="E20" s="459"/>
      <c r="F20" s="459"/>
      <c r="G20" s="459"/>
      <c r="H20" s="459"/>
      <c r="I20" s="108"/>
      <c r="J20" s="108"/>
      <c r="K20" s="108"/>
      <c r="L20" s="108"/>
      <c r="M20" s="108"/>
      <c r="N20" s="108"/>
      <c r="O20" s="460" t="e">
        <f>SUM(O11:O17)</f>
        <v>#REF!</v>
      </c>
    </row>
    <row r="21" spans="1:15" ht="15" customHeight="1" thickBot="1">
      <c r="B21" s="459"/>
      <c r="C21" s="459"/>
      <c r="D21" s="459"/>
      <c r="E21" s="459"/>
      <c r="F21" s="459"/>
      <c r="G21" s="459"/>
      <c r="H21" s="459"/>
      <c r="I21" s="108"/>
      <c r="J21" s="108"/>
      <c r="K21" s="108"/>
      <c r="L21" s="108"/>
      <c r="M21" s="108"/>
      <c r="N21" s="108"/>
      <c r="O21" s="461"/>
    </row>
    <row r="22" spans="1:15" ht="14.45" customHeight="1">
      <c r="B22" s="459"/>
      <c r="C22" s="459"/>
      <c r="D22" s="459"/>
      <c r="E22" s="459"/>
      <c r="F22" s="459"/>
      <c r="G22" s="459"/>
      <c r="H22" s="459"/>
      <c r="I22" s="108"/>
      <c r="J22" s="108"/>
      <c r="K22" s="108"/>
      <c r="L22" s="108"/>
      <c r="M22" s="108"/>
      <c r="N22" s="108"/>
    </row>
    <row r="23" spans="1:15" ht="14.45" customHeight="1">
      <c r="B23" s="459"/>
      <c r="C23" s="459"/>
      <c r="D23" s="459"/>
      <c r="E23" s="459"/>
      <c r="F23" s="459"/>
      <c r="G23" s="459"/>
      <c r="H23" s="459"/>
      <c r="I23" s="108"/>
      <c r="J23" s="108"/>
      <c r="K23" s="108"/>
      <c r="L23" s="108"/>
      <c r="M23" s="108"/>
      <c r="N23" s="108"/>
    </row>
    <row r="25" spans="1:15" ht="15" thickBot="1">
      <c r="B25" s="462" t="s">
        <v>172</v>
      </c>
      <c r="C25" s="462"/>
    </row>
    <row r="26" spans="1:15">
      <c r="B26" s="448"/>
      <c r="C26" s="449"/>
      <c r="D26" s="449"/>
      <c r="E26" s="449"/>
      <c r="F26" s="449"/>
      <c r="G26" s="449"/>
      <c r="H26" s="449"/>
      <c r="I26" s="449"/>
      <c r="J26" s="449"/>
      <c r="K26" s="449"/>
      <c r="L26" s="449"/>
      <c r="M26" s="449"/>
      <c r="N26" s="449"/>
      <c r="O26" s="450"/>
    </row>
    <row r="27" spans="1:15">
      <c r="B27" s="451"/>
      <c r="C27" s="452"/>
      <c r="D27" s="452"/>
      <c r="E27" s="452"/>
      <c r="F27" s="452"/>
      <c r="G27" s="452"/>
      <c r="H27" s="452"/>
      <c r="I27" s="452"/>
      <c r="J27" s="452"/>
      <c r="K27" s="452"/>
      <c r="L27" s="452"/>
      <c r="M27" s="452"/>
      <c r="N27" s="452"/>
      <c r="O27" s="453"/>
    </row>
    <row r="28" spans="1:15">
      <c r="B28" s="451"/>
      <c r="C28" s="452"/>
      <c r="D28" s="452"/>
      <c r="E28" s="452"/>
      <c r="F28" s="452"/>
      <c r="G28" s="452"/>
      <c r="H28" s="452"/>
      <c r="I28" s="452"/>
      <c r="J28" s="452"/>
      <c r="K28" s="452"/>
      <c r="L28" s="452"/>
      <c r="M28" s="452"/>
      <c r="N28" s="452"/>
      <c r="O28" s="453"/>
    </row>
    <row r="29" spans="1:15">
      <c r="B29" s="451"/>
      <c r="C29" s="452"/>
      <c r="D29" s="452"/>
      <c r="E29" s="452"/>
      <c r="F29" s="452"/>
      <c r="G29" s="452"/>
      <c r="H29" s="452"/>
      <c r="I29" s="452"/>
      <c r="J29" s="452"/>
      <c r="K29" s="452"/>
      <c r="L29" s="452"/>
      <c r="M29" s="452"/>
      <c r="N29" s="452"/>
      <c r="O29" s="453"/>
    </row>
    <row r="30" spans="1:15">
      <c r="B30" s="451"/>
      <c r="C30" s="452"/>
      <c r="D30" s="452"/>
      <c r="E30" s="452"/>
      <c r="F30" s="452"/>
      <c r="G30" s="452"/>
      <c r="H30" s="452"/>
      <c r="I30" s="452"/>
      <c r="J30" s="452"/>
      <c r="K30" s="452"/>
      <c r="L30" s="452"/>
      <c r="M30" s="452"/>
      <c r="N30" s="452"/>
      <c r="O30" s="453"/>
    </row>
    <row r="31" spans="1:15">
      <c r="B31" s="451"/>
      <c r="C31" s="452"/>
      <c r="D31" s="452"/>
      <c r="E31" s="452"/>
      <c r="F31" s="452"/>
      <c r="G31" s="452"/>
      <c r="H31" s="452"/>
      <c r="I31" s="452"/>
      <c r="J31" s="452"/>
      <c r="K31" s="452"/>
      <c r="L31" s="452"/>
      <c r="M31" s="452"/>
      <c r="N31" s="452"/>
      <c r="O31" s="453"/>
    </row>
    <row r="32" spans="1:15" ht="15" thickBot="1">
      <c r="B32" s="454"/>
      <c r="C32" s="455"/>
      <c r="D32" s="455"/>
      <c r="E32" s="455"/>
      <c r="F32" s="455"/>
      <c r="G32" s="455"/>
      <c r="H32" s="455"/>
      <c r="I32" s="455"/>
      <c r="J32" s="455"/>
      <c r="K32" s="455"/>
      <c r="L32" s="455"/>
      <c r="M32" s="455"/>
      <c r="N32" s="455"/>
      <c r="O32" s="456"/>
    </row>
    <row r="37" spans="2:4" ht="15" thickBot="1">
      <c r="B37" s="455" t="s">
        <v>173</v>
      </c>
      <c r="C37" s="455"/>
      <c r="D37" s="109" t="s">
        <v>174</v>
      </c>
    </row>
    <row r="38" spans="2:4">
      <c r="B38" s="83"/>
      <c r="C38" s="83"/>
      <c r="D38" s="109" t="s">
        <v>175</v>
      </c>
    </row>
    <row r="39" spans="2:4">
      <c r="B39" s="83"/>
      <c r="C39" s="83"/>
      <c r="D39" s="109" t="s">
        <v>176</v>
      </c>
    </row>
    <row r="40" spans="2:4">
      <c r="B40" s="83"/>
      <c r="C40" s="83"/>
      <c r="D40" s="109"/>
    </row>
    <row r="41" spans="2:4">
      <c r="B41" s="83"/>
      <c r="C41" s="83"/>
      <c r="D41" s="109"/>
    </row>
  </sheetData>
  <mergeCells count="13">
    <mergeCell ref="B2:O2"/>
    <mergeCell ref="B3:O3"/>
    <mergeCell ref="B6:O6"/>
    <mergeCell ref="B7:C7"/>
    <mergeCell ref="A10:A13"/>
    <mergeCell ref="B10:O10"/>
    <mergeCell ref="B26:O32"/>
    <mergeCell ref="B37:C37"/>
    <mergeCell ref="A14:A17"/>
    <mergeCell ref="B14:O14"/>
    <mergeCell ref="B20:H23"/>
    <mergeCell ref="O20:O21"/>
    <mergeCell ref="B25:C25"/>
  </mergeCells>
  <dataValidations count="1">
    <dataValidation type="list" allowBlank="1" showInputMessage="1" showErrorMessage="1" sqref="J15:J17 J11:J13" xr:uid="{00000000-0002-0000-0600-000000000000}">
      <formula1>#REF!</formula1>
    </dataValidation>
  </dataValidations>
  <hyperlinks>
    <hyperlink ref="D37" r:id="rId1" xr:uid="{00000000-0004-0000-0600-000000000000}"/>
    <hyperlink ref="D38" r:id="rId2" xr:uid="{00000000-0004-0000-0600-000001000000}"/>
    <hyperlink ref="D39" r:id="rId3" xr:uid="{00000000-0004-0000-0600-000002000000}"/>
    <hyperlink ref="B7:C7" r:id="rId4" display="Ver Circular" xr:uid="{00000000-0004-0000-0600-000003000000}"/>
  </hyperlinks>
  <pageMargins left="0.7" right="0.7" top="0.75" bottom="0.75" header="0.3" footer="0.3"/>
  <pageSetup paperSize="9" scale="47" fitToHeight="0" orientation="landscape" r:id="rId5"/>
  <legacyDrawing r:id="rId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0"/>
  <dimension ref="A1:O35"/>
  <sheetViews>
    <sheetView topLeftCell="A7" zoomScale="55" zoomScaleNormal="55" workbookViewId="0">
      <selection activeCell="C18" sqref="C18"/>
    </sheetView>
  </sheetViews>
  <sheetFormatPr defaultColWidth="11.42578125" defaultRowHeight="14.45"/>
  <cols>
    <col min="1" max="1" width="32" customWidth="1"/>
    <col min="2" max="2" width="16.5703125" style="83" customWidth="1"/>
    <col min="3" max="3" width="66" customWidth="1"/>
    <col min="4" max="5" width="15.42578125" customWidth="1"/>
    <col min="6" max="6" width="15.42578125" bestFit="1" customWidth="1"/>
    <col min="7" max="7" width="15.42578125" customWidth="1"/>
    <col min="8" max="9" width="15.28515625" bestFit="1" customWidth="1"/>
    <col min="10" max="10" width="15.28515625" customWidth="1"/>
    <col min="11" max="11" width="18.5703125" customWidth="1"/>
    <col min="12" max="13" width="16.7109375" customWidth="1"/>
    <col min="14" max="14" width="16" customWidth="1"/>
    <col min="15" max="15" width="18.140625" customWidth="1"/>
  </cols>
  <sheetData>
    <row r="1" spans="1:15" ht="15" thickBot="1">
      <c r="A1" s="118" t="s">
        <v>177</v>
      </c>
      <c r="C1" s="119" t="s">
        <v>81</v>
      </c>
      <c r="D1" s="120" t="s">
        <v>177</v>
      </c>
      <c r="E1" s="121" t="s">
        <v>177</v>
      </c>
      <c r="F1" s="122" t="s">
        <v>178</v>
      </c>
      <c r="G1" s="123">
        <v>0.1</v>
      </c>
      <c r="H1" s="124"/>
      <c r="I1" s="125" t="s">
        <v>179</v>
      </c>
      <c r="J1" s="115"/>
      <c r="K1" s="124">
        <v>45790</v>
      </c>
      <c r="L1" s="125" t="s">
        <v>180</v>
      </c>
    </row>
    <row r="2" spans="1:15">
      <c r="A2" s="126">
        <v>14596078</v>
      </c>
      <c r="C2" s="127" t="s">
        <v>181</v>
      </c>
      <c r="D2" s="126">
        <v>14600838.324676892</v>
      </c>
      <c r="E2" s="128">
        <v>14840178.497176889</v>
      </c>
      <c r="F2" s="129">
        <v>16165394.981793046</v>
      </c>
      <c r="I2" s="110">
        <f>+(E2/30)*15</f>
        <v>7420089.2485884447</v>
      </c>
      <c r="K2" s="66">
        <f>(A2/30)*13</f>
        <v>6324967.1333333338</v>
      </c>
    </row>
    <row r="3" spans="1:15">
      <c r="A3" s="130">
        <v>2906823</v>
      </c>
      <c r="C3" s="131" t="s">
        <v>182</v>
      </c>
      <c r="D3" s="130">
        <v>2896998.2266674903</v>
      </c>
      <c r="E3" s="132">
        <v>2944450.5409415602</v>
      </c>
      <c r="F3" s="133">
        <v>3207303.5539256665</v>
      </c>
      <c r="I3" s="110">
        <f>+(E3/30)*15</f>
        <v>1472225.2704707801</v>
      </c>
      <c r="K3" s="66">
        <f>(A3/30)*13</f>
        <v>1259623.3</v>
      </c>
      <c r="M3" s="134" t="s">
        <v>183</v>
      </c>
    </row>
    <row r="4" spans="1:15" ht="15" thickBot="1">
      <c r="A4" s="135">
        <v>3487126</v>
      </c>
      <c r="C4" s="136" t="s">
        <v>184</v>
      </c>
      <c r="D4" s="135">
        <v>3477446.2035674904</v>
      </c>
      <c r="E4" s="137">
        <v>3534424.4693224132</v>
      </c>
      <c r="F4" s="138">
        <v>3849987.7471672422</v>
      </c>
      <c r="I4" s="110">
        <f>+(E4/30)*15</f>
        <v>1767212.2346612066</v>
      </c>
      <c r="K4" s="66">
        <f>(A4/30)*13</f>
        <v>1511087.9333333333</v>
      </c>
    </row>
    <row r="6" spans="1:15" ht="15" thickBot="1"/>
    <row r="7" spans="1:15" ht="29.45" thickBot="1">
      <c r="A7" s="139" t="s">
        <v>79</v>
      </c>
      <c r="B7" s="140" t="s">
        <v>80</v>
      </c>
      <c r="C7" s="141" t="s">
        <v>81</v>
      </c>
      <c r="D7" s="142" t="s">
        <v>185</v>
      </c>
      <c r="E7" s="142" t="s">
        <v>186</v>
      </c>
      <c r="F7" s="143" t="s">
        <v>187</v>
      </c>
      <c r="G7" s="144" t="s">
        <v>187</v>
      </c>
      <c r="H7" s="144" t="s">
        <v>188</v>
      </c>
      <c r="I7" s="144" t="s">
        <v>189</v>
      </c>
      <c r="J7" s="144" t="s">
        <v>190</v>
      </c>
      <c r="K7" s="144" t="s">
        <v>191</v>
      </c>
      <c r="L7" s="144" t="s">
        <v>192</v>
      </c>
      <c r="M7" s="122" t="s">
        <v>193</v>
      </c>
      <c r="N7" s="122" t="s">
        <v>194</v>
      </c>
      <c r="O7" s="145" t="s">
        <v>195</v>
      </c>
    </row>
    <row r="8" spans="1:15" ht="47.25" customHeight="1">
      <c r="A8" s="468" t="s">
        <v>196</v>
      </c>
      <c r="B8" s="146">
        <v>1</v>
      </c>
      <c r="C8" s="147" t="s">
        <v>181</v>
      </c>
      <c r="D8" s="148">
        <f>(D2/30)*19</f>
        <v>9247197.6056286991</v>
      </c>
      <c r="E8" s="149">
        <f>+D2*B8</f>
        <v>14600838.324676892</v>
      </c>
      <c r="F8" s="150">
        <v>7167279</v>
      </c>
      <c r="G8" s="150">
        <v>7214277</v>
      </c>
      <c r="H8" s="150">
        <f>+E2</f>
        <v>14840178.497176889</v>
      </c>
      <c r="I8" s="150">
        <f t="shared" ref="I8:L10" si="0">+H8</f>
        <v>14840178.497176889</v>
      </c>
      <c r="J8" s="150">
        <f t="shared" si="0"/>
        <v>14840178.497176889</v>
      </c>
      <c r="K8" s="150">
        <f t="shared" si="0"/>
        <v>14840178.497176889</v>
      </c>
      <c r="L8" s="150">
        <f t="shared" si="0"/>
        <v>14840178.497176889</v>
      </c>
      <c r="M8" s="150">
        <f>+F2</f>
        <v>16165394.981793046</v>
      </c>
      <c r="N8" s="151">
        <f>+M8</f>
        <v>16165394.981793046</v>
      </c>
      <c r="O8" s="152">
        <f>SUM(H8:N8)</f>
        <v>106531682.44947053</v>
      </c>
    </row>
    <row r="9" spans="1:15" ht="47.25" customHeight="1">
      <c r="A9" s="469"/>
      <c r="B9" s="153">
        <v>1</v>
      </c>
      <c r="C9" s="154" t="s">
        <v>182</v>
      </c>
      <c r="D9" s="155">
        <f>(D3/30)*19</f>
        <v>1834765.5435560774</v>
      </c>
      <c r="E9" s="156">
        <f>+D3*B9</f>
        <v>2896998.2266674903</v>
      </c>
      <c r="F9" s="157">
        <v>1427390</v>
      </c>
      <c r="G9" s="157">
        <v>1436742.5</v>
      </c>
      <c r="H9" s="157">
        <f>+E3</f>
        <v>2944450.5409415602</v>
      </c>
      <c r="I9" s="157">
        <f t="shared" si="0"/>
        <v>2944450.5409415602</v>
      </c>
      <c r="J9" s="157">
        <f t="shared" si="0"/>
        <v>2944450.5409415602</v>
      </c>
      <c r="K9" s="157">
        <f t="shared" si="0"/>
        <v>2944450.5409415602</v>
      </c>
      <c r="L9" s="157">
        <f t="shared" si="0"/>
        <v>2944450.5409415602</v>
      </c>
      <c r="M9" s="157">
        <f>+F3</f>
        <v>3207303.5539256665</v>
      </c>
      <c r="N9" s="158">
        <f>+M9</f>
        <v>3207303.5539256665</v>
      </c>
      <c r="O9" s="159">
        <f>SUM(H9:N9)</f>
        <v>21136859.812559135</v>
      </c>
    </row>
    <row r="10" spans="1:15" ht="47.25" customHeight="1" thickBot="1">
      <c r="A10" s="470"/>
      <c r="B10" s="160">
        <v>1</v>
      </c>
      <c r="C10" s="161" t="s">
        <v>184</v>
      </c>
      <c r="D10" s="162">
        <f>(D4/30)*19</f>
        <v>2202382.5955927437</v>
      </c>
      <c r="E10" s="163">
        <f>+D4*B10</f>
        <v>3477446.2035674904</v>
      </c>
      <c r="F10" s="164">
        <v>1712337</v>
      </c>
      <c r="G10" s="164">
        <v>1723560.5</v>
      </c>
      <c r="H10" s="164">
        <f>+E4</f>
        <v>3534424.4693224132</v>
      </c>
      <c r="I10" s="164">
        <f t="shared" si="0"/>
        <v>3534424.4693224132</v>
      </c>
      <c r="J10" s="164">
        <f t="shared" si="0"/>
        <v>3534424.4693224132</v>
      </c>
      <c r="K10" s="164">
        <f t="shared" si="0"/>
        <v>3534424.4693224132</v>
      </c>
      <c r="L10" s="164">
        <f t="shared" si="0"/>
        <v>3534424.4693224132</v>
      </c>
      <c r="M10" s="164">
        <f>+F4</f>
        <v>3849987.7471672422</v>
      </c>
      <c r="N10" s="165">
        <f>+M10</f>
        <v>3849987.7471672422</v>
      </c>
      <c r="O10" s="166">
        <f>SUM(H10:N10)</f>
        <v>25372097.840946548</v>
      </c>
    </row>
    <row r="11" spans="1:15" ht="47.25" customHeight="1" thickBot="1">
      <c r="A11" s="167"/>
      <c r="B11" s="168">
        <f>SUM(B8:B10)</f>
        <v>3</v>
      </c>
      <c r="C11" s="167"/>
      <c r="D11" s="169">
        <f>SUM(D8:D10)</f>
        <v>13284345.744777519</v>
      </c>
      <c r="E11" s="170">
        <v>53876087</v>
      </c>
      <c r="F11" s="170">
        <f t="shared" ref="F11:O11" si="1">SUM(F8:F10)</f>
        <v>10307006</v>
      </c>
      <c r="G11" s="170">
        <f t="shared" si="1"/>
        <v>10374580</v>
      </c>
      <c r="H11" s="170">
        <f t="shared" si="1"/>
        <v>21319053.507440861</v>
      </c>
      <c r="I11" s="170">
        <f t="shared" si="1"/>
        <v>21319053.507440861</v>
      </c>
      <c r="J11" s="170">
        <f t="shared" si="1"/>
        <v>21319053.507440861</v>
      </c>
      <c r="K11" s="170">
        <f t="shared" si="1"/>
        <v>21319053.507440861</v>
      </c>
      <c r="L11" s="170">
        <f t="shared" si="1"/>
        <v>21319053.507440861</v>
      </c>
      <c r="M11" s="170">
        <f t="shared" si="1"/>
        <v>23222686.282885954</v>
      </c>
      <c r="N11" s="170">
        <f t="shared" si="1"/>
        <v>23222686.282885954</v>
      </c>
      <c r="O11" s="171">
        <f t="shared" si="1"/>
        <v>153040640.10297623</v>
      </c>
    </row>
    <row r="15" spans="1:15" ht="15" thickBot="1">
      <c r="A15" s="471"/>
      <c r="B15" s="471"/>
      <c r="C15" s="471"/>
    </row>
    <row r="16" spans="1:15" ht="29.45" thickBot="1">
      <c r="A16" s="172" t="s">
        <v>79</v>
      </c>
      <c r="B16" s="173" t="s">
        <v>80</v>
      </c>
      <c r="C16" s="174" t="s">
        <v>81</v>
      </c>
      <c r="D16" s="142" t="s">
        <v>185</v>
      </c>
      <c r="E16" s="142" t="s">
        <v>186</v>
      </c>
      <c r="F16" s="143" t="s">
        <v>187</v>
      </c>
      <c r="G16" s="144" t="s">
        <v>187</v>
      </c>
      <c r="H16" s="144" t="s">
        <v>188</v>
      </c>
      <c r="I16" s="144" t="s">
        <v>189</v>
      </c>
      <c r="J16" s="144" t="s">
        <v>190</v>
      </c>
      <c r="K16" s="144" t="s">
        <v>191</v>
      </c>
      <c r="L16" s="144" t="s">
        <v>192</v>
      </c>
      <c r="M16" s="122" t="s">
        <v>193</v>
      </c>
      <c r="N16" s="122" t="s">
        <v>194</v>
      </c>
      <c r="O16" s="175" t="s">
        <v>195</v>
      </c>
    </row>
    <row r="17" spans="1:15" ht="36.75" customHeight="1">
      <c r="A17" s="472" t="s">
        <v>197</v>
      </c>
      <c r="B17" s="176">
        <v>1</v>
      </c>
      <c r="C17" s="177" t="s">
        <v>181</v>
      </c>
      <c r="D17" s="178">
        <f t="shared" ref="D17:M17" si="2">+D8*$B$17</f>
        <v>9247197.6056286991</v>
      </c>
      <c r="E17" s="179">
        <f t="shared" si="2"/>
        <v>14600838.324676892</v>
      </c>
      <c r="F17" s="179">
        <f t="shared" si="2"/>
        <v>7167279</v>
      </c>
      <c r="G17" s="179">
        <f t="shared" si="2"/>
        <v>7214277</v>
      </c>
      <c r="H17" s="179">
        <f t="shared" si="2"/>
        <v>14840178.497176889</v>
      </c>
      <c r="I17" s="179">
        <f t="shared" si="2"/>
        <v>14840178.497176889</v>
      </c>
      <c r="J17" s="179">
        <f t="shared" si="2"/>
        <v>14840178.497176889</v>
      </c>
      <c r="K17" s="179">
        <f t="shared" si="2"/>
        <v>14840178.497176889</v>
      </c>
      <c r="L17" s="179">
        <f t="shared" si="2"/>
        <v>14840178.497176889</v>
      </c>
      <c r="M17" s="179">
        <f t="shared" si="2"/>
        <v>16165394.981793046</v>
      </c>
      <c r="N17" s="180">
        <f>(N8/30)*11*$B$17</f>
        <v>5927311.4933241168</v>
      </c>
      <c r="O17" s="181">
        <f t="shared" ref="O17:O26" si="3">SUM(D17:N17)</f>
        <v>134523190.8913072</v>
      </c>
    </row>
    <row r="18" spans="1:15" ht="36.75" customHeight="1">
      <c r="A18" s="473"/>
      <c r="B18" s="182">
        <v>2</v>
      </c>
      <c r="C18" s="183" t="s">
        <v>182</v>
      </c>
      <c r="D18" s="184">
        <f t="shared" ref="D18:M18" si="4">+D9*$B$18</f>
        <v>3669531.0871121548</v>
      </c>
      <c r="E18" s="185">
        <f t="shared" si="4"/>
        <v>5793996.4533349806</v>
      </c>
      <c r="F18" s="185">
        <f t="shared" si="4"/>
        <v>2854780</v>
      </c>
      <c r="G18" s="185">
        <f t="shared" si="4"/>
        <v>2873485</v>
      </c>
      <c r="H18" s="185">
        <f t="shared" si="4"/>
        <v>5888901.0818831204</v>
      </c>
      <c r="I18" s="185">
        <f t="shared" si="4"/>
        <v>5888901.0818831204</v>
      </c>
      <c r="J18" s="185">
        <f t="shared" si="4"/>
        <v>5888901.0818831204</v>
      </c>
      <c r="K18" s="185">
        <f t="shared" si="4"/>
        <v>5888901.0818831204</v>
      </c>
      <c r="L18" s="185">
        <f t="shared" si="4"/>
        <v>5888901.0818831204</v>
      </c>
      <c r="M18" s="185">
        <f t="shared" si="4"/>
        <v>6414607.107851333</v>
      </c>
      <c r="N18" s="186">
        <f>(N9/30)*11*$B$18</f>
        <v>2352022.6062121554</v>
      </c>
      <c r="O18" s="187">
        <f t="shared" si="3"/>
        <v>53402927.663926221</v>
      </c>
    </row>
    <row r="19" spans="1:15" ht="36.75" customHeight="1" thickBot="1">
      <c r="A19" s="474"/>
      <c r="B19" s="188">
        <v>2</v>
      </c>
      <c r="C19" s="189" t="s">
        <v>184</v>
      </c>
      <c r="D19" s="190">
        <f t="shared" ref="D19:M19" si="5">+D10*$B$19</f>
        <v>4404765.1911854874</v>
      </c>
      <c r="E19" s="191">
        <f t="shared" si="5"/>
        <v>6954892.4071349809</v>
      </c>
      <c r="F19" s="191">
        <f t="shared" si="5"/>
        <v>3424674</v>
      </c>
      <c r="G19" s="191">
        <f t="shared" si="5"/>
        <v>3447121</v>
      </c>
      <c r="H19" s="191">
        <f t="shared" si="5"/>
        <v>7068848.9386448264</v>
      </c>
      <c r="I19" s="191">
        <f t="shared" si="5"/>
        <v>7068848.9386448264</v>
      </c>
      <c r="J19" s="191">
        <f t="shared" si="5"/>
        <v>7068848.9386448264</v>
      </c>
      <c r="K19" s="191">
        <f t="shared" si="5"/>
        <v>7068848.9386448264</v>
      </c>
      <c r="L19" s="191">
        <f t="shared" si="5"/>
        <v>7068848.9386448264</v>
      </c>
      <c r="M19" s="191">
        <f t="shared" si="5"/>
        <v>7699975.4943344845</v>
      </c>
      <c r="N19" s="192">
        <f>(N10/30)*11*$B$19</f>
        <v>2823324.3479226441</v>
      </c>
      <c r="O19" s="193">
        <f t="shared" si="3"/>
        <v>64098997.133801728</v>
      </c>
    </row>
    <row r="20" spans="1:15" ht="36.75" customHeight="1" thickBot="1">
      <c r="A20" s="194" t="s">
        <v>198</v>
      </c>
      <c r="B20" s="195">
        <v>1</v>
      </c>
      <c r="C20" s="189" t="s">
        <v>184</v>
      </c>
      <c r="D20" s="190">
        <f t="shared" ref="D20:M20" si="6">+D10*$B$20</f>
        <v>2202382.5955927437</v>
      </c>
      <c r="E20" s="191">
        <f t="shared" si="6"/>
        <v>3477446.2035674904</v>
      </c>
      <c r="F20" s="191">
        <f t="shared" si="6"/>
        <v>1712337</v>
      </c>
      <c r="G20" s="191">
        <f t="shared" si="6"/>
        <v>1723560.5</v>
      </c>
      <c r="H20" s="191">
        <f t="shared" si="6"/>
        <v>3534424.4693224132</v>
      </c>
      <c r="I20" s="191">
        <f t="shared" si="6"/>
        <v>3534424.4693224132</v>
      </c>
      <c r="J20" s="191">
        <f t="shared" si="6"/>
        <v>3534424.4693224132</v>
      </c>
      <c r="K20" s="191">
        <f t="shared" si="6"/>
        <v>3534424.4693224132</v>
      </c>
      <c r="L20" s="191">
        <f t="shared" si="6"/>
        <v>3534424.4693224132</v>
      </c>
      <c r="M20" s="191">
        <f t="shared" si="6"/>
        <v>3849987.7471672422</v>
      </c>
      <c r="N20" s="192">
        <f>(N10/30)*11*$B$20</f>
        <v>1411662.1739613221</v>
      </c>
      <c r="O20" s="196">
        <f t="shared" si="3"/>
        <v>32049498.566900864</v>
      </c>
    </row>
    <row r="21" spans="1:15" ht="36.75" customHeight="1">
      <c r="A21" s="472" t="s">
        <v>199</v>
      </c>
      <c r="B21" s="197">
        <v>1</v>
      </c>
      <c r="C21" s="177" t="s">
        <v>181</v>
      </c>
      <c r="D21" s="178">
        <f t="shared" ref="D21:M21" si="7">+D8*$B$21</f>
        <v>9247197.6056286991</v>
      </c>
      <c r="E21" s="179">
        <f t="shared" si="7"/>
        <v>14600838.324676892</v>
      </c>
      <c r="F21" s="179">
        <f t="shared" si="7"/>
        <v>7167279</v>
      </c>
      <c r="G21" s="179">
        <f t="shared" si="7"/>
        <v>7214277</v>
      </c>
      <c r="H21" s="179">
        <f t="shared" si="7"/>
        <v>14840178.497176889</v>
      </c>
      <c r="I21" s="179">
        <f t="shared" si="7"/>
        <v>14840178.497176889</v>
      </c>
      <c r="J21" s="179">
        <f t="shared" si="7"/>
        <v>14840178.497176889</v>
      </c>
      <c r="K21" s="179">
        <f t="shared" si="7"/>
        <v>14840178.497176889</v>
      </c>
      <c r="L21" s="179">
        <f t="shared" si="7"/>
        <v>14840178.497176889</v>
      </c>
      <c r="M21" s="179">
        <f t="shared" si="7"/>
        <v>16165394.981793046</v>
      </c>
      <c r="N21" s="180">
        <f>(N8/30)*11*$B$21</f>
        <v>5927311.4933241168</v>
      </c>
      <c r="O21" s="181">
        <f t="shared" si="3"/>
        <v>134523190.8913072</v>
      </c>
    </row>
    <row r="22" spans="1:15" ht="36.75" customHeight="1" thickBot="1">
      <c r="A22" s="474"/>
      <c r="B22" s="198">
        <v>1</v>
      </c>
      <c r="C22" s="189" t="s">
        <v>184</v>
      </c>
      <c r="D22" s="190">
        <f t="shared" ref="D22:M22" si="8">+D10*$B$22</f>
        <v>2202382.5955927437</v>
      </c>
      <c r="E22" s="191">
        <f t="shared" si="8"/>
        <v>3477446.2035674904</v>
      </c>
      <c r="F22" s="191">
        <f t="shared" si="8"/>
        <v>1712337</v>
      </c>
      <c r="G22" s="191">
        <f t="shared" si="8"/>
        <v>1723560.5</v>
      </c>
      <c r="H22" s="191">
        <f t="shared" si="8"/>
        <v>3534424.4693224132</v>
      </c>
      <c r="I22" s="191">
        <f t="shared" si="8"/>
        <v>3534424.4693224132</v>
      </c>
      <c r="J22" s="191">
        <f t="shared" si="8"/>
        <v>3534424.4693224132</v>
      </c>
      <c r="K22" s="191">
        <f t="shared" si="8"/>
        <v>3534424.4693224132</v>
      </c>
      <c r="L22" s="191">
        <f t="shared" si="8"/>
        <v>3534424.4693224132</v>
      </c>
      <c r="M22" s="191">
        <f t="shared" si="8"/>
        <v>3849987.7471672422</v>
      </c>
      <c r="N22" s="192">
        <f>(N10/30)*11*$B$22</f>
        <v>1411662.1739613221</v>
      </c>
      <c r="O22" s="199">
        <f t="shared" si="3"/>
        <v>32049498.566900864</v>
      </c>
    </row>
    <row r="23" spans="1:15" ht="36.75" customHeight="1" thickBot="1">
      <c r="A23" s="194" t="s">
        <v>200</v>
      </c>
      <c r="B23" s="195">
        <v>1</v>
      </c>
      <c r="C23" s="200" t="s">
        <v>181</v>
      </c>
      <c r="D23" s="201">
        <f t="shared" ref="D23:M23" si="9">+D8*$B$23</f>
        <v>9247197.6056286991</v>
      </c>
      <c r="E23" s="202">
        <f t="shared" si="9"/>
        <v>14600838.324676892</v>
      </c>
      <c r="F23" s="202">
        <f t="shared" si="9"/>
        <v>7167279</v>
      </c>
      <c r="G23" s="202">
        <f t="shared" si="9"/>
        <v>7214277</v>
      </c>
      <c r="H23" s="202">
        <f t="shared" si="9"/>
        <v>14840178.497176889</v>
      </c>
      <c r="I23" s="202">
        <f t="shared" si="9"/>
        <v>14840178.497176889</v>
      </c>
      <c r="J23" s="202">
        <f t="shared" si="9"/>
        <v>14840178.497176889</v>
      </c>
      <c r="K23" s="202">
        <f t="shared" si="9"/>
        <v>14840178.497176889</v>
      </c>
      <c r="L23" s="202">
        <f t="shared" si="9"/>
        <v>14840178.497176889</v>
      </c>
      <c r="M23" s="202">
        <f t="shared" si="9"/>
        <v>16165394.981793046</v>
      </c>
      <c r="N23" s="200">
        <f>(N8/30)*11*$B$23</f>
        <v>5927311.4933241168</v>
      </c>
      <c r="O23" s="196">
        <f t="shared" si="3"/>
        <v>134523190.8913072</v>
      </c>
    </row>
    <row r="24" spans="1:15" ht="36.75" customHeight="1" thickBot="1">
      <c r="A24" s="194" t="s">
        <v>201</v>
      </c>
      <c r="B24" s="195">
        <v>1</v>
      </c>
      <c r="C24" s="203" t="s">
        <v>181</v>
      </c>
      <c r="D24" s="201">
        <f t="shared" ref="D24:M24" si="10">+D8*$B$24</f>
        <v>9247197.6056286991</v>
      </c>
      <c r="E24" s="202">
        <f t="shared" si="10"/>
        <v>14600838.324676892</v>
      </c>
      <c r="F24" s="202">
        <f t="shared" si="10"/>
        <v>7167279</v>
      </c>
      <c r="G24" s="202">
        <f t="shared" si="10"/>
        <v>7214277</v>
      </c>
      <c r="H24" s="202">
        <f t="shared" si="10"/>
        <v>14840178.497176889</v>
      </c>
      <c r="I24" s="202">
        <f t="shared" si="10"/>
        <v>14840178.497176889</v>
      </c>
      <c r="J24" s="202">
        <f t="shared" si="10"/>
        <v>14840178.497176889</v>
      </c>
      <c r="K24" s="202">
        <f t="shared" si="10"/>
        <v>14840178.497176889</v>
      </c>
      <c r="L24" s="202">
        <f t="shared" si="10"/>
        <v>14840178.497176889</v>
      </c>
      <c r="M24" s="202">
        <f t="shared" si="10"/>
        <v>16165394.981793046</v>
      </c>
      <c r="N24" s="200">
        <f>(N8/30)*11*$B$24</f>
        <v>5927311.4933241168</v>
      </c>
      <c r="O24" s="181">
        <f t="shared" si="3"/>
        <v>134523190.8913072</v>
      </c>
    </row>
    <row r="25" spans="1:15" ht="36.75" customHeight="1" thickBot="1">
      <c r="A25" s="204"/>
      <c r="B25" s="205"/>
      <c r="C25" s="206" t="s">
        <v>202</v>
      </c>
      <c r="D25" s="207">
        <v>9659169.9719887972</v>
      </c>
      <c r="E25" s="207">
        <v>15251321.008403363</v>
      </c>
      <c r="F25" s="207">
        <f t="shared" ref="F25:M25" si="11">+E25</f>
        <v>15251321.008403363</v>
      </c>
      <c r="G25" s="207">
        <f t="shared" si="11"/>
        <v>15251321.008403363</v>
      </c>
      <c r="H25" s="207">
        <f t="shared" si="11"/>
        <v>15251321.008403363</v>
      </c>
      <c r="I25" s="207">
        <f t="shared" si="11"/>
        <v>15251321.008403363</v>
      </c>
      <c r="J25" s="207">
        <f t="shared" si="11"/>
        <v>15251321.008403363</v>
      </c>
      <c r="K25" s="207">
        <f t="shared" si="11"/>
        <v>15251321.008403363</v>
      </c>
      <c r="L25" s="207">
        <f t="shared" si="11"/>
        <v>15251321.008403363</v>
      </c>
      <c r="M25" s="207">
        <f t="shared" si="11"/>
        <v>15251321.008403363</v>
      </c>
      <c r="N25" s="207">
        <f>(M25/30*11)</f>
        <v>5592151.0364145664</v>
      </c>
      <c r="O25" s="208">
        <f t="shared" si="3"/>
        <v>152513210.08403361</v>
      </c>
    </row>
    <row r="26" spans="1:15" s="167" customFormat="1" ht="36.75" customHeight="1">
      <c r="B26" s="209">
        <f>SUM(B17:B24)</f>
        <v>10</v>
      </c>
      <c r="D26" s="210">
        <f t="shared" ref="D26:N26" si="12">SUM(D17:D25)</f>
        <v>59127021.863986723</v>
      </c>
      <c r="E26" s="210">
        <f t="shared" si="12"/>
        <v>93358455.574715868</v>
      </c>
      <c r="F26" s="210">
        <f t="shared" si="12"/>
        <v>53624565.008403361</v>
      </c>
      <c r="G26" s="210">
        <f t="shared" si="12"/>
        <v>53876156.008403361</v>
      </c>
      <c r="H26" s="210">
        <f t="shared" si="12"/>
        <v>94638633.956283689</v>
      </c>
      <c r="I26" s="210">
        <f t="shared" si="12"/>
        <v>94638633.956283689</v>
      </c>
      <c r="J26" s="210">
        <f t="shared" si="12"/>
        <v>94638633.956283689</v>
      </c>
      <c r="K26" s="210">
        <f t="shared" si="12"/>
        <v>94638633.956283689</v>
      </c>
      <c r="L26" s="210">
        <f t="shared" si="12"/>
        <v>94638633.956283689</v>
      </c>
      <c r="M26" s="210">
        <f t="shared" si="12"/>
        <v>101727459.03209585</v>
      </c>
      <c r="N26" s="210">
        <f t="shared" si="12"/>
        <v>37300068.311768472</v>
      </c>
      <c r="O26" s="211">
        <f t="shared" si="3"/>
        <v>872206895.58079219</v>
      </c>
    </row>
    <row r="27" spans="1:15" s="167" customFormat="1">
      <c r="B27" s="209"/>
      <c r="D27" s="210"/>
      <c r="G27" s="210"/>
    </row>
    <row r="28" spans="1:15" s="167" customFormat="1">
      <c r="B28" s="209"/>
    </row>
    <row r="31" spans="1:15">
      <c r="B31" s="115" t="s">
        <v>203</v>
      </c>
      <c r="E31" s="114"/>
    </row>
    <row r="32" spans="1:15">
      <c r="A32">
        <v>1839</v>
      </c>
      <c r="B32" s="83">
        <v>2810</v>
      </c>
      <c r="C32" t="s">
        <v>204</v>
      </c>
      <c r="D32" s="212">
        <f>+O17+O20+O21+O22+O23+O24+O25</f>
        <v>754704970.78306425</v>
      </c>
      <c r="F32" s="167"/>
      <c r="G32" s="209"/>
    </row>
    <row r="33" spans="1:7">
      <c r="A33" s="213" t="s">
        <v>205</v>
      </c>
      <c r="B33" s="83" t="s">
        <v>206</v>
      </c>
      <c r="C33" t="s">
        <v>207</v>
      </c>
      <c r="D33" s="214">
        <f>+O18+O19</f>
        <v>117501924.79772794</v>
      </c>
      <c r="E33" s="214"/>
      <c r="F33" s="210"/>
      <c r="G33" s="215"/>
    </row>
    <row r="34" spans="1:7">
      <c r="D34" s="216">
        <f>SUM(D32:D33)</f>
        <v>872206895.58079219</v>
      </c>
      <c r="F34" s="167"/>
      <c r="G34" s="167"/>
    </row>
    <row r="35" spans="1:7">
      <c r="F35" s="167"/>
      <c r="G35" s="167"/>
    </row>
  </sheetData>
  <mergeCells count="4">
    <mergeCell ref="A8:A10"/>
    <mergeCell ref="A15:C15"/>
    <mergeCell ref="A17:A19"/>
    <mergeCell ref="A21:A2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tabColor theme="4"/>
  </sheetPr>
  <dimension ref="A1:BL93"/>
  <sheetViews>
    <sheetView zoomScale="99" zoomScaleNormal="99" workbookViewId="0">
      <selection sqref="A1:A2"/>
    </sheetView>
  </sheetViews>
  <sheetFormatPr defaultColWidth="11.5703125" defaultRowHeight="14.45"/>
  <cols>
    <col min="1" max="1" width="20" bestFit="1" customWidth="1"/>
    <col min="2" max="2" width="37.5703125" customWidth="1"/>
    <col min="4" max="4" width="14.28515625" bestFit="1" customWidth="1"/>
    <col min="5" max="5" width="13.7109375" bestFit="1" customWidth="1"/>
    <col min="6" max="6" width="15.5703125" customWidth="1"/>
    <col min="7" max="12" width="12.85546875" bestFit="1" customWidth="1"/>
    <col min="13" max="13" width="15.140625" customWidth="1"/>
    <col min="14" max="15" width="14.28515625" bestFit="1" customWidth="1"/>
    <col min="16" max="17" width="13.28515625" bestFit="1" customWidth="1"/>
    <col min="18" max="18" width="14.28515625" bestFit="1" customWidth="1"/>
    <col min="19" max="19" width="13.28515625" bestFit="1" customWidth="1"/>
    <col min="20" max="20" width="13.7109375" customWidth="1"/>
    <col min="21" max="25" width="13.28515625" bestFit="1" customWidth="1"/>
    <col min="26" max="26" width="14.5703125" customWidth="1"/>
    <col min="27" max="27" width="13.28515625" bestFit="1" customWidth="1"/>
    <col min="28" max="28" width="15" customWidth="1"/>
    <col min="29" max="35" width="13.28515625" bestFit="1" customWidth="1"/>
    <col min="36" max="37" width="14.28515625" bestFit="1" customWidth="1"/>
    <col min="38" max="38" width="13.28515625" bestFit="1" customWidth="1"/>
    <col min="39" max="39" width="14.28515625" customWidth="1"/>
    <col min="40" max="43" width="13.28515625" bestFit="1" customWidth="1"/>
    <col min="44" max="45" width="12.140625" bestFit="1" customWidth="1"/>
    <col min="46" max="46" width="13.28515625" bestFit="1" customWidth="1"/>
    <col min="47" max="52" width="12.140625" bestFit="1" customWidth="1"/>
    <col min="53" max="53" width="13.28515625" bestFit="1" customWidth="1"/>
    <col min="54" max="55" width="12.140625" bestFit="1" customWidth="1"/>
    <col min="56" max="56" width="13.28515625" bestFit="1" customWidth="1"/>
    <col min="57" max="57" width="12.140625" bestFit="1" customWidth="1"/>
    <col min="58" max="58" width="13.28515625" bestFit="1" customWidth="1"/>
    <col min="59" max="64" width="12.140625" bestFit="1" customWidth="1"/>
  </cols>
  <sheetData>
    <row r="1" spans="1:64" ht="24" customHeight="1">
      <c r="A1" s="479" t="s">
        <v>208</v>
      </c>
      <c r="B1" s="479" t="s">
        <v>209</v>
      </c>
      <c r="C1" s="475" t="s">
        <v>210</v>
      </c>
      <c r="D1" s="477" t="s">
        <v>10</v>
      </c>
      <c r="E1" s="60" t="s">
        <v>211</v>
      </c>
      <c r="F1" s="67" t="s">
        <v>212</v>
      </c>
      <c r="G1" s="60" t="s">
        <v>213</v>
      </c>
      <c r="H1" s="67" t="s">
        <v>214</v>
      </c>
      <c r="I1" s="60" t="s">
        <v>215</v>
      </c>
      <c r="J1" s="67" t="s">
        <v>216</v>
      </c>
      <c r="K1" s="60" t="s">
        <v>217</v>
      </c>
      <c r="L1" s="67" t="s">
        <v>218</v>
      </c>
      <c r="M1" s="60" t="s">
        <v>219</v>
      </c>
      <c r="N1" s="67" t="s">
        <v>220</v>
      </c>
      <c r="O1" s="60" t="s">
        <v>221</v>
      </c>
      <c r="P1" s="67" t="s">
        <v>222</v>
      </c>
      <c r="Q1" s="60" t="s">
        <v>223</v>
      </c>
      <c r="R1" s="67" t="s">
        <v>224</v>
      </c>
      <c r="S1" s="60" t="s">
        <v>225</v>
      </c>
      <c r="T1" s="67" t="s">
        <v>226</v>
      </c>
      <c r="U1" s="60" t="s">
        <v>227</v>
      </c>
      <c r="V1" s="67" t="s">
        <v>228</v>
      </c>
      <c r="W1" s="60" t="s">
        <v>229</v>
      </c>
      <c r="X1" s="67" t="s">
        <v>230</v>
      </c>
      <c r="Y1" s="60" t="s">
        <v>231</v>
      </c>
      <c r="Z1" s="67" t="s">
        <v>232</v>
      </c>
      <c r="AA1" s="60" t="s">
        <v>233</v>
      </c>
      <c r="AB1" s="67" t="s">
        <v>234</v>
      </c>
      <c r="AC1" s="60" t="s">
        <v>235</v>
      </c>
      <c r="AD1" s="67" t="s">
        <v>236</v>
      </c>
      <c r="AE1" s="60" t="s">
        <v>237</v>
      </c>
      <c r="AF1" s="67" t="s">
        <v>238</v>
      </c>
      <c r="AG1" s="60" t="s">
        <v>239</v>
      </c>
      <c r="AH1" s="67" t="s">
        <v>240</v>
      </c>
      <c r="AI1" s="60" t="s">
        <v>241</v>
      </c>
      <c r="AJ1" s="67" t="s">
        <v>242</v>
      </c>
      <c r="AK1" s="60" t="s">
        <v>243</v>
      </c>
      <c r="AL1" s="67" t="s">
        <v>244</v>
      </c>
      <c r="AM1" s="60" t="s">
        <v>245</v>
      </c>
      <c r="AN1" s="67" t="s">
        <v>246</v>
      </c>
      <c r="AO1" s="60" t="s">
        <v>247</v>
      </c>
      <c r="AP1" s="67" t="s">
        <v>248</v>
      </c>
      <c r="AQ1" s="60" t="s">
        <v>249</v>
      </c>
      <c r="AR1" s="67" t="s">
        <v>250</v>
      </c>
      <c r="AS1" s="60" t="s">
        <v>251</v>
      </c>
      <c r="AT1" s="67" t="s">
        <v>252</v>
      </c>
      <c r="AU1" s="60" t="s">
        <v>253</v>
      </c>
      <c r="AV1" s="67" t="s">
        <v>254</v>
      </c>
      <c r="AW1" s="60" t="s">
        <v>255</v>
      </c>
      <c r="AX1" s="67" t="s">
        <v>256</v>
      </c>
      <c r="AY1" s="60" t="s">
        <v>257</v>
      </c>
      <c r="AZ1" s="67" t="s">
        <v>258</v>
      </c>
      <c r="BA1" s="60" t="s">
        <v>259</v>
      </c>
      <c r="BB1" s="67" t="s">
        <v>260</v>
      </c>
      <c r="BC1" s="60" t="s">
        <v>261</v>
      </c>
      <c r="BD1" s="67" t="s">
        <v>262</v>
      </c>
      <c r="BE1" s="60" t="s">
        <v>263</v>
      </c>
      <c r="BF1" s="67" t="s">
        <v>264</v>
      </c>
      <c r="BG1" s="60" t="s">
        <v>265</v>
      </c>
      <c r="BH1" s="67" t="s">
        <v>266</v>
      </c>
      <c r="BI1" s="60" t="s">
        <v>267</v>
      </c>
      <c r="BJ1" s="67" t="s">
        <v>268</v>
      </c>
      <c r="BK1" s="60" t="s">
        <v>269</v>
      </c>
      <c r="BL1" s="67" t="s">
        <v>270</v>
      </c>
    </row>
    <row r="2" spans="1:64" s="64" customFormat="1" ht="36" customHeight="1">
      <c r="A2" s="479" t="s">
        <v>271</v>
      </c>
      <c r="B2" s="479"/>
      <c r="C2" s="476"/>
      <c r="D2" s="478" t="s">
        <v>10</v>
      </c>
      <c r="E2" s="41" t="s">
        <v>272</v>
      </c>
      <c r="F2" s="63" t="s">
        <v>272</v>
      </c>
      <c r="G2" s="41" t="s">
        <v>272</v>
      </c>
      <c r="H2" s="63" t="s">
        <v>272</v>
      </c>
      <c r="I2" s="41" t="s">
        <v>272</v>
      </c>
      <c r="J2" s="63" t="s">
        <v>272</v>
      </c>
      <c r="K2" s="41" t="s">
        <v>272</v>
      </c>
      <c r="L2" s="63" t="s">
        <v>272</v>
      </c>
      <c r="M2" s="41" t="s">
        <v>272</v>
      </c>
      <c r="N2" s="63" t="s">
        <v>272</v>
      </c>
      <c r="O2" s="41" t="s">
        <v>272</v>
      </c>
      <c r="P2" s="63" t="s">
        <v>272</v>
      </c>
      <c r="Q2" s="41" t="s">
        <v>272</v>
      </c>
      <c r="R2" s="63" t="s">
        <v>272</v>
      </c>
      <c r="S2" s="41" t="s">
        <v>272</v>
      </c>
      <c r="T2" s="63" t="s">
        <v>272</v>
      </c>
      <c r="U2" s="41" t="s">
        <v>272</v>
      </c>
      <c r="V2" s="63" t="s">
        <v>272</v>
      </c>
      <c r="W2" s="41" t="s">
        <v>272</v>
      </c>
      <c r="X2" s="63" t="s">
        <v>272</v>
      </c>
      <c r="Y2" s="41" t="s">
        <v>272</v>
      </c>
      <c r="Z2" s="63" t="s">
        <v>272</v>
      </c>
      <c r="AA2" s="41" t="s">
        <v>272</v>
      </c>
      <c r="AB2" s="63" t="s">
        <v>272</v>
      </c>
      <c r="AC2" s="41" t="s">
        <v>272</v>
      </c>
      <c r="AD2" s="63" t="s">
        <v>272</v>
      </c>
      <c r="AE2" s="41" t="s">
        <v>272</v>
      </c>
      <c r="AF2" s="63" t="s">
        <v>272</v>
      </c>
      <c r="AG2" s="41" t="s">
        <v>272</v>
      </c>
      <c r="AH2" s="63" t="s">
        <v>272</v>
      </c>
      <c r="AI2" s="41" t="s">
        <v>272</v>
      </c>
      <c r="AJ2" s="63" t="s">
        <v>272</v>
      </c>
      <c r="AK2" s="41" t="s">
        <v>272</v>
      </c>
      <c r="AL2" s="63" t="s">
        <v>272</v>
      </c>
      <c r="AM2" s="41" t="s">
        <v>272</v>
      </c>
      <c r="AN2" s="63" t="s">
        <v>272</v>
      </c>
      <c r="AO2" s="41" t="s">
        <v>272</v>
      </c>
      <c r="AP2" s="63" t="s">
        <v>272</v>
      </c>
      <c r="AQ2" s="41" t="s">
        <v>272</v>
      </c>
      <c r="AR2" s="63" t="s">
        <v>272</v>
      </c>
      <c r="AS2" s="41" t="s">
        <v>272</v>
      </c>
      <c r="AT2" s="63" t="s">
        <v>272</v>
      </c>
      <c r="AU2" s="41" t="s">
        <v>272</v>
      </c>
      <c r="AV2" s="63" t="s">
        <v>272</v>
      </c>
      <c r="AW2" s="41" t="s">
        <v>272</v>
      </c>
      <c r="AX2" s="63" t="s">
        <v>272</v>
      </c>
      <c r="AY2" s="41" t="s">
        <v>272</v>
      </c>
      <c r="AZ2" s="63" t="s">
        <v>272</v>
      </c>
      <c r="BA2" s="41" t="s">
        <v>272</v>
      </c>
      <c r="BB2" s="63" t="s">
        <v>272</v>
      </c>
      <c r="BC2" s="41" t="s">
        <v>272</v>
      </c>
      <c r="BD2" s="63" t="s">
        <v>272</v>
      </c>
      <c r="BE2" s="41" t="s">
        <v>272</v>
      </c>
      <c r="BF2" s="63" t="s">
        <v>272</v>
      </c>
      <c r="BG2" s="41" t="s">
        <v>272</v>
      </c>
      <c r="BH2" s="63" t="s">
        <v>272</v>
      </c>
      <c r="BI2" s="41" t="s">
        <v>272</v>
      </c>
      <c r="BJ2" s="63" t="s">
        <v>272</v>
      </c>
      <c r="BK2" s="41" t="s">
        <v>272</v>
      </c>
      <c r="BL2" s="63" t="s">
        <v>272</v>
      </c>
    </row>
    <row r="3" spans="1:64" ht="15" customHeight="1">
      <c r="A3" s="1" t="s">
        <v>273</v>
      </c>
      <c r="B3" s="1" t="s">
        <v>274</v>
      </c>
      <c r="C3" s="70">
        <f t="shared" ref="C3:C14" si="0">STDEV(E3:BL3)/AVERAGE(E3:BL3)</f>
        <v>1.0446298117131358</v>
      </c>
      <c r="D3" s="71">
        <f t="shared" ref="D3:D14" si="1">ROUND(IF(C3&lt;=0.15,AVERAGE(E3:BL3),MEDIAN(E3:BL3)),0)</f>
        <v>116559</v>
      </c>
      <c r="E3" s="42">
        <v>119531</v>
      </c>
      <c r="F3" s="42">
        <v>122597</v>
      </c>
      <c r="G3" s="42">
        <v>113315</v>
      </c>
      <c r="H3" s="42">
        <v>121385</v>
      </c>
      <c r="I3" s="42">
        <v>127793</v>
      </c>
      <c r="J3" s="42">
        <v>110070</v>
      </c>
      <c r="K3" s="42">
        <v>126825</v>
      </c>
      <c r="L3" s="42">
        <v>102350.37</v>
      </c>
      <c r="M3" s="42">
        <v>84550</v>
      </c>
      <c r="N3" s="42">
        <v>753084</v>
      </c>
      <c r="O3" s="42">
        <v>747419</v>
      </c>
      <c r="P3" s="42">
        <v>102206</v>
      </c>
      <c r="Q3" s="42">
        <v>88340</v>
      </c>
      <c r="R3" s="42">
        <v>633446</v>
      </c>
      <c r="S3" s="42">
        <v>110703.74053333333</v>
      </c>
      <c r="T3" s="42">
        <v>111838</v>
      </c>
      <c r="U3" s="42">
        <v>109703</v>
      </c>
      <c r="V3" s="42">
        <v>119779</v>
      </c>
      <c r="W3" s="42">
        <v>125063</v>
      </c>
      <c r="X3" s="42">
        <v>111549</v>
      </c>
      <c r="Y3" s="42">
        <v>128769</v>
      </c>
      <c r="Z3" s="42">
        <v>122825.06735766666</v>
      </c>
      <c r="AA3" s="42">
        <v>106011.23218333333</v>
      </c>
      <c r="AB3" s="42">
        <v>84550</v>
      </c>
      <c r="AC3" s="42">
        <v>108364</v>
      </c>
      <c r="AD3" s="42">
        <v>100191</v>
      </c>
      <c r="AE3" s="42">
        <v>117256</v>
      </c>
      <c r="AF3" s="42">
        <v>128093</v>
      </c>
      <c r="AG3" s="42">
        <v>107981</v>
      </c>
      <c r="AH3" s="42">
        <v>111676</v>
      </c>
      <c r="AI3" s="42">
        <v>98276</v>
      </c>
      <c r="AJ3" s="42">
        <v>580772</v>
      </c>
      <c r="AK3" s="42">
        <v>807534</v>
      </c>
      <c r="AL3" s="42">
        <v>135280</v>
      </c>
      <c r="AM3" s="42">
        <v>115706</v>
      </c>
      <c r="AN3" s="42">
        <v>105483</v>
      </c>
      <c r="AO3" s="42">
        <v>98204</v>
      </c>
      <c r="AP3" s="42">
        <v>108195.43276666666</v>
      </c>
      <c r="AQ3" s="42">
        <v>676254</v>
      </c>
      <c r="AR3" s="42">
        <v>99008</v>
      </c>
      <c r="AS3" s="42">
        <v>108505</v>
      </c>
      <c r="AT3" s="42">
        <v>719716</v>
      </c>
      <c r="AU3" s="42">
        <v>110253</v>
      </c>
      <c r="AV3" s="42">
        <v>117341</v>
      </c>
      <c r="AW3" s="42">
        <v>122500</v>
      </c>
      <c r="AX3" s="42">
        <v>101121</v>
      </c>
      <c r="AY3" s="42">
        <v>115269</v>
      </c>
      <c r="AZ3" s="42">
        <v>95217</v>
      </c>
      <c r="BA3" s="42">
        <v>486161</v>
      </c>
      <c r="BB3" s="42">
        <v>136224</v>
      </c>
      <c r="BC3" s="42">
        <v>133870.35833333366</v>
      </c>
      <c r="BD3" s="42">
        <v>676938</v>
      </c>
      <c r="BE3" s="42">
        <v>139507</v>
      </c>
      <c r="BF3" s="42">
        <v>591848</v>
      </c>
      <c r="BG3" s="42">
        <v>108830</v>
      </c>
      <c r="BH3" s="42">
        <v>845497</v>
      </c>
      <c r="BI3" s="42">
        <v>101727.38</v>
      </c>
      <c r="BJ3" s="42">
        <v>121145</v>
      </c>
      <c r="BK3" s="42">
        <v>115861</v>
      </c>
      <c r="BL3" s="42">
        <v>119990</v>
      </c>
    </row>
    <row r="4" spans="1:64" ht="15" customHeight="1">
      <c r="A4" s="1" t="s">
        <v>275</v>
      </c>
      <c r="B4" s="1" t="s">
        <v>276</v>
      </c>
      <c r="C4" s="70">
        <f t="shared" si="0"/>
        <v>1.0276726543935164</v>
      </c>
      <c r="D4" s="71">
        <f t="shared" si="1"/>
        <v>788613</v>
      </c>
      <c r="E4" s="42">
        <v>808721</v>
      </c>
      <c r="F4" s="42">
        <v>829467</v>
      </c>
      <c r="G4" s="42">
        <v>767115</v>
      </c>
      <c r="H4" s="42">
        <v>821267</v>
      </c>
      <c r="I4" s="42">
        <v>864619</v>
      </c>
      <c r="J4" s="42">
        <v>744708</v>
      </c>
      <c r="K4" s="42">
        <v>858069</v>
      </c>
      <c r="L4" s="42">
        <v>692481.58</v>
      </c>
      <c r="M4" s="42">
        <v>572046</v>
      </c>
      <c r="N4" s="42">
        <v>5095213</v>
      </c>
      <c r="O4" s="42">
        <v>5056886</v>
      </c>
      <c r="P4" s="42">
        <v>691508</v>
      </c>
      <c r="Q4" s="42">
        <v>597693</v>
      </c>
      <c r="R4" s="42">
        <v>4285768</v>
      </c>
      <c r="S4" s="42">
        <v>748998.76506666664</v>
      </c>
      <c r="T4" s="42">
        <v>756676</v>
      </c>
      <c r="U4" s="42">
        <v>742230</v>
      </c>
      <c r="V4" s="42">
        <v>810398</v>
      </c>
      <c r="W4" s="42">
        <v>846151</v>
      </c>
      <c r="X4" s="42">
        <v>754719</v>
      </c>
      <c r="Y4" s="42">
        <v>871226</v>
      </c>
      <c r="Z4" s="42">
        <v>831009.17211033334</v>
      </c>
      <c r="AA4" s="42">
        <v>717250.21761666669</v>
      </c>
      <c r="AB4" s="42">
        <v>572046</v>
      </c>
      <c r="AC4" s="42">
        <v>733166</v>
      </c>
      <c r="AD4" s="42">
        <v>677874</v>
      </c>
      <c r="AE4" s="42">
        <v>793332</v>
      </c>
      <c r="AF4" s="42">
        <v>866650</v>
      </c>
      <c r="AG4" s="42">
        <v>730580</v>
      </c>
      <c r="AH4" s="42">
        <v>755577</v>
      </c>
      <c r="AI4" s="42">
        <v>664918</v>
      </c>
      <c r="AJ4" s="42">
        <v>3929383</v>
      </c>
      <c r="AK4" s="42">
        <v>5463610</v>
      </c>
      <c r="AL4" s="42">
        <v>915273</v>
      </c>
      <c r="AM4" s="42">
        <v>782845</v>
      </c>
      <c r="AN4" s="42">
        <v>713674</v>
      </c>
      <c r="AO4" s="42">
        <v>664430</v>
      </c>
      <c r="AP4" s="42">
        <v>732028.07003333338</v>
      </c>
      <c r="AQ4" s="42">
        <v>4575395</v>
      </c>
      <c r="AR4" s="42">
        <v>669866</v>
      </c>
      <c r="AS4" s="42">
        <v>734126</v>
      </c>
      <c r="AT4" s="42">
        <v>4869452</v>
      </c>
      <c r="AU4" s="42">
        <v>745948</v>
      </c>
      <c r="AV4" s="42">
        <v>793904</v>
      </c>
      <c r="AW4" s="42">
        <v>828809</v>
      </c>
      <c r="AX4" s="42">
        <v>684163</v>
      </c>
      <c r="AY4" s="42">
        <v>779889</v>
      </c>
      <c r="AZ4" s="42">
        <v>644219</v>
      </c>
      <c r="BA4" s="42">
        <v>3289264</v>
      </c>
      <c r="BB4" s="42">
        <v>921661</v>
      </c>
      <c r="BC4" s="42">
        <v>905739.34166666667</v>
      </c>
      <c r="BD4" s="42">
        <v>4576367</v>
      </c>
      <c r="BE4" s="42">
        <v>943876</v>
      </c>
      <c r="BF4" s="42">
        <v>4004321</v>
      </c>
      <c r="BG4" s="42">
        <v>736318</v>
      </c>
      <c r="BH4" s="42">
        <v>4720459</v>
      </c>
      <c r="BI4" s="42">
        <v>688266.56</v>
      </c>
      <c r="BJ4" s="42">
        <v>819647</v>
      </c>
      <c r="BK4" s="42">
        <v>783894</v>
      </c>
      <c r="BL4" s="42">
        <v>811828</v>
      </c>
    </row>
    <row r="5" spans="1:64" ht="15" customHeight="1">
      <c r="A5" s="1" t="s">
        <v>277</v>
      </c>
      <c r="B5" s="1" t="s">
        <v>278</v>
      </c>
      <c r="C5" s="70">
        <f t="shared" si="0"/>
        <v>1.0445845239566776</v>
      </c>
      <c r="D5" s="71">
        <f t="shared" si="1"/>
        <v>94465</v>
      </c>
      <c r="E5" s="42">
        <v>96873</v>
      </c>
      <c r="F5" s="42">
        <v>99358</v>
      </c>
      <c r="G5" s="42">
        <v>91859</v>
      </c>
      <c r="H5" s="42">
        <v>98376</v>
      </c>
      <c r="I5" s="42">
        <v>103569</v>
      </c>
      <c r="J5" s="42">
        <v>89205</v>
      </c>
      <c r="K5" s="42">
        <v>102784</v>
      </c>
      <c r="L5" s="42">
        <v>82949.13</v>
      </c>
      <c r="M5" s="42">
        <v>68523</v>
      </c>
      <c r="N5" s="42">
        <v>610332</v>
      </c>
      <c r="O5" s="42">
        <v>605741</v>
      </c>
      <c r="P5" s="42">
        <v>82833</v>
      </c>
      <c r="Q5" s="42">
        <v>71595</v>
      </c>
      <c r="R5" s="42">
        <v>513372</v>
      </c>
      <c r="S5" s="42">
        <v>89719.055200000003</v>
      </c>
      <c r="T5" s="42">
        <v>90639</v>
      </c>
      <c r="U5" s="42">
        <v>88908</v>
      </c>
      <c r="V5" s="42">
        <v>97074</v>
      </c>
      <c r="W5" s="42">
        <v>101356</v>
      </c>
      <c r="X5" s="42">
        <v>90404</v>
      </c>
      <c r="Y5" s="42">
        <v>104360</v>
      </c>
      <c r="Z5" s="42">
        <v>99542.697881</v>
      </c>
      <c r="AA5" s="42">
        <v>85916.04535</v>
      </c>
      <c r="AB5" s="42">
        <v>68523</v>
      </c>
      <c r="AC5" s="42">
        <v>87823</v>
      </c>
      <c r="AD5" s="42">
        <v>81199</v>
      </c>
      <c r="AE5" s="42">
        <v>95030</v>
      </c>
      <c r="AF5" s="42">
        <v>103812</v>
      </c>
      <c r="AG5" s="42">
        <v>87513</v>
      </c>
      <c r="AH5" s="42">
        <v>90507</v>
      </c>
      <c r="AI5" s="42">
        <v>79647</v>
      </c>
      <c r="AJ5" s="42">
        <v>470682</v>
      </c>
      <c r="AK5" s="42">
        <v>654460</v>
      </c>
      <c r="AL5" s="42">
        <v>109636</v>
      </c>
      <c r="AM5" s="42">
        <v>93773</v>
      </c>
      <c r="AN5" s="42">
        <v>85488</v>
      </c>
      <c r="AO5" s="42">
        <v>79588</v>
      </c>
      <c r="AP5" s="42">
        <v>87686.215100000001</v>
      </c>
      <c r="AQ5" s="42">
        <v>548065</v>
      </c>
      <c r="AR5" s="42">
        <v>80240</v>
      </c>
      <c r="AS5" s="42">
        <v>87937</v>
      </c>
      <c r="AT5" s="42">
        <v>583289</v>
      </c>
      <c r="AU5" s="42">
        <v>89354</v>
      </c>
      <c r="AV5" s="42">
        <v>95098</v>
      </c>
      <c r="AW5" s="42">
        <v>99280</v>
      </c>
      <c r="AX5" s="42">
        <v>81953</v>
      </c>
      <c r="AY5" s="42">
        <v>93419</v>
      </c>
      <c r="AZ5" s="42">
        <v>77168</v>
      </c>
      <c r="BA5" s="42">
        <v>394006</v>
      </c>
      <c r="BB5" s="42">
        <v>110401</v>
      </c>
      <c r="BC5" s="42">
        <v>108494.27499999999</v>
      </c>
      <c r="BD5" s="42">
        <v>548182</v>
      </c>
      <c r="BE5" s="42">
        <v>113062</v>
      </c>
      <c r="BF5" s="42">
        <v>479659</v>
      </c>
      <c r="BG5" s="42">
        <v>88200</v>
      </c>
      <c r="BH5" s="42">
        <v>685227</v>
      </c>
      <c r="BI5" s="42">
        <v>82444.23</v>
      </c>
      <c r="BJ5" s="42">
        <v>98182</v>
      </c>
      <c r="BK5" s="42">
        <v>93899</v>
      </c>
      <c r="BL5" s="42">
        <v>97245</v>
      </c>
    </row>
    <row r="6" spans="1:64" ht="15" customHeight="1">
      <c r="A6" s="1" t="s">
        <v>279</v>
      </c>
      <c r="B6" s="1" t="s">
        <v>280</v>
      </c>
      <c r="C6" s="70">
        <f t="shared" si="0"/>
        <v>1.0445803208911153</v>
      </c>
      <c r="D6" s="71">
        <f t="shared" si="1"/>
        <v>209502</v>
      </c>
      <c r="E6" s="42">
        <v>214843</v>
      </c>
      <c r="F6" s="42">
        <v>220355</v>
      </c>
      <c r="G6" s="42">
        <v>203790</v>
      </c>
      <c r="H6" s="42">
        <v>218177</v>
      </c>
      <c r="I6" s="42">
        <v>229693</v>
      </c>
      <c r="J6" s="42">
        <v>197838</v>
      </c>
      <c r="K6" s="42">
        <v>227953</v>
      </c>
      <c r="L6" s="42">
        <v>183963.67</v>
      </c>
      <c r="M6" s="42">
        <v>151969</v>
      </c>
      <c r="N6" s="42">
        <v>1353588</v>
      </c>
      <c r="O6" s="42">
        <v>1343405</v>
      </c>
      <c r="P6" s="42">
        <v>183705</v>
      </c>
      <c r="Q6" s="42">
        <v>158782</v>
      </c>
      <c r="R6" s="42">
        <v>1138551</v>
      </c>
      <c r="S6" s="42">
        <v>198977.94639999999</v>
      </c>
      <c r="T6" s="42">
        <v>201017</v>
      </c>
      <c r="U6" s="42">
        <v>197180</v>
      </c>
      <c r="V6" s="42">
        <v>215289</v>
      </c>
      <c r="W6" s="42">
        <v>224787</v>
      </c>
      <c r="X6" s="42">
        <v>200498</v>
      </c>
      <c r="Y6" s="42">
        <v>231449</v>
      </c>
      <c r="Z6" s="42">
        <v>220764.71446700001</v>
      </c>
      <c r="AA6" s="42">
        <v>190543.67244999998</v>
      </c>
      <c r="AB6" s="42">
        <v>151969</v>
      </c>
      <c r="AC6" s="42">
        <v>194772</v>
      </c>
      <c r="AD6" s="42">
        <v>180083</v>
      </c>
      <c r="AE6" s="42">
        <v>210756</v>
      </c>
      <c r="AF6" s="42">
        <v>230233</v>
      </c>
      <c r="AG6" s="42">
        <v>194085</v>
      </c>
      <c r="AH6" s="42">
        <v>200726</v>
      </c>
      <c r="AI6" s="42">
        <v>176641</v>
      </c>
      <c r="AJ6" s="42">
        <v>1043874</v>
      </c>
      <c r="AK6" s="42">
        <v>1451455</v>
      </c>
      <c r="AL6" s="42">
        <v>243150</v>
      </c>
      <c r="AM6" s="42">
        <v>207969</v>
      </c>
      <c r="AN6" s="42">
        <v>189594</v>
      </c>
      <c r="AO6" s="42">
        <v>176511</v>
      </c>
      <c r="AP6" s="42">
        <v>194469.53570000001</v>
      </c>
      <c r="AQ6" s="42">
        <v>1215494</v>
      </c>
      <c r="AR6" s="42">
        <v>177956</v>
      </c>
      <c r="AS6" s="42">
        <v>195027</v>
      </c>
      <c r="AT6" s="42">
        <v>1293611.857142857</v>
      </c>
      <c r="AU6" s="42">
        <v>198167</v>
      </c>
      <c r="AV6" s="42">
        <v>210908</v>
      </c>
      <c r="AW6" s="42">
        <v>220181</v>
      </c>
      <c r="AX6" s="42">
        <v>181754</v>
      </c>
      <c r="AY6" s="42">
        <v>207184</v>
      </c>
      <c r="AZ6" s="42">
        <v>171142</v>
      </c>
      <c r="BA6" s="42">
        <v>873821</v>
      </c>
      <c r="BB6" s="42">
        <v>244847</v>
      </c>
      <c r="BC6" s="42">
        <v>240617.42499999999</v>
      </c>
      <c r="BD6" s="42">
        <v>1215751</v>
      </c>
      <c r="BE6" s="42">
        <v>250749</v>
      </c>
      <c r="BF6" s="42">
        <v>1063782</v>
      </c>
      <c r="BG6" s="42">
        <v>195609</v>
      </c>
      <c r="BH6" s="42">
        <v>1519689</v>
      </c>
      <c r="BI6" s="42">
        <v>182843.91</v>
      </c>
      <c r="BJ6" s="42">
        <v>217747</v>
      </c>
      <c r="BK6" s="42">
        <v>208248</v>
      </c>
      <c r="BL6" s="42">
        <v>215669</v>
      </c>
    </row>
    <row r="7" spans="1:64" ht="15" customHeight="1">
      <c r="A7" s="1" t="s">
        <v>281</v>
      </c>
      <c r="B7" s="1" t="s">
        <v>282</v>
      </c>
      <c r="C7" s="70">
        <f t="shared" si="0"/>
        <v>1.0226108466114483</v>
      </c>
      <c r="D7" s="71">
        <f t="shared" si="1"/>
        <v>390913</v>
      </c>
      <c r="E7" s="42">
        <v>400880</v>
      </c>
      <c r="F7" s="42">
        <v>411164</v>
      </c>
      <c r="G7" s="42">
        <v>380260</v>
      </c>
      <c r="H7" s="42">
        <v>407099</v>
      </c>
      <c r="I7" s="42">
        <v>428589</v>
      </c>
      <c r="J7" s="42">
        <v>369149</v>
      </c>
      <c r="K7" s="42">
        <v>425342</v>
      </c>
      <c r="L7" s="42">
        <v>343260.76</v>
      </c>
      <c r="M7" s="42">
        <v>283561</v>
      </c>
      <c r="N7" s="42">
        <v>2525680</v>
      </c>
      <c r="O7" s="42">
        <v>2506681</v>
      </c>
      <c r="P7" s="42">
        <v>342778</v>
      </c>
      <c r="Q7" s="42">
        <v>296274</v>
      </c>
      <c r="R7" s="42">
        <v>2124441</v>
      </c>
      <c r="S7" s="42">
        <v>371276.13119999995</v>
      </c>
      <c r="T7" s="42">
        <v>375082</v>
      </c>
      <c r="U7" s="42">
        <v>367921</v>
      </c>
      <c r="V7" s="42">
        <v>401712</v>
      </c>
      <c r="W7" s="42">
        <v>419434</v>
      </c>
      <c r="X7" s="42">
        <v>374112</v>
      </c>
      <c r="Y7" s="42">
        <v>431864</v>
      </c>
      <c r="Z7" s="42">
        <v>411928.41003600002</v>
      </c>
      <c r="AA7" s="42">
        <v>355538.48459999997</v>
      </c>
      <c r="AB7" s="42">
        <v>283562</v>
      </c>
      <c r="AC7" s="42">
        <v>363428</v>
      </c>
      <c r="AD7" s="42">
        <v>336020</v>
      </c>
      <c r="AE7" s="42">
        <v>393252</v>
      </c>
      <c r="AF7" s="42">
        <v>429595</v>
      </c>
      <c r="AG7" s="42">
        <v>362146</v>
      </c>
      <c r="AH7" s="42">
        <v>374537</v>
      </c>
      <c r="AI7" s="42">
        <v>329597</v>
      </c>
      <c r="AJ7" s="42">
        <v>1947782</v>
      </c>
      <c r="AK7" s="42">
        <v>2708293</v>
      </c>
      <c r="AL7" s="42">
        <v>453698</v>
      </c>
      <c r="AM7" s="42">
        <v>388054</v>
      </c>
      <c r="AN7" s="42">
        <v>353766</v>
      </c>
      <c r="AO7" s="42">
        <v>329356</v>
      </c>
      <c r="AP7" s="42">
        <v>362863.81560000003</v>
      </c>
      <c r="AQ7" s="42">
        <v>2268008</v>
      </c>
      <c r="AR7" s="42">
        <v>332050</v>
      </c>
      <c r="AS7" s="42">
        <v>363904</v>
      </c>
      <c r="AT7" s="42">
        <v>2413771</v>
      </c>
      <c r="AU7" s="42">
        <v>369764</v>
      </c>
      <c r="AV7" s="42">
        <v>393536</v>
      </c>
      <c r="AW7" s="42">
        <v>410838</v>
      </c>
      <c r="AX7" s="42">
        <v>339137</v>
      </c>
      <c r="AY7" s="42">
        <v>386725</v>
      </c>
      <c r="AZ7" s="42">
        <v>319337</v>
      </c>
      <c r="BA7" s="42">
        <v>1630477</v>
      </c>
      <c r="BB7" s="42">
        <v>456864</v>
      </c>
      <c r="BC7" s="42">
        <v>448971.89999999997</v>
      </c>
      <c r="BD7" s="42">
        <v>2268490</v>
      </c>
      <c r="BE7" s="42">
        <v>467876</v>
      </c>
      <c r="BF7" s="42">
        <v>1984928</v>
      </c>
      <c r="BG7" s="42">
        <v>364991</v>
      </c>
      <c r="BH7" s="42">
        <v>2135612</v>
      </c>
      <c r="BI7" s="42">
        <v>341171.38</v>
      </c>
      <c r="BJ7" s="42">
        <v>406296</v>
      </c>
      <c r="BK7" s="42">
        <v>388573</v>
      </c>
      <c r="BL7" s="42">
        <v>402421</v>
      </c>
    </row>
    <row r="8" spans="1:64" ht="15" customHeight="1">
      <c r="A8" s="1" t="s">
        <v>283</v>
      </c>
      <c r="B8" s="1" t="s">
        <v>284</v>
      </c>
      <c r="C8" s="70">
        <f t="shared" si="0"/>
        <v>1.0283170825586769</v>
      </c>
      <c r="D8" s="71">
        <f t="shared" si="1"/>
        <v>413575</v>
      </c>
      <c r="E8" s="42">
        <v>424120</v>
      </c>
      <c r="F8" s="42">
        <v>435000</v>
      </c>
      <c r="G8" s="42">
        <v>402300</v>
      </c>
      <c r="H8" s="42">
        <v>430700</v>
      </c>
      <c r="I8" s="42">
        <v>453435</v>
      </c>
      <c r="J8" s="42">
        <v>390550</v>
      </c>
      <c r="K8" s="42">
        <v>450000</v>
      </c>
      <c r="L8" s="42">
        <v>363160.5</v>
      </c>
      <c r="M8" s="42">
        <v>300000</v>
      </c>
      <c r="N8" s="42">
        <v>2672100</v>
      </c>
      <c r="O8" s="42">
        <v>2652000</v>
      </c>
      <c r="P8" s="42">
        <v>362650</v>
      </c>
      <c r="Q8" s="42">
        <v>313450</v>
      </c>
      <c r="R8" s="42">
        <v>2247600</v>
      </c>
      <c r="S8" s="42">
        <v>392800</v>
      </c>
      <c r="T8" s="42">
        <v>396826</v>
      </c>
      <c r="U8" s="42">
        <v>389250</v>
      </c>
      <c r="V8" s="42">
        <v>425000</v>
      </c>
      <c r="W8" s="42">
        <v>443750</v>
      </c>
      <c r="X8" s="42">
        <v>395800</v>
      </c>
      <c r="Y8" s="42">
        <v>456900</v>
      </c>
      <c r="Z8" s="42">
        <v>435809</v>
      </c>
      <c r="AA8" s="42">
        <v>376150</v>
      </c>
      <c r="AB8" s="42">
        <v>300000</v>
      </c>
      <c r="AC8" s="42">
        <v>384497</v>
      </c>
      <c r="AD8" s="42">
        <v>355500</v>
      </c>
      <c r="AE8" s="42">
        <v>416050</v>
      </c>
      <c r="AF8" s="42">
        <v>454500</v>
      </c>
      <c r="AG8" s="42">
        <v>383141</v>
      </c>
      <c r="AH8" s="42">
        <v>396250</v>
      </c>
      <c r="AI8" s="42">
        <v>348705</v>
      </c>
      <c r="AJ8" s="42">
        <v>2060700</v>
      </c>
      <c r="AK8" s="42">
        <v>2865300</v>
      </c>
      <c r="AL8" s="42">
        <v>480000</v>
      </c>
      <c r="AM8" s="42">
        <v>410550</v>
      </c>
      <c r="AN8" s="42">
        <v>374275</v>
      </c>
      <c r="AO8" s="42">
        <v>348450</v>
      </c>
      <c r="AP8" s="42">
        <v>383900</v>
      </c>
      <c r="AQ8" s="42">
        <v>2399490</v>
      </c>
      <c r="AR8" s="42">
        <v>351300</v>
      </c>
      <c r="AS8" s="42">
        <v>385000</v>
      </c>
      <c r="AT8" s="42">
        <v>2553704</v>
      </c>
      <c r="AU8" s="42">
        <v>391200</v>
      </c>
      <c r="AV8" s="42">
        <v>416350</v>
      </c>
      <c r="AW8" s="42">
        <v>434655</v>
      </c>
      <c r="AX8" s="42">
        <v>358798</v>
      </c>
      <c r="AY8" s="42">
        <v>409000</v>
      </c>
      <c r="AZ8" s="42">
        <v>337850</v>
      </c>
      <c r="BA8" s="42">
        <v>1725000</v>
      </c>
      <c r="BB8" s="42">
        <v>483350</v>
      </c>
      <c r="BC8" s="42">
        <v>475000</v>
      </c>
      <c r="BD8" s="42">
        <v>2400000</v>
      </c>
      <c r="BE8" s="42">
        <v>495000</v>
      </c>
      <c r="BF8" s="42">
        <v>2100000</v>
      </c>
      <c r="BG8" s="42">
        <v>386150</v>
      </c>
      <c r="BH8" s="42">
        <v>2500000</v>
      </c>
      <c r="BI8" s="42">
        <v>360950</v>
      </c>
      <c r="BJ8" s="42">
        <v>429850</v>
      </c>
      <c r="BK8" s="42">
        <v>411100</v>
      </c>
      <c r="BL8" s="42">
        <v>425750</v>
      </c>
    </row>
    <row r="9" spans="1:64" ht="15" customHeight="1">
      <c r="A9" s="1" t="s">
        <v>285</v>
      </c>
      <c r="B9" s="1" t="s">
        <v>286</v>
      </c>
      <c r="C9" s="70">
        <f t="shared" si="0"/>
        <v>1.0445802575808911</v>
      </c>
      <c r="D9" s="71">
        <f t="shared" si="1"/>
        <v>269924</v>
      </c>
      <c r="E9" s="42">
        <v>276806</v>
      </c>
      <c r="F9" s="42">
        <v>283907</v>
      </c>
      <c r="G9" s="42">
        <v>262565</v>
      </c>
      <c r="H9" s="42">
        <v>281101</v>
      </c>
      <c r="I9" s="42">
        <v>295939</v>
      </c>
      <c r="J9" s="42">
        <v>254896</v>
      </c>
      <c r="K9" s="42">
        <v>293697</v>
      </c>
      <c r="L9" s="42">
        <v>237020.45</v>
      </c>
      <c r="M9" s="42">
        <v>195798</v>
      </c>
      <c r="N9" s="42">
        <v>1743974</v>
      </c>
      <c r="O9" s="42">
        <v>1730855</v>
      </c>
      <c r="P9" s="42">
        <v>236687</v>
      </c>
      <c r="Q9" s="42">
        <v>204576</v>
      </c>
      <c r="R9" s="42">
        <v>1466919</v>
      </c>
      <c r="S9" s="42">
        <v>256364.9789333333</v>
      </c>
      <c r="T9" s="42">
        <v>258993</v>
      </c>
      <c r="U9" s="42">
        <v>254048</v>
      </c>
      <c r="V9" s="42">
        <v>277381</v>
      </c>
      <c r="W9" s="42">
        <v>289618</v>
      </c>
      <c r="X9" s="42">
        <v>258323</v>
      </c>
      <c r="Y9" s="42">
        <v>298201</v>
      </c>
      <c r="Z9" s="42">
        <v>284435.2472096667</v>
      </c>
      <c r="AA9" s="42">
        <v>245498.18438333334</v>
      </c>
      <c r="AB9" s="42">
        <v>195799</v>
      </c>
      <c r="AC9" s="42">
        <v>250946</v>
      </c>
      <c r="AD9" s="42">
        <v>232021</v>
      </c>
      <c r="AE9" s="42">
        <v>271539</v>
      </c>
      <c r="AF9" s="42">
        <v>296634</v>
      </c>
      <c r="AG9" s="42">
        <v>250061</v>
      </c>
      <c r="AH9" s="42">
        <v>258617</v>
      </c>
      <c r="AI9" s="42">
        <v>227586</v>
      </c>
      <c r="AJ9" s="42">
        <v>1344937</v>
      </c>
      <c r="AK9" s="42">
        <v>1870068</v>
      </c>
      <c r="AL9" s="42">
        <v>313277</v>
      </c>
      <c r="AM9" s="42">
        <v>267950</v>
      </c>
      <c r="AN9" s="42">
        <v>244274</v>
      </c>
      <c r="AO9" s="42">
        <v>227419</v>
      </c>
      <c r="AP9" s="42">
        <v>250556.30196666668</v>
      </c>
      <c r="AQ9" s="42">
        <v>1566052</v>
      </c>
      <c r="AR9" s="42">
        <v>229280</v>
      </c>
      <c r="AS9" s="42">
        <v>251274</v>
      </c>
      <c r="AT9" s="42">
        <v>1666701</v>
      </c>
      <c r="AU9" s="42">
        <v>255321</v>
      </c>
      <c r="AV9" s="42">
        <v>271735</v>
      </c>
      <c r="AW9" s="42">
        <v>283682</v>
      </c>
      <c r="AX9" s="42">
        <v>234173</v>
      </c>
      <c r="AY9" s="42">
        <v>266938</v>
      </c>
      <c r="AZ9" s="42">
        <v>220501</v>
      </c>
      <c r="BA9" s="42">
        <v>1125839</v>
      </c>
      <c r="BB9" s="42">
        <v>315463</v>
      </c>
      <c r="BC9" s="42">
        <v>310013.65833333333</v>
      </c>
      <c r="BD9" s="42">
        <v>1566385</v>
      </c>
      <c r="BE9" s="42">
        <v>323067</v>
      </c>
      <c r="BF9" s="42">
        <v>1370587</v>
      </c>
      <c r="BG9" s="42">
        <v>252025</v>
      </c>
      <c r="BH9" s="42">
        <v>1957981</v>
      </c>
      <c r="BI9" s="42">
        <v>235577.75</v>
      </c>
      <c r="BJ9" s="42">
        <v>280546</v>
      </c>
      <c r="BK9" s="42">
        <v>268309</v>
      </c>
      <c r="BL9" s="42">
        <v>277870</v>
      </c>
    </row>
    <row r="10" spans="1:64" ht="15" customHeight="1">
      <c r="A10" s="1" t="s">
        <v>287</v>
      </c>
      <c r="B10" s="1" t="s">
        <v>288</v>
      </c>
      <c r="C10" s="70">
        <f t="shared" si="0"/>
        <v>1.0445803338530932</v>
      </c>
      <c r="D10" s="71">
        <f t="shared" si="1"/>
        <v>43012</v>
      </c>
      <c r="E10" s="42">
        <v>44108</v>
      </c>
      <c r="F10" s="42">
        <v>45240</v>
      </c>
      <c r="G10" s="42">
        <v>41840</v>
      </c>
      <c r="H10" s="42">
        <v>44793</v>
      </c>
      <c r="I10" s="42">
        <v>47157</v>
      </c>
      <c r="J10" s="42">
        <v>40617</v>
      </c>
      <c r="K10" s="42">
        <v>46800</v>
      </c>
      <c r="L10" s="42">
        <v>37768.69</v>
      </c>
      <c r="M10" s="42">
        <v>31200</v>
      </c>
      <c r="N10" s="42">
        <v>277898</v>
      </c>
      <c r="O10" s="42">
        <v>275808</v>
      </c>
      <c r="P10" s="42">
        <v>37716</v>
      </c>
      <c r="Q10" s="42">
        <v>32599</v>
      </c>
      <c r="R10" s="42">
        <v>233750</v>
      </c>
      <c r="S10" s="42">
        <v>40851.199999999997</v>
      </c>
      <c r="T10" s="42">
        <v>41270</v>
      </c>
      <c r="U10" s="42">
        <v>40482</v>
      </c>
      <c r="V10" s="42">
        <v>44200</v>
      </c>
      <c r="W10" s="42">
        <v>46150</v>
      </c>
      <c r="X10" s="42">
        <v>41163</v>
      </c>
      <c r="Y10" s="42">
        <v>47518</v>
      </c>
      <c r="Z10" s="42">
        <v>45324.135999999999</v>
      </c>
      <c r="AA10" s="42">
        <v>39119.599999999999</v>
      </c>
      <c r="AB10" s="42">
        <v>31200</v>
      </c>
      <c r="AC10" s="42">
        <v>39988</v>
      </c>
      <c r="AD10" s="42">
        <v>36972</v>
      </c>
      <c r="AE10" s="42">
        <v>43269</v>
      </c>
      <c r="AF10" s="42">
        <v>47268</v>
      </c>
      <c r="AG10" s="42">
        <v>39847</v>
      </c>
      <c r="AH10" s="42">
        <v>41210</v>
      </c>
      <c r="AI10" s="42">
        <v>36265</v>
      </c>
      <c r="AJ10" s="42">
        <v>214313</v>
      </c>
      <c r="AK10" s="42">
        <v>297991</v>
      </c>
      <c r="AL10" s="42">
        <v>49920</v>
      </c>
      <c r="AM10" s="42">
        <v>42697</v>
      </c>
      <c r="AN10" s="42">
        <v>38925</v>
      </c>
      <c r="AO10" s="42">
        <v>36238</v>
      </c>
      <c r="AP10" s="42">
        <v>39925.599999999999</v>
      </c>
      <c r="AQ10" s="42">
        <v>249547</v>
      </c>
      <c r="AR10" s="42">
        <v>36535</v>
      </c>
      <c r="AS10" s="42">
        <v>40040</v>
      </c>
      <c r="AT10" s="42">
        <v>265585</v>
      </c>
      <c r="AU10" s="42">
        <v>40685</v>
      </c>
      <c r="AV10" s="42">
        <v>43300</v>
      </c>
      <c r="AW10" s="42">
        <v>45204</v>
      </c>
      <c r="AX10" s="42">
        <v>37315</v>
      </c>
      <c r="AY10" s="42">
        <v>42536</v>
      </c>
      <c r="AZ10" s="42">
        <v>35136</v>
      </c>
      <c r="BA10" s="42">
        <v>179400</v>
      </c>
      <c r="BB10" s="42">
        <v>50268</v>
      </c>
      <c r="BC10" s="42">
        <v>49400</v>
      </c>
      <c r="BD10" s="42">
        <v>249600</v>
      </c>
      <c r="BE10" s="42">
        <v>51480</v>
      </c>
      <c r="BF10" s="42">
        <v>218400</v>
      </c>
      <c r="BG10" s="42">
        <v>40160</v>
      </c>
      <c r="BH10" s="42">
        <v>312000</v>
      </c>
      <c r="BI10" s="42">
        <v>37538.800000000003</v>
      </c>
      <c r="BJ10" s="42">
        <v>44704</v>
      </c>
      <c r="BK10" s="42">
        <v>42754</v>
      </c>
      <c r="BL10" s="42">
        <v>44278</v>
      </c>
    </row>
    <row r="11" spans="1:64" ht="15" customHeight="1">
      <c r="A11" s="1" t="s">
        <v>289</v>
      </c>
      <c r="B11" s="1" t="s">
        <v>290</v>
      </c>
      <c r="C11" s="70">
        <f t="shared" si="0"/>
        <v>1.0445806026718849</v>
      </c>
      <c r="D11" s="71">
        <f t="shared" si="1"/>
        <v>99258</v>
      </c>
      <c r="E11" s="42">
        <v>101789</v>
      </c>
      <c r="F11" s="42">
        <v>104400</v>
      </c>
      <c r="G11" s="42">
        <v>96550</v>
      </c>
      <c r="H11" s="42">
        <v>103368</v>
      </c>
      <c r="I11" s="42">
        <v>108824</v>
      </c>
      <c r="J11" s="42">
        <v>93732</v>
      </c>
      <c r="K11" s="42">
        <v>108000</v>
      </c>
      <c r="L11" s="42">
        <v>87158.52</v>
      </c>
      <c r="M11" s="42">
        <v>72000</v>
      </c>
      <c r="N11" s="42">
        <v>641304</v>
      </c>
      <c r="O11" s="42">
        <v>636480</v>
      </c>
      <c r="P11" s="42">
        <v>87036</v>
      </c>
      <c r="Q11" s="42">
        <v>75228</v>
      </c>
      <c r="R11" s="42">
        <v>539424</v>
      </c>
      <c r="S11" s="42">
        <v>94272</v>
      </c>
      <c r="T11" s="42">
        <v>95238</v>
      </c>
      <c r="U11" s="42">
        <v>93420</v>
      </c>
      <c r="V11" s="42">
        <v>102000</v>
      </c>
      <c r="W11" s="42">
        <v>106500</v>
      </c>
      <c r="X11" s="42">
        <v>94992</v>
      </c>
      <c r="Y11" s="42">
        <v>109656</v>
      </c>
      <c r="Z11" s="42">
        <v>104594.16</v>
      </c>
      <c r="AA11" s="42">
        <v>90276</v>
      </c>
      <c r="AB11" s="42">
        <v>72000</v>
      </c>
      <c r="AC11" s="42">
        <v>92279</v>
      </c>
      <c r="AD11" s="42">
        <v>85320</v>
      </c>
      <c r="AE11" s="42">
        <v>99852</v>
      </c>
      <c r="AF11" s="42">
        <v>109080</v>
      </c>
      <c r="AG11" s="42">
        <v>91954</v>
      </c>
      <c r="AH11" s="42">
        <v>95100</v>
      </c>
      <c r="AI11" s="42">
        <v>83689</v>
      </c>
      <c r="AJ11" s="42">
        <v>494568</v>
      </c>
      <c r="AK11" s="42">
        <v>687672</v>
      </c>
      <c r="AL11" s="42">
        <v>115200</v>
      </c>
      <c r="AM11" s="42">
        <v>98532</v>
      </c>
      <c r="AN11" s="42">
        <v>89826</v>
      </c>
      <c r="AO11" s="42">
        <v>83628</v>
      </c>
      <c r="AP11" s="42">
        <v>92136</v>
      </c>
      <c r="AQ11" s="42">
        <v>575878</v>
      </c>
      <c r="AR11" s="42">
        <v>84312</v>
      </c>
      <c r="AS11" s="42">
        <v>92400</v>
      </c>
      <c r="AT11" s="42">
        <v>612889</v>
      </c>
      <c r="AU11" s="42">
        <v>93888</v>
      </c>
      <c r="AV11" s="42">
        <v>99924</v>
      </c>
      <c r="AW11" s="42">
        <v>104317</v>
      </c>
      <c r="AX11" s="42">
        <v>86112</v>
      </c>
      <c r="AY11" s="42">
        <v>98160</v>
      </c>
      <c r="AZ11" s="42">
        <v>81084</v>
      </c>
      <c r="BA11" s="42">
        <v>414000</v>
      </c>
      <c r="BB11" s="42">
        <v>116004</v>
      </c>
      <c r="BC11" s="42">
        <v>114000</v>
      </c>
      <c r="BD11" s="42">
        <v>576000</v>
      </c>
      <c r="BE11" s="42">
        <v>118800</v>
      </c>
      <c r="BF11" s="42">
        <v>504000</v>
      </c>
      <c r="BG11" s="42">
        <v>92676</v>
      </c>
      <c r="BH11" s="42">
        <v>720000</v>
      </c>
      <c r="BI11" s="42">
        <v>86628</v>
      </c>
      <c r="BJ11" s="42">
        <v>103164</v>
      </c>
      <c r="BK11" s="42">
        <v>98664</v>
      </c>
      <c r="BL11" s="42">
        <v>102180</v>
      </c>
    </row>
    <row r="12" spans="1:64" ht="15" customHeight="1">
      <c r="A12" s="1" t="s">
        <v>291</v>
      </c>
      <c r="B12" s="1" t="s">
        <v>292</v>
      </c>
      <c r="C12" s="70">
        <f t="shared" si="0"/>
        <v>1.0445764824876074</v>
      </c>
      <c r="D12" s="71">
        <f t="shared" si="1"/>
        <v>1043163</v>
      </c>
      <c r="E12" s="42">
        <v>1069760</v>
      </c>
      <c r="F12" s="42">
        <v>1097203</v>
      </c>
      <c r="G12" s="42">
        <v>1014725</v>
      </c>
      <c r="H12" s="42">
        <v>1086357</v>
      </c>
      <c r="I12" s="42">
        <v>1143702</v>
      </c>
      <c r="J12" s="42">
        <v>985086</v>
      </c>
      <c r="K12" s="42">
        <v>1135037</v>
      </c>
      <c r="L12" s="42">
        <v>916001.67</v>
      </c>
      <c r="M12" s="42">
        <v>756692</v>
      </c>
      <c r="N12" s="42">
        <v>6739852</v>
      </c>
      <c r="O12" s="42">
        <v>6689154</v>
      </c>
      <c r="P12" s="42">
        <v>914714</v>
      </c>
      <c r="Q12" s="42">
        <v>790617</v>
      </c>
      <c r="R12" s="42">
        <v>5669133</v>
      </c>
      <c r="S12" s="42">
        <v>990761.53493333329</v>
      </c>
      <c r="T12" s="42">
        <v>1000916</v>
      </c>
      <c r="U12" s="42">
        <v>981807</v>
      </c>
      <c r="V12" s="42">
        <v>1071980</v>
      </c>
      <c r="W12" s="42">
        <v>1119273</v>
      </c>
      <c r="X12" s="42">
        <v>998328</v>
      </c>
      <c r="Y12" s="42">
        <v>1152441</v>
      </c>
      <c r="Z12" s="42">
        <v>1099243.3650146667</v>
      </c>
      <c r="AA12" s="42">
        <v>948765.15113333333</v>
      </c>
      <c r="AB12" s="42">
        <v>756961</v>
      </c>
      <c r="AC12" s="42">
        <v>969819</v>
      </c>
      <c r="AD12" s="42">
        <v>896680</v>
      </c>
      <c r="AE12" s="42">
        <v>1049405</v>
      </c>
      <c r="AF12" s="42">
        <v>1146388</v>
      </c>
      <c r="AG12" s="42">
        <v>966397</v>
      </c>
      <c r="AH12" s="42">
        <v>999463</v>
      </c>
      <c r="AI12" s="42">
        <v>879540</v>
      </c>
      <c r="AJ12" s="42">
        <v>5197715</v>
      </c>
      <c r="AK12" s="42">
        <v>7227161</v>
      </c>
      <c r="AL12" s="42">
        <v>1210707</v>
      </c>
      <c r="AM12" s="42">
        <v>1035532</v>
      </c>
      <c r="AN12" s="42">
        <v>944035</v>
      </c>
      <c r="AO12" s="42">
        <v>878896</v>
      </c>
      <c r="AP12" s="42">
        <v>968313.01746666676</v>
      </c>
      <c r="AQ12" s="42">
        <v>6052246</v>
      </c>
      <c r="AR12" s="42">
        <v>886086</v>
      </c>
      <c r="AS12" s="42">
        <v>971088</v>
      </c>
      <c r="AT12" s="42">
        <v>6441220</v>
      </c>
      <c r="AU12" s="42">
        <v>986726</v>
      </c>
      <c r="AV12" s="42">
        <v>1050162</v>
      </c>
      <c r="AW12" s="42">
        <v>1096333</v>
      </c>
      <c r="AX12" s="42">
        <v>904998</v>
      </c>
      <c r="AY12" s="42">
        <v>1031622</v>
      </c>
      <c r="AZ12" s="42">
        <v>852160</v>
      </c>
      <c r="BA12" s="42">
        <v>4350977</v>
      </c>
      <c r="BB12" s="42">
        <v>1219156</v>
      </c>
      <c r="BC12" s="42">
        <v>1198095.0333333334</v>
      </c>
      <c r="BD12" s="42">
        <v>6053533</v>
      </c>
      <c r="BE12" s="42">
        <v>1248541</v>
      </c>
      <c r="BF12" s="42">
        <v>5296841</v>
      </c>
      <c r="BG12" s="42">
        <v>973988</v>
      </c>
      <c r="BH12" s="42">
        <v>7566916</v>
      </c>
      <c r="BI12" s="42">
        <v>910426.11</v>
      </c>
      <c r="BJ12" s="42">
        <v>1084213</v>
      </c>
      <c r="BK12" s="42">
        <v>1036920</v>
      </c>
      <c r="BL12" s="42">
        <v>1073871</v>
      </c>
    </row>
    <row r="13" spans="1:64" ht="15" customHeight="1">
      <c r="A13" s="1" t="s">
        <v>293</v>
      </c>
      <c r="B13" s="1" t="s">
        <v>294</v>
      </c>
      <c r="C13" s="70">
        <f t="shared" si="0"/>
        <v>1.0269969827439249</v>
      </c>
      <c r="D13" s="71">
        <f t="shared" si="1"/>
        <v>751044</v>
      </c>
      <c r="E13" s="42">
        <v>770193</v>
      </c>
      <c r="F13" s="42">
        <v>789951</v>
      </c>
      <c r="G13" s="42">
        <v>730570</v>
      </c>
      <c r="H13" s="42">
        <v>782142</v>
      </c>
      <c r="I13" s="42">
        <v>823428</v>
      </c>
      <c r="J13" s="42">
        <v>709230</v>
      </c>
      <c r="K13" s="42">
        <v>817190</v>
      </c>
      <c r="L13" s="42">
        <v>659491.72</v>
      </c>
      <c r="M13" s="42">
        <v>544794</v>
      </c>
      <c r="N13" s="42">
        <v>4852477</v>
      </c>
      <c r="O13" s="42">
        <v>4815975</v>
      </c>
      <c r="P13" s="42">
        <v>658565</v>
      </c>
      <c r="Q13" s="42">
        <v>569219</v>
      </c>
      <c r="R13" s="42">
        <v>4081594</v>
      </c>
      <c r="S13" s="42">
        <v>713316.42026666657</v>
      </c>
      <c r="T13" s="42">
        <v>720628</v>
      </c>
      <c r="U13" s="42">
        <v>706870</v>
      </c>
      <c r="V13" s="42">
        <v>771791</v>
      </c>
      <c r="W13" s="42">
        <v>805841</v>
      </c>
      <c r="X13" s="42">
        <v>718764</v>
      </c>
      <c r="Y13" s="42">
        <v>829721</v>
      </c>
      <c r="Z13" s="42">
        <v>791419.84674133337</v>
      </c>
      <c r="AA13" s="42">
        <v>683080.37546666665</v>
      </c>
      <c r="AB13" s="42">
        <v>544794</v>
      </c>
      <c r="AC13" s="42">
        <v>698238</v>
      </c>
      <c r="AD13" s="42">
        <v>645580</v>
      </c>
      <c r="AE13" s="42">
        <v>755538</v>
      </c>
      <c r="AF13" s="42">
        <v>825362</v>
      </c>
      <c r="AG13" s="42">
        <v>695775</v>
      </c>
      <c r="AH13" s="42">
        <v>719582</v>
      </c>
      <c r="AI13" s="42">
        <v>633241</v>
      </c>
      <c r="AJ13" s="42">
        <v>3742187</v>
      </c>
      <c r="AK13" s="42">
        <v>5203324</v>
      </c>
      <c r="AL13" s="42">
        <v>871670</v>
      </c>
      <c r="AM13" s="42">
        <v>745550</v>
      </c>
      <c r="AN13" s="42">
        <v>679675</v>
      </c>
      <c r="AO13" s="42">
        <v>632777</v>
      </c>
      <c r="AP13" s="65">
        <v>697154.21013333334</v>
      </c>
      <c r="AQ13" s="42">
        <v>4357423</v>
      </c>
      <c r="AR13" s="42">
        <v>637953</v>
      </c>
      <c r="AS13" s="42">
        <v>699152</v>
      </c>
      <c r="AT13" s="42">
        <v>4637471</v>
      </c>
      <c r="AU13" s="42">
        <v>710411</v>
      </c>
      <c r="AV13" s="42">
        <v>756083</v>
      </c>
      <c r="AW13" s="42">
        <v>789324</v>
      </c>
      <c r="AX13" s="42">
        <v>651570</v>
      </c>
      <c r="AY13" s="42">
        <v>742735</v>
      </c>
      <c r="AZ13" s="42">
        <v>613528</v>
      </c>
      <c r="BA13" s="42">
        <v>3132563</v>
      </c>
      <c r="BB13" s="42">
        <v>877753</v>
      </c>
      <c r="BC13" s="42">
        <v>862589.8666666667</v>
      </c>
      <c r="BD13" s="42">
        <v>4358349</v>
      </c>
      <c r="BE13" s="42">
        <v>898909</v>
      </c>
      <c r="BF13" s="42">
        <v>3813555</v>
      </c>
      <c r="BG13" s="42">
        <v>701240</v>
      </c>
      <c r="BH13" s="42">
        <v>4447936</v>
      </c>
      <c r="BI13" s="42">
        <v>655477.5</v>
      </c>
      <c r="BJ13" s="42">
        <v>780598</v>
      </c>
      <c r="BK13" s="42">
        <v>746549</v>
      </c>
      <c r="BL13" s="42">
        <v>773153</v>
      </c>
    </row>
    <row r="14" spans="1:64" ht="15" customHeight="1">
      <c r="A14" s="1" t="s">
        <v>295</v>
      </c>
      <c r="B14" s="1" t="s">
        <v>296</v>
      </c>
      <c r="C14" s="70">
        <f t="shared" si="0"/>
        <v>1.3817624676861804</v>
      </c>
      <c r="D14" s="71">
        <f t="shared" si="1"/>
        <v>67903</v>
      </c>
      <c r="E14" s="42">
        <v>69634</v>
      </c>
      <c r="F14" s="42">
        <v>71421</v>
      </c>
      <c r="G14" s="42">
        <v>66050</v>
      </c>
      <c r="H14" s="42">
        <v>70715</v>
      </c>
      <c r="I14" s="42">
        <v>74448</v>
      </c>
      <c r="J14" s="42">
        <v>64123</v>
      </c>
      <c r="K14" s="42">
        <v>73884</v>
      </c>
      <c r="L14" s="42">
        <v>59625.75</v>
      </c>
      <c r="M14" s="42">
        <v>49256</v>
      </c>
      <c r="N14" s="42">
        <v>438721</v>
      </c>
      <c r="O14" s="42">
        <v>435420</v>
      </c>
      <c r="P14" s="42">
        <v>59542</v>
      </c>
      <c r="Q14" s="42">
        <v>51464</v>
      </c>
      <c r="R14" s="42">
        <v>369024</v>
      </c>
      <c r="S14" s="42">
        <v>64492.129866666663</v>
      </c>
      <c r="T14" s="42">
        <v>65153</v>
      </c>
      <c r="U14" s="42">
        <v>63909</v>
      </c>
      <c r="V14" s="42">
        <v>69779</v>
      </c>
      <c r="W14" s="42">
        <v>72857</v>
      </c>
      <c r="X14" s="42">
        <v>64985</v>
      </c>
      <c r="Y14" s="42">
        <v>75016</v>
      </c>
      <c r="Z14" s="42">
        <v>71553.591204333323</v>
      </c>
      <c r="AA14" s="42">
        <v>61758.438516666662</v>
      </c>
      <c r="AB14" s="42">
        <v>49256</v>
      </c>
      <c r="AC14" s="42">
        <v>63129</v>
      </c>
      <c r="AD14" s="42">
        <v>58368</v>
      </c>
      <c r="AE14" s="42">
        <v>68309</v>
      </c>
      <c r="AF14" s="42">
        <v>74623</v>
      </c>
      <c r="AG14" s="42">
        <v>62906</v>
      </c>
      <c r="AH14" s="42">
        <v>65059</v>
      </c>
      <c r="AI14" s="42">
        <v>57252</v>
      </c>
      <c r="AJ14" s="42">
        <v>338337</v>
      </c>
      <c r="AK14" s="42">
        <v>470441</v>
      </c>
      <c r="AL14" s="42">
        <v>78809</v>
      </c>
      <c r="AM14" s="42">
        <v>67406</v>
      </c>
      <c r="AN14" s="42">
        <v>61451</v>
      </c>
      <c r="AO14" s="42">
        <v>57209</v>
      </c>
      <c r="AP14" s="65">
        <v>63030.877433333335</v>
      </c>
      <c r="AQ14" s="42">
        <v>393962</v>
      </c>
      <c r="AR14" s="42">
        <v>57678</v>
      </c>
      <c r="AS14" s="42">
        <v>63211</v>
      </c>
      <c r="AT14" s="42">
        <v>419281.5</v>
      </c>
      <c r="AU14" s="42">
        <v>64229</v>
      </c>
      <c r="AV14" s="42">
        <v>68359</v>
      </c>
      <c r="AW14" s="42">
        <v>71364</v>
      </c>
      <c r="AX14" s="42">
        <v>58909</v>
      </c>
      <c r="AY14" s="42">
        <v>67152</v>
      </c>
      <c r="AZ14" s="42">
        <v>55470</v>
      </c>
      <c r="BA14" s="42">
        <v>283220</v>
      </c>
      <c r="BB14" s="42">
        <v>79359</v>
      </c>
      <c r="BC14" s="42">
        <v>77988.191666666651</v>
      </c>
      <c r="BD14" s="42">
        <v>394046</v>
      </c>
      <c r="BE14" s="42">
        <v>81272</v>
      </c>
      <c r="BF14" s="42">
        <v>344790</v>
      </c>
      <c r="BG14" s="42">
        <v>63400</v>
      </c>
      <c r="BH14" s="42">
        <v>1270228</v>
      </c>
      <c r="BI14" s="42">
        <v>59262.82</v>
      </c>
      <c r="BJ14" s="42">
        <v>70575</v>
      </c>
      <c r="BK14" s="42">
        <v>67497</v>
      </c>
      <c r="BL14" s="42">
        <v>69902</v>
      </c>
    </row>
    <row r="15" spans="1:64" ht="15" customHeight="1"/>
    <row r="16" spans="1:64"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8:28" ht="15" customHeight="1"/>
    <row r="34" spans="28:28" ht="15" customHeight="1"/>
    <row r="35" spans="28:28" ht="15" customHeight="1"/>
    <row r="36" spans="28:28" ht="15" customHeight="1">
      <c r="AB36" s="66"/>
    </row>
    <row r="37" spans="28:28" ht="15" customHeight="1">
      <c r="AB37" s="66"/>
    </row>
    <row r="38" spans="28:28" ht="15" customHeight="1">
      <c r="AB38" s="66"/>
    </row>
    <row r="39" spans="28:28" ht="15" customHeight="1">
      <c r="AB39" s="66"/>
    </row>
    <row r="40" spans="28:28" ht="15" customHeight="1">
      <c r="AB40" s="66"/>
    </row>
    <row r="41" spans="28:28" ht="15" customHeight="1">
      <c r="AB41" s="66"/>
    </row>
    <row r="42" spans="28:28" ht="15" customHeight="1">
      <c r="AB42" s="66"/>
    </row>
    <row r="43" spans="28:28" ht="15" customHeight="1">
      <c r="AB43" s="66"/>
    </row>
    <row r="44" spans="28:28" ht="15" customHeight="1">
      <c r="AB44" s="66"/>
    </row>
    <row r="45" spans="28:28" ht="15" customHeight="1">
      <c r="AB45" s="66"/>
    </row>
    <row r="46" spans="28:28" ht="15" customHeight="1">
      <c r="AB46" s="66"/>
    </row>
    <row r="47" spans="28:28" ht="15" customHeight="1">
      <c r="AB47" s="66"/>
    </row>
    <row r="48" spans="28:2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sheetData>
  <mergeCells count="4">
    <mergeCell ref="C1:C2"/>
    <mergeCell ref="D1:D2"/>
    <mergeCell ref="A1:A2"/>
    <mergeCell ref="B1:B2"/>
  </mergeCells>
  <conditionalFormatting sqref="C3:C14">
    <cfRule type="cellIs" dxfId="9" priority="1" operator="greaterThan">
      <formula>0.15</formula>
    </cfRule>
  </conditionalFormatting>
  <conditionalFormatting sqref="E3:BL14">
    <cfRule type="cellIs" dxfId="8" priority="2" operator="greaterThan">
      <formula>#REF!</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theme="4"/>
  </sheetPr>
  <dimension ref="A1:L13"/>
  <sheetViews>
    <sheetView workbookViewId="0">
      <selection sqref="A1:A2"/>
    </sheetView>
  </sheetViews>
  <sheetFormatPr defaultColWidth="11.42578125" defaultRowHeight="14.45"/>
  <cols>
    <col min="1" max="1" width="4.140625" bestFit="1" customWidth="1"/>
    <col min="2" max="2" width="20" bestFit="1" customWidth="1"/>
    <col min="3" max="3" width="27.28515625" customWidth="1"/>
  </cols>
  <sheetData>
    <row r="1" spans="1:12" ht="60">
      <c r="A1" s="73" t="s">
        <v>1</v>
      </c>
      <c r="B1" s="73" t="s">
        <v>297</v>
      </c>
      <c r="C1" s="73" t="s">
        <v>2</v>
      </c>
      <c r="D1" s="73" t="s">
        <v>4</v>
      </c>
      <c r="E1" s="68" t="s">
        <v>210</v>
      </c>
      <c r="F1" s="69" t="s">
        <v>10</v>
      </c>
      <c r="G1" s="78" t="s">
        <v>298</v>
      </c>
      <c r="H1" s="77" t="s">
        <v>299</v>
      </c>
      <c r="I1" s="78" t="s">
        <v>300</v>
      </c>
      <c r="J1" s="77" t="s">
        <v>301</v>
      </c>
      <c r="K1" s="78" t="s">
        <v>302</v>
      </c>
      <c r="L1" s="77" t="s">
        <v>303</v>
      </c>
    </row>
    <row r="2" spans="1:12">
      <c r="A2" s="44">
        <v>1</v>
      </c>
      <c r="B2" s="1" t="s">
        <v>273</v>
      </c>
      <c r="C2" s="44" t="s">
        <v>304</v>
      </c>
      <c r="D2" s="44" t="s">
        <v>305</v>
      </c>
      <c r="E2" s="70">
        <f t="shared" ref="E2:E13" si="0">STDEV(G2:L2)/AVERAGE(G2:L2)</f>
        <v>1.6154146449115738</v>
      </c>
      <c r="F2" s="71">
        <f t="shared" ref="F2:F13" si="1">ROUND(IF(E2&lt;=0.15,AVERAGE(G2:L2),MEDIAN(G2:L2)),0)</f>
        <v>1</v>
      </c>
      <c r="G2" s="74">
        <v>61966</v>
      </c>
      <c r="H2" s="75">
        <v>1</v>
      </c>
      <c r="I2" s="76">
        <v>1</v>
      </c>
      <c r="J2" s="76">
        <v>1</v>
      </c>
      <c r="K2" s="76">
        <v>1</v>
      </c>
      <c r="L2" s="76">
        <v>101399</v>
      </c>
    </row>
    <row r="3" spans="1:12">
      <c r="A3" s="44">
        <v>2</v>
      </c>
      <c r="B3" s="1" t="s">
        <v>275</v>
      </c>
      <c r="C3" s="44" t="s">
        <v>306</v>
      </c>
      <c r="D3" s="44" t="s">
        <v>305</v>
      </c>
      <c r="E3" s="70">
        <f t="shared" si="0"/>
        <v>1.6154570385004039</v>
      </c>
      <c r="F3" s="71">
        <f t="shared" si="1"/>
        <v>1</v>
      </c>
      <c r="G3" s="74">
        <v>230119</v>
      </c>
      <c r="H3" s="75">
        <v>1</v>
      </c>
      <c r="I3" s="76">
        <v>1</v>
      </c>
      <c r="J3" s="76">
        <v>1</v>
      </c>
      <c r="K3" s="76">
        <v>1</v>
      </c>
      <c r="L3" s="76">
        <v>376559</v>
      </c>
    </row>
    <row r="4" spans="1:12">
      <c r="A4" s="44">
        <v>3</v>
      </c>
      <c r="B4" s="1" t="s">
        <v>277</v>
      </c>
      <c r="C4" s="44" t="s">
        <v>307</v>
      </c>
      <c r="D4" s="44" t="s">
        <v>305</v>
      </c>
      <c r="E4" s="70">
        <f t="shared" si="0"/>
        <v>1.6153720296914542</v>
      </c>
      <c r="F4" s="71">
        <f t="shared" si="1"/>
        <v>1</v>
      </c>
      <c r="G4" s="74">
        <v>34468</v>
      </c>
      <c r="H4" s="75">
        <v>1</v>
      </c>
      <c r="I4" s="76">
        <v>1</v>
      </c>
      <c r="J4" s="76">
        <v>1</v>
      </c>
      <c r="K4" s="76">
        <v>1</v>
      </c>
      <c r="L4" s="76">
        <v>56403</v>
      </c>
    </row>
    <row r="5" spans="1:12">
      <c r="A5" s="44">
        <v>4</v>
      </c>
      <c r="B5" s="1" t="s">
        <v>279</v>
      </c>
      <c r="C5" s="44" t="s">
        <v>308</v>
      </c>
      <c r="D5" s="44" t="s">
        <v>305</v>
      </c>
      <c r="E5" s="70">
        <f t="shared" si="0"/>
        <v>1.6153505718322132</v>
      </c>
      <c r="F5" s="71">
        <f t="shared" si="1"/>
        <v>1</v>
      </c>
      <c r="G5" s="74">
        <v>27227</v>
      </c>
      <c r="H5" s="75">
        <v>1</v>
      </c>
      <c r="I5" s="76">
        <v>1</v>
      </c>
      <c r="J5" s="76">
        <v>1</v>
      </c>
      <c r="K5" s="76">
        <v>1</v>
      </c>
      <c r="L5" s="76">
        <v>44555</v>
      </c>
    </row>
    <row r="6" spans="1:12">
      <c r="A6" s="44">
        <v>5</v>
      </c>
      <c r="B6" s="1" t="s">
        <v>287</v>
      </c>
      <c r="C6" s="44" t="s">
        <v>309</v>
      </c>
      <c r="D6" s="44" t="s">
        <v>305</v>
      </c>
      <c r="E6" s="70">
        <f t="shared" si="0"/>
        <v>1.6153615078362542</v>
      </c>
      <c r="F6" s="71">
        <f t="shared" si="1"/>
        <v>1</v>
      </c>
      <c r="G6" s="74">
        <v>30427</v>
      </c>
      <c r="H6" s="75">
        <v>1</v>
      </c>
      <c r="I6" s="76">
        <v>1</v>
      </c>
      <c r="J6" s="76">
        <v>1</v>
      </c>
      <c r="K6" s="76">
        <v>1</v>
      </c>
      <c r="L6" s="76">
        <v>49791</v>
      </c>
    </row>
    <row r="7" spans="1:12">
      <c r="A7" s="44">
        <v>6</v>
      </c>
      <c r="B7" s="1" t="s">
        <v>281</v>
      </c>
      <c r="C7" s="44" t="s">
        <v>310</v>
      </c>
      <c r="D7" s="44" t="s">
        <v>305</v>
      </c>
      <c r="E7" s="70">
        <f t="shared" si="0"/>
        <v>1.6154496350858336</v>
      </c>
      <c r="F7" s="71">
        <f t="shared" si="1"/>
        <v>1</v>
      </c>
      <c r="G7" s="74">
        <v>146984</v>
      </c>
      <c r="H7" s="75">
        <v>1</v>
      </c>
      <c r="I7" s="76">
        <v>1</v>
      </c>
      <c r="J7" s="76">
        <v>1</v>
      </c>
      <c r="K7" s="76">
        <v>1</v>
      </c>
      <c r="L7" s="76">
        <v>240521</v>
      </c>
    </row>
    <row r="8" spans="1:12">
      <c r="A8" s="44">
        <v>7</v>
      </c>
      <c r="B8" s="1" t="s">
        <v>283</v>
      </c>
      <c r="C8" s="44" t="s">
        <v>311</v>
      </c>
      <c r="D8" s="44" t="s">
        <v>305</v>
      </c>
      <c r="E8" s="70">
        <f t="shared" si="0"/>
        <v>1.6154436234795038</v>
      </c>
      <c r="F8" s="71">
        <f t="shared" si="1"/>
        <v>1</v>
      </c>
      <c r="G8" s="74">
        <v>120950</v>
      </c>
      <c r="H8" s="75">
        <v>1</v>
      </c>
      <c r="I8" s="76">
        <v>1</v>
      </c>
      <c r="J8" s="76">
        <v>1</v>
      </c>
      <c r="K8" s="76">
        <v>1</v>
      </c>
      <c r="L8" s="76">
        <v>197919</v>
      </c>
    </row>
    <row r="9" spans="1:12">
      <c r="A9" s="44">
        <v>8</v>
      </c>
      <c r="B9" s="1" t="s">
        <v>285</v>
      </c>
      <c r="C9" s="44" t="s">
        <v>312</v>
      </c>
      <c r="D9" s="44" t="s">
        <v>305</v>
      </c>
      <c r="E9" s="70">
        <f t="shared" si="0"/>
        <v>1.6154255413212075</v>
      </c>
      <c r="F9" s="71">
        <f t="shared" si="1"/>
        <v>1</v>
      </c>
      <c r="G9" s="74">
        <v>71922</v>
      </c>
      <c r="H9" s="75">
        <v>1</v>
      </c>
      <c r="I9" s="76">
        <v>1</v>
      </c>
      <c r="J9" s="76">
        <v>1</v>
      </c>
      <c r="K9" s="76">
        <v>1</v>
      </c>
      <c r="L9" s="76">
        <v>117692</v>
      </c>
    </row>
    <row r="10" spans="1:12">
      <c r="A10" s="44">
        <v>9</v>
      </c>
      <c r="B10" s="1" t="s">
        <v>289</v>
      </c>
      <c r="C10" s="44" t="s">
        <v>313</v>
      </c>
      <c r="D10" s="44" t="s">
        <v>305</v>
      </c>
      <c r="E10" s="70">
        <f t="shared" si="0"/>
        <v>1.6153956044100442</v>
      </c>
      <c r="F10" s="71">
        <f t="shared" si="1"/>
        <v>1</v>
      </c>
      <c r="G10" s="74">
        <v>44899</v>
      </c>
      <c r="H10" s="75">
        <v>1</v>
      </c>
      <c r="I10" s="76">
        <v>1</v>
      </c>
      <c r="J10" s="76">
        <v>1</v>
      </c>
      <c r="K10" s="76">
        <v>1</v>
      </c>
      <c r="L10" s="76">
        <v>73472</v>
      </c>
    </row>
    <row r="11" spans="1:12">
      <c r="A11" s="44">
        <v>10</v>
      </c>
      <c r="B11" s="1" t="s">
        <v>291</v>
      </c>
      <c r="C11" s="44" t="s">
        <v>314</v>
      </c>
      <c r="D11" s="44" t="s">
        <v>305</v>
      </c>
      <c r="E11" s="70">
        <f t="shared" si="0"/>
        <v>1.6154663904427837</v>
      </c>
      <c r="F11" s="71">
        <f t="shared" si="1"/>
        <v>1</v>
      </c>
      <c r="G11" s="74">
        <v>593417</v>
      </c>
      <c r="H11" s="75">
        <v>1</v>
      </c>
      <c r="I11" s="76">
        <v>1</v>
      </c>
      <c r="J11" s="76">
        <v>1</v>
      </c>
      <c r="K11" s="76">
        <v>1</v>
      </c>
      <c r="L11" s="76">
        <v>971047</v>
      </c>
    </row>
    <row r="12" spans="1:12">
      <c r="A12" s="44">
        <v>11</v>
      </c>
      <c r="B12" s="1" t="s">
        <v>293</v>
      </c>
      <c r="C12" s="44" t="s">
        <v>315</v>
      </c>
      <c r="D12" s="44" t="s">
        <v>305</v>
      </c>
      <c r="E12" s="70">
        <f t="shared" si="0"/>
        <v>1.6154642784151885</v>
      </c>
      <c r="F12" s="71">
        <f t="shared" si="1"/>
        <v>1</v>
      </c>
      <c r="G12" s="74">
        <v>427241</v>
      </c>
      <c r="H12" s="75">
        <v>1</v>
      </c>
      <c r="I12" s="76">
        <v>1</v>
      </c>
      <c r="J12" s="76">
        <v>1</v>
      </c>
      <c r="K12" s="76">
        <v>1</v>
      </c>
      <c r="L12" s="76">
        <v>699123</v>
      </c>
    </row>
    <row r="13" spans="1:12">
      <c r="A13" s="44">
        <v>12</v>
      </c>
      <c r="B13" s="1" t="s">
        <v>295</v>
      </c>
      <c r="C13" s="44" t="s">
        <v>316</v>
      </c>
      <c r="D13" s="44" t="s">
        <v>305</v>
      </c>
      <c r="E13" s="70">
        <f t="shared" si="0"/>
        <v>1.6153842676391237</v>
      </c>
      <c r="F13" s="71">
        <f t="shared" si="1"/>
        <v>1</v>
      </c>
      <c r="G13" s="74">
        <v>38627</v>
      </c>
      <c r="H13" s="75">
        <v>1</v>
      </c>
      <c r="I13" s="76">
        <v>1</v>
      </c>
      <c r="J13" s="76">
        <v>1</v>
      </c>
      <c r="K13" s="76">
        <v>1</v>
      </c>
      <c r="L13" s="76">
        <v>63209</v>
      </c>
    </row>
  </sheetData>
  <conditionalFormatting sqref="E2:E13">
    <cfRule type="cellIs" dxfId="7" priority="1" operator="greaterThan">
      <formula>0.15</formula>
    </cfRule>
  </conditionalFormatting>
  <conditionalFormatting sqref="G2:L13">
    <cfRule type="cellIs" dxfId="6" priority="241" stopIfTrue="1" operator="greaterThan">
      <formula>$G2</formula>
    </cfRule>
    <cfRule type="cellIs" dxfId="5" priority="242" operator="lessThan">
      <formula>#REF!</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tabColor theme="4"/>
  </sheetPr>
  <dimension ref="B2:AQ54"/>
  <sheetViews>
    <sheetView showGridLines="0" zoomScaleNormal="100" workbookViewId="0">
      <selection sqref="A1:A2"/>
    </sheetView>
  </sheetViews>
  <sheetFormatPr defaultColWidth="11.42578125" defaultRowHeight="14.45"/>
  <cols>
    <col min="1" max="1" width="5.5703125" customWidth="1"/>
    <col min="2" max="2" width="7.85546875" customWidth="1"/>
    <col min="3" max="3" width="23.28515625" customWidth="1"/>
    <col min="4" max="4" width="32.28515625" customWidth="1"/>
    <col min="5" max="5" width="33.7109375" customWidth="1"/>
    <col min="6" max="6" width="8.5703125" customWidth="1"/>
    <col min="7" max="7" width="11.42578125" customWidth="1"/>
    <col min="8" max="8" width="14" bestFit="1" customWidth="1"/>
    <col min="9" max="9" width="14" customWidth="1"/>
    <col min="10" max="10" width="14.85546875" customWidth="1"/>
    <col min="11" max="15" width="14.42578125" customWidth="1"/>
    <col min="16" max="16" width="14.140625" customWidth="1"/>
    <col min="17" max="18" width="13.85546875" customWidth="1"/>
    <col min="19" max="19" width="14.28515625" customWidth="1"/>
    <col min="20" max="20" width="16" bestFit="1" customWidth="1"/>
    <col min="21" max="21" width="16.140625" bestFit="1" customWidth="1"/>
    <col min="22" max="22" width="11.42578125" customWidth="1"/>
    <col min="23" max="23" width="13.140625" bestFit="1" customWidth="1"/>
    <col min="24" max="25" width="11.42578125" customWidth="1"/>
    <col min="26" max="26" width="8" customWidth="1"/>
  </cols>
  <sheetData>
    <row r="2" spans="2:27" ht="18">
      <c r="B2" s="405" t="e" cm="1">
        <f t="array" aca="1" ref="B2" ca="1">"RESUMEN COTIZACIONES DE PRECIOS - "&amp;MID(CELL("FILENAME",A1),FIND("[",CELL("FILENAME",A1))+1,FIND("]",CELL("FILENAME",A1))-FIND("[",CELL("FILENAME",A1))-6)</f>
        <v>#VALUE!</v>
      </c>
      <c r="C2" s="405"/>
      <c r="D2" s="405"/>
      <c r="E2" s="405"/>
      <c r="F2" s="405"/>
      <c r="G2" s="405"/>
      <c r="H2" s="405"/>
      <c r="I2" s="405"/>
      <c r="J2" s="405"/>
      <c r="K2" s="405"/>
      <c r="L2" s="405"/>
      <c r="M2" s="405"/>
      <c r="N2" s="405"/>
      <c r="O2" s="405"/>
      <c r="P2" s="405"/>
      <c r="Q2" s="405"/>
      <c r="R2" s="405"/>
      <c r="S2" s="405"/>
      <c r="T2" s="405"/>
      <c r="U2" s="405"/>
      <c r="V2" s="405"/>
      <c r="W2" s="405"/>
      <c r="X2" s="405"/>
    </row>
    <row r="3" spans="2:27" ht="57.75" customHeight="1" thickBot="1">
      <c r="H3" s="13" t="s">
        <v>317</v>
      </c>
      <c r="I3" s="13" t="s">
        <v>318</v>
      </c>
      <c r="J3" s="13" t="s">
        <v>319</v>
      </c>
      <c r="K3" s="13" t="s">
        <v>320</v>
      </c>
      <c r="L3" s="13" t="s">
        <v>321</v>
      </c>
      <c r="M3" s="13" t="s">
        <v>322</v>
      </c>
      <c r="N3" s="13" t="s">
        <v>323</v>
      </c>
      <c r="O3" s="13" t="s">
        <v>324</v>
      </c>
      <c r="P3" s="13"/>
      <c r="Q3" s="13"/>
      <c r="R3" s="13"/>
      <c r="S3" s="13"/>
    </row>
    <row r="4" spans="2:27" ht="26.45">
      <c r="B4" s="25" t="s">
        <v>1</v>
      </c>
      <c r="C4" s="26" t="s">
        <v>2</v>
      </c>
      <c r="D4" s="26" t="s">
        <v>3</v>
      </c>
      <c r="E4" s="26" t="s">
        <v>325</v>
      </c>
      <c r="F4" s="26" t="s">
        <v>4</v>
      </c>
      <c r="G4" s="26" t="s">
        <v>5</v>
      </c>
      <c r="H4" s="27" t="s">
        <v>6</v>
      </c>
      <c r="I4" s="27" t="s">
        <v>7</v>
      </c>
      <c r="J4" s="27" t="s">
        <v>8</v>
      </c>
      <c r="K4" s="27" t="s">
        <v>9</v>
      </c>
      <c r="L4" s="27" t="s">
        <v>326</v>
      </c>
      <c r="M4" s="27" t="s">
        <v>327</v>
      </c>
      <c r="N4" s="27" t="s">
        <v>328</v>
      </c>
      <c r="O4" s="27" t="s">
        <v>329</v>
      </c>
      <c r="P4" s="27" t="s">
        <v>330</v>
      </c>
      <c r="Q4" s="27" t="s">
        <v>331</v>
      </c>
      <c r="R4" s="27" t="s">
        <v>332</v>
      </c>
      <c r="S4" s="27" t="s">
        <v>333</v>
      </c>
      <c r="T4" s="28" t="s">
        <v>10</v>
      </c>
      <c r="U4" s="28" t="s">
        <v>11</v>
      </c>
      <c r="V4" s="29" t="s">
        <v>12</v>
      </c>
      <c r="W4" s="29" t="s">
        <v>13</v>
      </c>
      <c r="X4" s="30" t="s">
        <v>14</v>
      </c>
      <c r="Z4" s="57" t="s">
        <v>15</v>
      </c>
      <c r="AA4" s="57" t="s">
        <v>16</v>
      </c>
    </row>
    <row r="5" spans="2:27" ht="20.45">
      <c r="B5" s="31">
        <v>1</v>
      </c>
      <c r="C5" s="20" t="s">
        <v>160</v>
      </c>
      <c r="D5" s="20" t="s">
        <v>334</v>
      </c>
      <c r="E5" s="20" t="s">
        <v>335</v>
      </c>
      <c r="F5" s="21" t="s">
        <v>19</v>
      </c>
      <c r="G5" s="21">
        <v>1</v>
      </c>
      <c r="H5" s="33" t="s">
        <v>336</v>
      </c>
      <c r="I5" s="33" t="s">
        <v>337</v>
      </c>
      <c r="J5" s="33" t="s">
        <v>338</v>
      </c>
      <c r="K5" s="45" t="s">
        <v>339</v>
      </c>
      <c r="L5" s="33" t="s">
        <v>340</v>
      </c>
      <c r="M5" s="17">
        <f>TalentoHumano_2022!I22</f>
        <v>9684576</v>
      </c>
      <c r="N5" s="17"/>
      <c r="O5" s="17"/>
      <c r="P5" s="17"/>
      <c r="Q5" s="17"/>
      <c r="R5" s="17"/>
      <c r="S5" s="17"/>
      <c r="T5" s="17">
        <f t="shared" ref="T5:T19" si="0">IFERROR(IF(X5&gt;(0.15),ROUND(MEDIAN(H5:S5),0),ROUND(AVERAGE(H5:S5),0)),"")</f>
        <v>9684576</v>
      </c>
      <c r="U5" s="18">
        <f t="shared" ref="U5:U19" si="1">IFERROR(T5*G5,"")</f>
        <v>9684576</v>
      </c>
      <c r="V5" s="18" t="s">
        <v>341</v>
      </c>
      <c r="W5" s="17" t="str">
        <f t="shared" ref="W5:W19" si="2">IFERROR(STDEV(H5:S5),"")</f>
        <v/>
      </c>
      <c r="X5" s="32" t="str">
        <f t="shared" ref="X5:X19" si="3">IFERROR(W5/AVERAGE(H5:S5),"")</f>
        <v/>
      </c>
      <c r="Z5" s="58">
        <f>COUNTIF(H5:S5,"&gt;0")</f>
        <v>1</v>
      </c>
      <c r="AA5" s="1"/>
    </row>
    <row r="6" spans="2:27" ht="20.45">
      <c r="B6" s="31">
        <v>2</v>
      </c>
      <c r="C6" s="20" t="s">
        <v>162</v>
      </c>
      <c r="D6" s="20" t="s">
        <v>342</v>
      </c>
      <c r="E6" s="20" t="s">
        <v>335</v>
      </c>
      <c r="F6" s="21" t="s">
        <v>19</v>
      </c>
      <c r="G6" s="21">
        <v>1</v>
      </c>
      <c r="H6" s="33" t="s">
        <v>343</v>
      </c>
      <c r="I6" s="45" t="s">
        <v>344</v>
      </c>
      <c r="J6" s="45" t="s">
        <v>344</v>
      </c>
      <c r="K6" s="33" t="s">
        <v>345</v>
      </c>
      <c r="L6" s="33" t="s">
        <v>346</v>
      </c>
      <c r="M6" s="17">
        <f>TalentoHumano_2022!I23</f>
        <v>1927273.54428</v>
      </c>
      <c r="N6" s="17"/>
      <c r="O6" s="17"/>
      <c r="P6" s="17"/>
      <c r="Q6" s="17"/>
      <c r="R6" s="17"/>
      <c r="S6" s="17"/>
      <c r="T6" s="17">
        <f t="shared" si="0"/>
        <v>1927274</v>
      </c>
      <c r="U6" s="18">
        <f t="shared" si="1"/>
        <v>1927274</v>
      </c>
      <c r="V6" s="18" t="s">
        <v>341</v>
      </c>
      <c r="W6" s="17" t="str">
        <f t="shared" si="2"/>
        <v/>
      </c>
      <c r="X6" s="32" t="str">
        <f t="shared" si="3"/>
        <v/>
      </c>
      <c r="Z6" s="58">
        <f t="shared" ref="Z6:Z19" si="4">COUNTIF(H6:S6,"&gt;0")</f>
        <v>1</v>
      </c>
      <c r="AA6" s="1"/>
    </row>
    <row r="7" spans="2:27" ht="20.45">
      <c r="B7" s="31">
        <v>3</v>
      </c>
      <c r="C7" s="20" t="s">
        <v>164</v>
      </c>
      <c r="D7" s="20" t="s">
        <v>347</v>
      </c>
      <c r="E7" s="20" t="s">
        <v>335</v>
      </c>
      <c r="F7" s="21" t="s">
        <v>19</v>
      </c>
      <c r="G7" s="21">
        <v>1</v>
      </c>
      <c r="H7" s="33" t="s">
        <v>348</v>
      </c>
      <c r="I7" s="45" t="s">
        <v>349</v>
      </c>
      <c r="J7" s="45" t="s">
        <v>349</v>
      </c>
      <c r="K7" s="33" t="s">
        <v>350</v>
      </c>
      <c r="L7" s="33" t="s">
        <v>351</v>
      </c>
      <c r="M7" s="17">
        <f>TalentoHumano_2022!I24</f>
        <v>2312728.4732400002</v>
      </c>
      <c r="N7" s="17"/>
      <c r="O7" s="17"/>
      <c r="P7" s="17"/>
      <c r="Q7" s="17"/>
      <c r="R7" s="17"/>
      <c r="S7" s="17"/>
      <c r="T7" s="17">
        <f t="shared" si="0"/>
        <v>2312728</v>
      </c>
      <c r="U7" s="18">
        <f t="shared" si="1"/>
        <v>2312728</v>
      </c>
      <c r="V7" s="18" t="s">
        <v>341</v>
      </c>
      <c r="W7" s="17" t="str">
        <f t="shared" si="2"/>
        <v/>
      </c>
      <c r="X7" s="32" t="str">
        <f t="shared" si="3"/>
        <v/>
      </c>
      <c r="Z7" s="58">
        <f t="shared" si="4"/>
        <v>1</v>
      </c>
      <c r="AA7" s="1"/>
    </row>
    <row r="8" spans="2:27">
      <c r="B8" s="31">
        <v>4</v>
      </c>
      <c r="C8" s="20" t="s">
        <v>273</v>
      </c>
      <c r="D8" s="20" t="s">
        <v>352</v>
      </c>
      <c r="E8" s="20" t="s">
        <v>353</v>
      </c>
      <c r="F8" s="21" t="s">
        <v>19</v>
      </c>
      <c r="G8" s="21">
        <v>1</v>
      </c>
      <c r="H8" s="17">
        <v>100000</v>
      </c>
      <c r="I8" s="17">
        <v>145031</v>
      </c>
      <c r="J8" s="17">
        <v>112500</v>
      </c>
      <c r="K8" s="17">
        <v>112832</v>
      </c>
      <c r="L8" s="17"/>
      <c r="M8" s="17"/>
      <c r="N8" s="17">
        <f>'EstudioMercado 2021'!K6</f>
        <v>150695</v>
      </c>
      <c r="O8" s="17">
        <f>SeguridadScanner!C5</f>
        <v>90417</v>
      </c>
      <c r="P8" s="17"/>
      <c r="Q8" s="17"/>
      <c r="R8" s="17"/>
      <c r="S8" s="17"/>
      <c r="T8" s="17">
        <f t="shared" si="0"/>
        <v>112666</v>
      </c>
      <c r="U8" s="18">
        <f t="shared" si="1"/>
        <v>112666</v>
      </c>
      <c r="V8" s="18" t="s">
        <v>354</v>
      </c>
      <c r="W8" s="17">
        <f t="shared" si="2"/>
        <v>24246.259484024864</v>
      </c>
      <c r="X8" s="32">
        <f t="shared" si="3"/>
        <v>0.2044731816355447</v>
      </c>
      <c r="Z8" s="58">
        <f t="shared" si="4"/>
        <v>6</v>
      </c>
      <c r="AA8" s="59">
        <f>1-(MIN(H8:S8)/T8)</f>
        <v>0.19747749986686314</v>
      </c>
    </row>
    <row r="9" spans="2:27" ht="40.9">
      <c r="B9" s="31">
        <v>5</v>
      </c>
      <c r="C9" s="20" t="s">
        <v>275</v>
      </c>
      <c r="D9" s="20" t="s">
        <v>355</v>
      </c>
      <c r="E9" s="20" t="s">
        <v>356</v>
      </c>
      <c r="F9" s="21" t="s">
        <v>19</v>
      </c>
      <c r="G9" s="21">
        <v>1</v>
      </c>
      <c r="H9" s="17">
        <v>100000</v>
      </c>
      <c r="I9" s="17">
        <v>597528</v>
      </c>
      <c r="J9" s="17">
        <v>231250</v>
      </c>
      <c r="K9" s="17">
        <v>239269</v>
      </c>
      <c r="L9" s="17"/>
      <c r="M9" s="17"/>
      <c r="N9" s="17">
        <f>'EstudioMercado 2021'!K7</f>
        <v>1019576</v>
      </c>
      <c r="O9" s="17">
        <f>SeguridadScanner!C6</f>
        <v>611745</v>
      </c>
      <c r="P9" s="17"/>
      <c r="Q9" s="17"/>
      <c r="R9" s="17"/>
      <c r="S9" s="17"/>
      <c r="T9" s="17">
        <f t="shared" si="0"/>
        <v>418399</v>
      </c>
      <c r="U9" s="18">
        <f t="shared" si="1"/>
        <v>418399</v>
      </c>
      <c r="V9" s="18" t="s">
        <v>354</v>
      </c>
      <c r="W9" s="17">
        <f t="shared" si="2"/>
        <v>342185.98038941727</v>
      </c>
      <c r="X9" s="32">
        <f t="shared" si="3"/>
        <v>0.73342121590891363</v>
      </c>
      <c r="Z9" s="58">
        <f t="shared" si="4"/>
        <v>6</v>
      </c>
      <c r="AA9" s="59">
        <f t="shared" ref="AA9:AA19" si="5">1-(MIN(H9:S9)/T9)</f>
        <v>0.76099369262354832</v>
      </c>
    </row>
    <row r="10" spans="2:27" ht="30.6">
      <c r="B10" s="31">
        <v>6</v>
      </c>
      <c r="C10" s="20" t="s">
        <v>277</v>
      </c>
      <c r="D10" s="20" t="s">
        <v>357</v>
      </c>
      <c r="E10" s="20" t="s">
        <v>358</v>
      </c>
      <c r="F10" s="21" t="s">
        <v>19</v>
      </c>
      <c r="G10" s="21">
        <v>1</v>
      </c>
      <c r="H10" s="17">
        <v>30000</v>
      </c>
      <c r="I10" s="17">
        <v>76384</v>
      </c>
      <c r="J10" s="17">
        <v>33750</v>
      </c>
      <c r="K10" s="17">
        <v>52062</v>
      </c>
      <c r="L10" s="17"/>
      <c r="M10" s="17"/>
      <c r="N10" s="17">
        <f>'EstudioMercado 2021'!K8</f>
        <v>122130</v>
      </c>
      <c r="O10" s="17">
        <f>SeguridadScanner!C7</f>
        <v>73278</v>
      </c>
      <c r="P10" s="17"/>
      <c r="Q10" s="17"/>
      <c r="R10" s="17"/>
      <c r="S10" s="17"/>
      <c r="T10" s="17">
        <f t="shared" si="0"/>
        <v>62670</v>
      </c>
      <c r="U10" s="18">
        <f t="shared" si="1"/>
        <v>62670</v>
      </c>
      <c r="V10" s="18" t="s">
        <v>354</v>
      </c>
      <c r="W10" s="17">
        <f t="shared" si="2"/>
        <v>34146.610904549023</v>
      </c>
      <c r="X10" s="32">
        <f t="shared" si="3"/>
        <v>0.52857985321950796</v>
      </c>
      <c r="Z10" s="58">
        <f t="shared" si="4"/>
        <v>6</v>
      </c>
      <c r="AA10" s="59">
        <f t="shared" si="5"/>
        <v>0.52130205840114885</v>
      </c>
    </row>
    <row r="11" spans="2:27" ht="30.6">
      <c r="B11" s="31">
        <v>7</v>
      </c>
      <c r="C11" s="20" t="s">
        <v>279</v>
      </c>
      <c r="D11" s="20" t="s">
        <v>359</v>
      </c>
      <c r="E11" s="20" t="s">
        <v>360</v>
      </c>
      <c r="F11" s="21" t="s">
        <v>19</v>
      </c>
      <c r="G11" s="21">
        <v>1</v>
      </c>
      <c r="H11" s="17">
        <v>30000</v>
      </c>
      <c r="I11" s="17">
        <v>46947</v>
      </c>
      <c r="J11" s="17">
        <v>25000</v>
      </c>
      <c r="K11" s="17">
        <v>52062</v>
      </c>
      <c r="L11" s="17"/>
      <c r="M11" s="17"/>
      <c r="N11" s="17">
        <f>'EstudioMercado 2021'!K9</f>
        <v>270859</v>
      </c>
      <c r="O11" s="17">
        <f>SeguridadScanner!C8</f>
        <v>162515</v>
      </c>
      <c r="P11" s="17"/>
      <c r="Q11" s="17"/>
      <c r="R11" s="17"/>
      <c r="S11" s="17"/>
      <c r="T11" s="17">
        <f t="shared" si="0"/>
        <v>49505</v>
      </c>
      <c r="U11" s="18">
        <f t="shared" si="1"/>
        <v>49505</v>
      </c>
      <c r="V11" s="18" t="s">
        <v>354</v>
      </c>
      <c r="W11" s="17">
        <f t="shared" si="2"/>
        <v>98703.661847809213</v>
      </c>
      <c r="X11" s="32">
        <f t="shared" si="3"/>
        <v>1.0082381871570258</v>
      </c>
      <c r="Z11" s="58">
        <f t="shared" si="4"/>
        <v>6</v>
      </c>
      <c r="AA11" s="59">
        <f t="shared" si="5"/>
        <v>0.49500050499949499</v>
      </c>
    </row>
    <row r="12" spans="2:27" ht="51">
      <c r="B12" s="31">
        <v>8</v>
      </c>
      <c r="C12" s="20" t="s">
        <v>287</v>
      </c>
      <c r="D12" s="20" t="s">
        <v>361</v>
      </c>
      <c r="E12" s="20" t="s">
        <v>362</v>
      </c>
      <c r="F12" s="21" t="s">
        <v>19</v>
      </c>
      <c r="G12" s="21">
        <v>1</v>
      </c>
      <c r="H12" s="17">
        <v>50000</v>
      </c>
      <c r="I12" s="17">
        <v>85504</v>
      </c>
      <c r="J12" s="17">
        <v>56250</v>
      </c>
      <c r="K12" s="17">
        <v>55037</v>
      </c>
      <c r="L12" s="17"/>
      <c r="M12" s="17"/>
      <c r="N12" s="17">
        <f>'EstudioMercado 2021'!K13</f>
        <v>55608</v>
      </c>
      <c r="O12" s="17">
        <f>SeguridadScanner!C12</f>
        <v>33365</v>
      </c>
      <c r="P12" s="17"/>
      <c r="Q12" s="17"/>
      <c r="R12" s="17"/>
      <c r="S12" s="17"/>
      <c r="T12" s="17">
        <f t="shared" si="0"/>
        <v>55323</v>
      </c>
      <c r="U12" s="18">
        <f t="shared" si="1"/>
        <v>55323</v>
      </c>
      <c r="V12" s="18" t="s">
        <v>354</v>
      </c>
      <c r="W12" s="17">
        <f t="shared" si="2"/>
        <v>16852.082905880401</v>
      </c>
      <c r="X12" s="32">
        <f t="shared" si="3"/>
        <v>0.30114156799204922</v>
      </c>
      <c r="Z12" s="58">
        <f t="shared" si="4"/>
        <v>6</v>
      </c>
      <c r="AA12" s="59">
        <f t="shared" si="5"/>
        <v>0.3969054461977839</v>
      </c>
    </row>
    <row r="13" spans="2:27" ht="112.15">
      <c r="B13" s="31">
        <v>9</v>
      </c>
      <c r="C13" s="20" t="s">
        <v>281</v>
      </c>
      <c r="D13" s="20" t="s">
        <v>363</v>
      </c>
      <c r="E13" s="20" t="s">
        <v>364</v>
      </c>
      <c r="F13" s="21" t="s">
        <v>19</v>
      </c>
      <c r="G13" s="21">
        <v>1</v>
      </c>
      <c r="H13" s="17">
        <v>100000</v>
      </c>
      <c r="I13" s="17">
        <v>933815</v>
      </c>
      <c r="J13" s="17">
        <v>231250</v>
      </c>
      <c r="K13" s="17">
        <v>96687</v>
      </c>
      <c r="L13" s="17"/>
      <c r="M13" s="17"/>
      <c r="N13" s="17">
        <f>'EstudioMercado 2021'!K10</f>
        <v>505400</v>
      </c>
      <c r="O13" s="17">
        <f>SeguridadScanner!C9</f>
        <v>303240</v>
      </c>
      <c r="P13" s="17"/>
      <c r="Q13" s="17"/>
      <c r="R13" s="17"/>
      <c r="S13" s="17"/>
      <c r="T13" s="17">
        <f t="shared" si="0"/>
        <v>267245</v>
      </c>
      <c r="U13" s="18">
        <f t="shared" si="1"/>
        <v>267245</v>
      </c>
      <c r="V13" s="18" t="s">
        <v>354</v>
      </c>
      <c r="W13" s="17">
        <f t="shared" si="2"/>
        <v>318470.97555350314</v>
      </c>
      <c r="X13" s="32">
        <f t="shared" si="3"/>
        <v>0.88040586830444401</v>
      </c>
      <c r="Z13" s="58">
        <f t="shared" si="4"/>
        <v>6</v>
      </c>
      <c r="AA13" s="59">
        <f t="shared" si="5"/>
        <v>0.63820838556380854</v>
      </c>
    </row>
    <row r="14" spans="2:27" ht="71.45">
      <c r="B14" s="31">
        <v>10</v>
      </c>
      <c r="C14" s="20" t="s">
        <v>283</v>
      </c>
      <c r="D14" s="20" t="s">
        <v>365</v>
      </c>
      <c r="E14" s="20" t="s">
        <v>366</v>
      </c>
      <c r="F14" s="21" t="s">
        <v>19</v>
      </c>
      <c r="G14" s="21">
        <v>1</v>
      </c>
      <c r="H14" s="17">
        <v>30000</v>
      </c>
      <c r="I14" s="17">
        <v>388683</v>
      </c>
      <c r="J14" s="17">
        <v>92500</v>
      </c>
      <c r="K14" s="17">
        <v>119000</v>
      </c>
      <c r="L14" s="17"/>
      <c r="M14" s="17"/>
      <c r="N14" s="17">
        <f>'EstudioMercado 2021'!K11</f>
        <v>534700</v>
      </c>
      <c r="O14" s="17">
        <f>SeguridadScanner!C10</f>
        <v>320820</v>
      </c>
      <c r="P14" s="17"/>
      <c r="Q14" s="17"/>
      <c r="R14" s="17"/>
      <c r="S14" s="17"/>
      <c r="T14" s="17">
        <f t="shared" si="0"/>
        <v>219910</v>
      </c>
      <c r="U14" s="18">
        <f t="shared" si="1"/>
        <v>219910</v>
      </c>
      <c r="V14" s="18" t="s">
        <v>354</v>
      </c>
      <c r="W14" s="17">
        <f t="shared" si="2"/>
        <v>197805.82373673093</v>
      </c>
      <c r="X14" s="32">
        <f t="shared" si="3"/>
        <v>0.79883727933536219</v>
      </c>
      <c r="Z14" s="58">
        <f t="shared" si="4"/>
        <v>6</v>
      </c>
      <c r="AA14" s="59">
        <f t="shared" si="5"/>
        <v>0.86358055568186987</v>
      </c>
    </row>
    <row r="15" spans="2:27" ht="122.45">
      <c r="B15" s="31">
        <v>11</v>
      </c>
      <c r="C15" s="20" t="s">
        <v>285</v>
      </c>
      <c r="D15" s="20" t="s">
        <v>367</v>
      </c>
      <c r="E15" s="20" t="s">
        <v>368</v>
      </c>
      <c r="F15" s="21" t="s">
        <v>19</v>
      </c>
      <c r="G15" s="21">
        <v>1</v>
      </c>
      <c r="H15" s="17">
        <v>50000</v>
      </c>
      <c r="I15" s="17">
        <v>174037</v>
      </c>
      <c r="J15" s="17">
        <v>87500</v>
      </c>
      <c r="K15" s="17">
        <v>66937</v>
      </c>
      <c r="L15" s="17"/>
      <c r="M15" s="17"/>
      <c r="N15" s="17">
        <f>'EstudioMercado 2021'!K12</f>
        <v>348977</v>
      </c>
      <c r="O15" s="17">
        <f>SeguridadScanner!C11</f>
        <v>209386</v>
      </c>
      <c r="P15" s="17"/>
      <c r="Q15" s="17"/>
      <c r="R15" s="17"/>
      <c r="S15" s="17"/>
      <c r="T15" s="17">
        <f t="shared" si="0"/>
        <v>130769</v>
      </c>
      <c r="U15" s="18">
        <f t="shared" si="1"/>
        <v>130769</v>
      </c>
      <c r="V15" s="18" t="s">
        <v>354</v>
      </c>
      <c r="W15" s="17">
        <f t="shared" si="2"/>
        <v>113380.66157991847</v>
      </c>
      <c r="X15" s="32">
        <f t="shared" si="3"/>
        <v>0.72614976722686098</v>
      </c>
      <c r="Z15" s="58">
        <f t="shared" si="4"/>
        <v>6</v>
      </c>
      <c r="AA15" s="59">
        <f t="shared" si="5"/>
        <v>0.61764638408185424</v>
      </c>
    </row>
    <row r="16" spans="2:27" ht="112.15">
      <c r="B16" s="31">
        <v>12</v>
      </c>
      <c r="C16" s="20" t="s">
        <v>289</v>
      </c>
      <c r="D16" s="20" t="s">
        <v>369</v>
      </c>
      <c r="E16" s="20" t="s">
        <v>370</v>
      </c>
      <c r="F16" s="21" t="s">
        <v>19</v>
      </c>
      <c r="G16" s="21">
        <v>1</v>
      </c>
      <c r="H16" s="17">
        <v>50000</v>
      </c>
      <c r="I16" s="17">
        <v>154700</v>
      </c>
      <c r="J16" s="17">
        <v>40000</v>
      </c>
      <c r="K16" s="17">
        <v>86275</v>
      </c>
      <c r="L16" s="17"/>
      <c r="M16" s="17"/>
      <c r="N16" s="17">
        <f>'EstudioMercado 2021'!K14</f>
        <v>128328</v>
      </c>
      <c r="O16" s="17">
        <f>SeguridadScanner!C13</f>
        <v>76996</v>
      </c>
      <c r="P16" s="17"/>
      <c r="Q16" s="17"/>
      <c r="R16" s="17"/>
      <c r="S16" s="17"/>
      <c r="T16" s="17">
        <f t="shared" si="0"/>
        <v>81636</v>
      </c>
      <c r="U16" s="18">
        <f t="shared" si="1"/>
        <v>81636</v>
      </c>
      <c r="V16" s="18" t="s">
        <v>354</v>
      </c>
      <c r="W16" s="17">
        <f t="shared" si="2"/>
        <v>44577.622917408538</v>
      </c>
      <c r="X16" s="32">
        <f t="shared" si="3"/>
        <v>0.49872503492352438</v>
      </c>
      <c r="Z16" s="58">
        <f t="shared" si="4"/>
        <v>6</v>
      </c>
      <c r="AA16" s="59">
        <f t="shared" si="5"/>
        <v>0.51002008917634378</v>
      </c>
    </row>
    <row r="17" spans="2:27" ht="81.599999999999994">
      <c r="B17" s="31">
        <v>13</v>
      </c>
      <c r="C17" s="20" t="s">
        <v>291</v>
      </c>
      <c r="D17" s="20" t="s">
        <v>371</v>
      </c>
      <c r="E17" s="20" t="s">
        <v>372</v>
      </c>
      <c r="F17" s="21" t="s">
        <v>19</v>
      </c>
      <c r="G17" s="21">
        <v>1</v>
      </c>
      <c r="H17" s="17"/>
      <c r="I17" s="17"/>
      <c r="J17" s="17"/>
      <c r="K17" s="17"/>
      <c r="L17" s="17"/>
      <c r="M17" s="17"/>
      <c r="N17" s="17">
        <f>'EstudioMercado 2021'!K15</f>
        <v>1348676</v>
      </c>
      <c r="O17" s="17">
        <f>SeguridadScanner!C14</f>
        <v>809206</v>
      </c>
      <c r="P17" s="17"/>
      <c r="Q17" s="17"/>
      <c r="R17" s="17"/>
      <c r="S17" s="17"/>
      <c r="T17" s="17">
        <f t="shared" si="0"/>
        <v>1078941</v>
      </c>
      <c r="U17" s="18">
        <f t="shared" si="1"/>
        <v>1078941</v>
      </c>
      <c r="V17" s="18" t="s">
        <v>373</v>
      </c>
      <c r="W17" s="17">
        <f t="shared" si="2"/>
        <v>381462.89524670679</v>
      </c>
      <c r="X17" s="32">
        <f t="shared" si="3"/>
        <v>0.35355306290770933</v>
      </c>
      <c r="Z17" s="58">
        <f t="shared" si="4"/>
        <v>2</v>
      </c>
      <c r="AA17" s="59">
        <f t="shared" si="5"/>
        <v>0.24999976829131532</v>
      </c>
    </row>
    <row r="18" spans="2:27" ht="51">
      <c r="B18" s="31">
        <v>14</v>
      </c>
      <c r="C18" s="20" t="s">
        <v>293</v>
      </c>
      <c r="D18" s="20" t="s">
        <v>374</v>
      </c>
      <c r="E18" s="20" t="s">
        <v>375</v>
      </c>
      <c r="F18" s="21" t="s">
        <v>19</v>
      </c>
      <c r="G18" s="21">
        <v>1</v>
      </c>
      <c r="H18" s="17"/>
      <c r="I18" s="17"/>
      <c r="J18" s="17"/>
      <c r="K18" s="17"/>
      <c r="L18" s="17"/>
      <c r="M18" s="17"/>
      <c r="N18" s="17">
        <f>'EstudioMercado 2021'!K16</f>
        <v>971003</v>
      </c>
      <c r="O18" s="17">
        <f>SeguridadScanner!C15</f>
        <v>582602</v>
      </c>
      <c r="P18" s="17"/>
      <c r="Q18" s="17"/>
      <c r="R18" s="17"/>
      <c r="S18" s="17"/>
      <c r="T18" s="17">
        <f t="shared" si="0"/>
        <v>776803</v>
      </c>
      <c r="U18" s="18">
        <f t="shared" si="1"/>
        <v>776803</v>
      </c>
      <c r="V18" s="18" t="s">
        <v>376</v>
      </c>
      <c r="W18" s="17">
        <f t="shared" si="2"/>
        <v>274640.98091963626</v>
      </c>
      <c r="X18" s="32">
        <f t="shared" si="3"/>
        <v>0.35355316302359513</v>
      </c>
      <c r="Z18" s="58">
        <f t="shared" si="4"/>
        <v>2</v>
      </c>
      <c r="AA18" s="59">
        <f t="shared" si="5"/>
        <v>0.25000032183191878</v>
      </c>
    </row>
    <row r="19" spans="2:27" ht="71.45">
      <c r="B19" s="31">
        <v>15</v>
      </c>
      <c r="C19" s="20" t="s">
        <v>295</v>
      </c>
      <c r="D19" s="20" t="s">
        <v>377</v>
      </c>
      <c r="E19" s="20" t="s">
        <v>378</v>
      </c>
      <c r="F19" s="21" t="s">
        <v>19</v>
      </c>
      <c r="G19" s="21">
        <v>1</v>
      </c>
      <c r="H19" s="17"/>
      <c r="I19" s="17"/>
      <c r="J19" s="17"/>
      <c r="K19" s="17"/>
      <c r="L19" s="17"/>
      <c r="M19" s="17"/>
      <c r="N19" s="17">
        <f>'EstudioMercado 2021'!K17</f>
        <v>87790</v>
      </c>
      <c r="O19" s="17">
        <f>SeguridadScanner!C16</f>
        <v>52674</v>
      </c>
      <c r="P19" s="17"/>
      <c r="Q19" s="17"/>
      <c r="R19" s="17"/>
      <c r="S19" s="17"/>
      <c r="T19" s="17">
        <f t="shared" si="0"/>
        <v>70232</v>
      </c>
      <c r="U19" s="18">
        <f t="shared" si="1"/>
        <v>70232</v>
      </c>
      <c r="V19" s="18" t="s">
        <v>379</v>
      </c>
      <c r="W19" s="17">
        <f t="shared" si="2"/>
        <v>24830.761728146805</v>
      </c>
      <c r="X19" s="32">
        <f t="shared" si="3"/>
        <v>0.35355339059327379</v>
      </c>
      <c r="Z19" s="58">
        <f t="shared" si="4"/>
        <v>2</v>
      </c>
      <c r="AA19" s="59">
        <f t="shared" si="5"/>
        <v>0.25</v>
      </c>
    </row>
    <row r="20" spans="2:27" ht="15" thickBot="1">
      <c r="G20" s="22" t="s">
        <v>35</v>
      </c>
      <c r="H20" s="23">
        <f>SUM(H5:H19)</f>
        <v>540000</v>
      </c>
      <c r="I20" s="23">
        <f>SUM(I5:I19)</f>
        <v>2602629</v>
      </c>
      <c r="J20" s="23">
        <f>SUM(J5:J19)</f>
        <v>910000</v>
      </c>
      <c r="K20" s="23">
        <f>SUM(K5:K19)</f>
        <v>880161</v>
      </c>
      <c r="L20" s="23">
        <f t="shared" ref="L20:S20" si="6">SUM(L5:L19)</f>
        <v>0</v>
      </c>
      <c r="M20" s="23">
        <f t="shared" si="6"/>
        <v>13924578.017519999</v>
      </c>
      <c r="N20" s="23">
        <f t="shared" si="6"/>
        <v>5543742</v>
      </c>
      <c r="O20" s="23">
        <f t="shared" si="6"/>
        <v>3326244</v>
      </c>
      <c r="P20" s="23">
        <f t="shared" si="6"/>
        <v>0</v>
      </c>
      <c r="Q20" s="23">
        <f t="shared" si="6"/>
        <v>0</v>
      </c>
      <c r="R20" s="23">
        <f t="shared" si="6"/>
        <v>0</v>
      </c>
      <c r="S20" s="23">
        <f t="shared" si="6"/>
        <v>0</v>
      </c>
      <c r="T20" s="23">
        <f>SUM(T5:T19)</f>
        <v>17248677</v>
      </c>
      <c r="U20" s="24">
        <f>SUM(U5:U19)</f>
        <v>17248677</v>
      </c>
      <c r="V20" s="19"/>
      <c r="W20" s="19"/>
    </row>
    <row r="21" spans="2:27">
      <c r="H21" s="9"/>
      <c r="I21" s="9"/>
      <c r="J21" s="9"/>
      <c r="K21" s="9"/>
      <c r="L21" s="9"/>
      <c r="M21" s="9"/>
      <c r="N21" s="9"/>
      <c r="O21" s="9"/>
      <c r="P21" s="9"/>
      <c r="Q21" s="9"/>
      <c r="R21" s="9"/>
      <c r="S21" s="9"/>
      <c r="T21" s="9"/>
    </row>
    <row r="22" spans="2:27">
      <c r="I22" s="9"/>
    </row>
    <row r="23" spans="2:27">
      <c r="I23" s="9"/>
    </row>
    <row r="24" spans="2:27">
      <c r="H24" s="12"/>
      <c r="I24" s="9"/>
    </row>
    <row r="25" spans="2:27">
      <c r="H25" s="9"/>
      <c r="I25" s="9"/>
    </row>
    <row r="26" spans="2:27">
      <c r="I26" s="9"/>
    </row>
    <row r="27" spans="2:27">
      <c r="H27" s="9"/>
      <c r="I27" s="9"/>
    </row>
    <row r="28" spans="2:27">
      <c r="H28" s="9"/>
      <c r="I28" s="9"/>
    </row>
    <row r="29" spans="2:27">
      <c r="H29" s="9"/>
      <c r="I29" s="9"/>
    </row>
    <row r="30" spans="2:27">
      <c r="H30" s="9"/>
      <c r="I30" s="9"/>
    </row>
    <row r="31" spans="2:27">
      <c r="H31" s="9"/>
      <c r="I31" s="9"/>
    </row>
    <row r="32" spans="2:27">
      <c r="H32" s="9"/>
      <c r="I32" s="9"/>
    </row>
    <row r="33" spans="8:9">
      <c r="H33" s="9"/>
      <c r="I33" s="9"/>
    </row>
    <row r="34" spans="8:9">
      <c r="H34" s="9"/>
      <c r="I34" s="9"/>
    </row>
    <row r="35" spans="8:9">
      <c r="H35" s="9"/>
      <c r="I35" s="9"/>
    </row>
    <row r="36" spans="8:9">
      <c r="H36" s="9"/>
      <c r="I36" s="9"/>
    </row>
    <row r="37" spans="8:9">
      <c r="H37" s="9"/>
      <c r="I37" s="9"/>
    </row>
    <row r="38" spans="8:9">
      <c r="H38" s="9"/>
      <c r="I38" s="9"/>
    </row>
    <row r="39" spans="8:9">
      <c r="H39" s="9"/>
      <c r="I39" s="9"/>
    </row>
    <row r="40" spans="8:9">
      <c r="H40" s="9"/>
      <c r="I40" s="9"/>
    </row>
    <row r="41" spans="8:9">
      <c r="H41" s="9"/>
      <c r="I41" s="9"/>
    </row>
    <row r="42" spans="8:9">
      <c r="I42" s="9"/>
    </row>
    <row r="43" spans="8:9">
      <c r="I43" s="9"/>
    </row>
    <row r="44" spans="8:9">
      <c r="I44" s="9"/>
    </row>
    <row r="45" spans="8:9">
      <c r="I45" s="9"/>
    </row>
    <row r="46" spans="8:9">
      <c r="I46" s="9"/>
    </row>
    <row r="47" spans="8:9">
      <c r="I47" s="9"/>
    </row>
    <row r="48" spans="8:9">
      <c r="I48" s="9"/>
    </row>
    <row r="49" spans="9:43">
      <c r="I49" s="9"/>
    </row>
    <row r="50" spans="9:43">
      <c r="I50" s="9"/>
    </row>
    <row r="51" spans="9:43">
      <c r="I51" s="9"/>
    </row>
    <row r="54" spans="9:43">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row>
  </sheetData>
  <autoFilter ref="B4:Z5" xr:uid="{00000000-0009-0000-0000-00000A000000}"/>
  <mergeCells count="1">
    <mergeCell ref="B2:X2"/>
  </mergeCells>
  <conditionalFormatting sqref="D4">
    <cfRule type="duplicateValues" dxfId="4" priority="26"/>
  </conditionalFormatting>
  <conditionalFormatting sqref="H5:K5 M5:S5">
    <cfRule type="colorScale" priority="27">
      <colorScale>
        <cfvo type="min"/>
        <cfvo type="percentile" val="50"/>
        <cfvo type="max"/>
        <color rgb="FF00B050"/>
        <color rgb="FFFFFF00"/>
        <color rgb="FFFF0000"/>
      </colorScale>
    </cfRule>
  </conditionalFormatting>
  <conditionalFormatting sqref="H6:S6">
    <cfRule type="colorScale" priority="24">
      <colorScale>
        <cfvo type="min"/>
        <cfvo type="percentile" val="50"/>
        <cfvo type="max"/>
        <color rgb="FF00B050"/>
        <color rgb="FFFFFF00"/>
        <color rgb="FFFF0000"/>
      </colorScale>
    </cfRule>
  </conditionalFormatting>
  <conditionalFormatting sqref="H7:S7">
    <cfRule type="colorScale" priority="22">
      <colorScale>
        <cfvo type="min"/>
        <cfvo type="percentile" val="50"/>
        <cfvo type="max"/>
        <color rgb="FF00B050"/>
        <color rgb="FFFFFF00"/>
        <color rgb="FFFF0000"/>
      </colorScale>
    </cfRule>
  </conditionalFormatting>
  <conditionalFormatting sqref="H8:S8">
    <cfRule type="colorScale" priority="20">
      <colorScale>
        <cfvo type="min"/>
        <cfvo type="percentile" val="50"/>
        <cfvo type="max"/>
        <color rgb="FF00B050"/>
        <color rgb="FFFFFF00"/>
        <color rgb="FFFF0000"/>
      </colorScale>
    </cfRule>
  </conditionalFormatting>
  <conditionalFormatting sqref="H9:S9">
    <cfRule type="colorScale" priority="18">
      <colorScale>
        <cfvo type="min"/>
        <cfvo type="percentile" val="50"/>
        <cfvo type="max"/>
        <color rgb="FF00B050"/>
        <color rgb="FFFFFF00"/>
        <color rgb="FFFF0000"/>
      </colorScale>
    </cfRule>
  </conditionalFormatting>
  <conditionalFormatting sqref="H10:S10">
    <cfRule type="colorScale" priority="16">
      <colorScale>
        <cfvo type="min"/>
        <cfvo type="percentile" val="50"/>
        <cfvo type="max"/>
        <color rgb="FF00B050"/>
        <color rgb="FFFFFF00"/>
        <color rgb="FFFF0000"/>
      </colorScale>
    </cfRule>
  </conditionalFormatting>
  <conditionalFormatting sqref="H11:S11">
    <cfRule type="colorScale" priority="14">
      <colorScale>
        <cfvo type="min"/>
        <cfvo type="percentile" val="50"/>
        <cfvo type="max"/>
        <color rgb="FF00B050"/>
        <color rgb="FFFFFF00"/>
        <color rgb="FFFF0000"/>
      </colorScale>
    </cfRule>
  </conditionalFormatting>
  <conditionalFormatting sqref="H12:S12">
    <cfRule type="colorScale" priority="12">
      <colorScale>
        <cfvo type="min"/>
        <cfvo type="percentile" val="50"/>
        <cfvo type="max"/>
        <color rgb="FF00B050"/>
        <color rgb="FFFFFF00"/>
        <color rgb="FFFF0000"/>
      </colorScale>
    </cfRule>
  </conditionalFormatting>
  <conditionalFormatting sqref="H13:S13">
    <cfRule type="colorScale" priority="10">
      <colorScale>
        <cfvo type="min"/>
        <cfvo type="percentile" val="50"/>
        <cfvo type="max"/>
        <color rgb="FF00B050"/>
        <color rgb="FFFFFF00"/>
        <color rgb="FFFF0000"/>
      </colorScale>
    </cfRule>
  </conditionalFormatting>
  <conditionalFormatting sqref="H14:S14">
    <cfRule type="colorScale" priority="8">
      <colorScale>
        <cfvo type="min"/>
        <cfvo type="percentile" val="50"/>
        <cfvo type="max"/>
        <color rgb="FF00B050"/>
        <color rgb="FFFFFF00"/>
        <color rgb="FFFF0000"/>
      </colorScale>
    </cfRule>
  </conditionalFormatting>
  <conditionalFormatting sqref="H15:S15 H17:S18">
    <cfRule type="colorScale" priority="6">
      <colorScale>
        <cfvo type="min"/>
        <cfvo type="percentile" val="50"/>
        <cfvo type="max"/>
        <color rgb="FF00B050"/>
        <color rgb="FFFFFF00"/>
        <color rgb="FFFF0000"/>
      </colorScale>
    </cfRule>
  </conditionalFormatting>
  <conditionalFormatting sqref="H16:S16">
    <cfRule type="colorScale" priority="2">
      <colorScale>
        <cfvo type="min"/>
        <cfvo type="percentile" val="50"/>
        <cfvo type="max"/>
        <color rgb="FF00B050"/>
        <color rgb="FFFFFF00"/>
        <color rgb="FFFF0000"/>
      </colorScale>
    </cfRule>
  </conditionalFormatting>
  <conditionalFormatting sqref="H19:S19">
    <cfRule type="colorScale" priority="4">
      <colorScale>
        <cfvo type="min"/>
        <cfvo type="percentile" val="50"/>
        <cfvo type="max"/>
        <color rgb="FF00B050"/>
        <color rgb="FFFFFF00"/>
        <color rgb="FFFF0000"/>
      </colorScale>
    </cfRule>
  </conditionalFormatting>
  <conditionalFormatting sqref="L5">
    <cfRule type="colorScale" priority="3">
      <colorScale>
        <cfvo type="min"/>
        <cfvo type="percentile" val="50"/>
        <cfvo type="max"/>
        <color rgb="FF00B050"/>
        <color rgb="FFFFFF00"/>
        <color rgb="FFFF0000"/>
      </colorScale>
    </cfRule>
  </conditionalFormatting>
  <conditionalFormatting sqref="X5:X19">
    <cfRule type="cellIs" dxfId="3" priority="1" operator="greaterThan">
      <formula>0.15</formula>
    </cfRule>
  </conditionalFormatting>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4">
    <tabColor theme="4"/>
    <pageSetUpPr fitToPage="1"/>
  </sheetPr>
  <dimension ref="B2:I28"/>
  <sheetViews>
    <sheetView showGridLines="0" topLeftCell="A8" workbookViewId="0">
      <selection activeCell="A19" sqref="A19"/>
    </sheetView>
  </sheetViews>
  <sheetFormatPr defaultColWidth="11.5703125" defaultRowHeight="14.45"/>
  <cols>
    <col min="1" max="1" width="2.42578125" customWidth="1"/>
    <col min="2" max="2" width="2.28515625" bestFit="1" customWidth="1"/>
    <col min="3" max="3" width="38" customWidth="1"/>
    <col min="4" max="4" width="15.85546875" bestFit="1" customWidth="1"/>
    <col min="5" max="5" width="15.28515625" bestFit="1" customWidth="1"/>
    <col min="6" max="6" width="11.28515625" bestFit="1" customWidth="1"/>
    <col min="7" max="7" width="14.28515625" bestFit="1" customWidth="1"/>
    <col min="8" max="8" width="10.42578125" bestFit="1" customWidth="1"/>
    <col min="9" max="9" width="11.85546875" bestFit="1" customWidth="1"/>
  </cols>
  <sheetData>
    <row r="2" spans="2:5">
      <c r="B2" s="480" t="s">
        <v>380</v>
      </c>
      <c r="C2" s="480"/>
      <c r="D2" s="480"/>
      <c r="E2" s="480"/>
    </row>
    <row r="4" spans="2:5" ht="29.45" customHeight="1">
      <c r="B4" s="481" t="s">
        <v>381</v>
      </c>
      <c r="C4" s="482"/>
      <c r="D4" s="482"/>
      <c r="E4" s="482"/>
    </row>
    <row r="14" spans="2:5" ht="47.45" customHeight="1">
      <c r="B14" s="482" t="s">
        <v>382</v>
      </c>
      <c r="C14" s="482"/>
      <c r="D14" s="482"/>
      <c r="E14" s="482"/>
    </row>
    <row r="15" spans="2:5" ht="33" customHeight="1">
      <c r="B15" s="34"/>
      <c r="C15" s="34"/>
      <c r="D15" s="34"/>
      <c r="E15" s="34"/>
    </row>
    <row r="16" spans="2:5">
      <c r="B16" s="34"/>
      <c r="C16" s="48" t="s">
        <v>383</v>
      </c>
      <c r="D16" s="48" t="s">
        <v>384</v>
      </c>
      <c r="E16" s="48" t="s">
        <v>385</v>
      </c>
    </row>
    <row r="17" spans="2:9" ht="28.15" customHeight="1">
      <c r="B17" s="34"/>
      <c r="C17" s="36" t="s">
        <v>386</v>
      </c>
      <c r="D17" s="35">
        <v>9504000</v>
      </c>
      <c r="E17" s="54">
        <f>D17+((D17*10%)*19%)</f>
        <v>9684576</v>
      </c>
    </row>
    <row r="18" spans="2:9">
      <c r="B18" s="34"/>
      <c r="C18" s="34"/>
      <c r="D18" s="37"/>
      <c r="E18" s="34"/>
    </row>
    <row r="19" spans="2:9" ht="27.6" customHeight="1">
      <c r="B19" s="482"/>
      <c r="C19" s="482"/>
      <c r="D19" s="482"/>
      <c r="E19" s="482"/>
    </row>
    <row r="20" spans="2:9">
      <c r="B20" s="34"/>
      <c r="C20" s="34"/>
      <c r="D20" s="34"/>
      <c r="E20" s="34"/>
    </row>
    <row r="21" spans="2:9" ht="43.15">
      <c r="B21" s="48" t="s">
        <v>387</v>
      </c>
      <c r="C21" s="48" t="s">
        <v>383</v>
      </c>
      <c r="D21" s="48" t="s">
        <v>388</v>
      </c>
      <c r="E21" s="49">
        <v>0.08</v>
      </c>
      <c r="F21" s="48" t="s">
        <v>389</v>
      </c>
      <c r="G21" s="50">
        <v>0.1</v>
      </c>
      <c r="H21" s="51">
        <v>0.19</v>
      </c>
      <c r="I21" s="53" t="s">
        <v>390</v>
      </c>
    </row>
    <row r="22" spans="2:9" ht="33.6" customHeight="1">
      <c r="B22" s="52">
        <v>1</v>
      </c>
      <c r="C22" s="55" t="s">
        <v>181</v>
      </c>
      <c r="D22" s="46">
        <v>8800000</v>
      </c>
      <c r="E22" s="46">
        <f>D22*$E$21</f>
        <v>704000</v>
      </c>
      <c r="F22" s="46">
        <f>D22+E22</f>
        <v>9504000</v>
      </c>
      <c r="G22" s="47">
        <f>F22*$G$21</f>
        <v>950400</v>
      </c>
      <c r="H22" s="47">
        <f>G22*$H$21</f>
        <v>180576</v>
      </c>
      <c r="I22" s="46">
        <f>F22+H22</f>
        <v>9684576</v>
      </c>
    </row>
    <row r="23" spans="2:9" ht="33.6" customHeight="1">
      <c r="B23" s="52">
        <v>2</v>
      </c>
      <c r="C23" s="55" t="s">
        <v>182</v>
      </c>
      <c r="D23" s="46">
        <v>1751239</v>
      </c>
      <c r="E23" s="46">
        <f>D23*$E$21</f>
        <v>140099.12</v>
      </c>
      <c r="F23" s="46">
        <f>D23+E23</f>
        <v>1891338.12</v>
      </c>
      <c r="G23" s="47">
        <f>F23*$G$21</f>
        <v>189133.81200000003</v>
      </c>
      <c r="H23" s="47">
        <f>G23*$H$21</f>
        <v>35935.424280000007</v>
      </c>
      <c r="I23" s="46">
        <f>F23+H23</f>
        <v>1927273.54428</v>
      </c>
    </row>
    <row r="24" spans="2:9" ht="33.6" customHeight="1">
      <c r="B24" s="52">
        <v>3</v>
      </c>
      <c r="C24" s="55" t="s">
        <v>184</v>
      </c>
      <c r="D24" s="46">
        <v>2101487</v>
      </c>
      <c r="E24" s="46">
        <f>D24*$E$21</f>
        <v>168118.96</v>
      </c>
      <c r="F24" s="46">
        <f>D24+E24</f>
        <v>2269605.96</v>
      </c>
      <c r="G24" s="47">
        <f>F24*$G$21</f>
        <v>226960.59600000002</v>
      </c>
      <c r="H24" s="47">
        <f>G24*$H$21</f>
        <v>43122.513240000007</v>
      </c>
      <c r="I24" s="46">
        <f>F24+H24</f>
        <v>2312728.4732400002</v>
      </c>
    </row>
    <row r="26" spans="2:9" ht="28.9" customHeight="1">
      <c r="C26" s="482" t="s">
        <v>391</v>
      </c>
      <c r="D26" s="482"/>
      <c r="E26" s="482"/>
    </row>
    <row r="28" spans="2:9">
      <c r="D28" s="56"/>
    </row>
  </sheetData>
  <mergeCells count="5">
    <mergeCell ref="B2:E2"/>
    <mergeCell ref="B4:E4"/>
    <mergeCell ref="B14:E14"/>
    <mergeCell ref="B19:E19"/>
    <mergeCell ref="C26:E26"/>
  </mergeCells>
  <pageMargins left="0.7" right="0.7" top="0.75" bottom="0.75" header="0.3" footer="0.3"/>
  <pageSetup scale="75"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tabColor theme="4"/>
  </sheetPr>
  <dimension ref="A3:P41"/>
  <sheetViews>
    <sheetView workbookViewId="0">
      <selection activeCell="A19" sqref="A19"/>
    </sheetView>
  </sheetViews>
  <sheetFormatPr defaultColWidth="0" defaultRowHeight="14.45"/>
  <cols>
    <col min="1" max="1" width="6.5703125" customWidth="1"/>
    <col min="2" max="2" width="5" customWidth="1"/>
    <col min="3" max="3" width="28.5703125" customWidth="1"/>
    <col min="4" max="4" width="64" customWidth="1"/>
    <col min="5" max="5" width="27.7109375" customWidth="1"/>
    <col min="6" max="6" width="9.5703125" customWidth="1"/>
    <col min="7" max="7" width="9.140625" customWidth="1"/>
    <col min="8" max="8" width="14" bestFit="1" customWidth="1"/>
    <col min="9" max="11" width="15" customWidth="1"/>
    <col min="12" max="12" width="39.28515625" customWidth="1"/>
    <col min="13" max="13" width="14.140625" customWidth="1"/>
    <col min="14" max="15" width="12.140625" customWidth="1"/>
    <col min="16" max="16" width="11.42578125" customWidth="1"/>
    <col min="17" max="16384" width="11.42578125" hidden="1"/>
  </cols>
  <sheetData>
    <row r="3" spans="2:15" ht="18">
      <c r="B3" s="405" t="s">
        <v>392</v>
      </c>
      <c r="C3" s="405"/>
      <c r="D3" s="405"/>
      <c r="E3" s="405"/>
      <c r="F3" s="405"/>
      <c r="G3" s="405"/>
      <c r="H3" s="405"/>
      <c r="I3" s="405"/>
      <c r="J3" s="405"/>
      <c r="K3" s="405"/>
      <c r="L3" s="405"/>
      <c r="M3" s="405"/>
      <c r="N3" s="405"/>
      <c r="O3" s="16"/>
    </row>
    <row r="4" spans="2:15">
      <c r="K4">
        <v>6.94</v>
      </c>
    </row>
    <row r="5" spans="2:15" ht="51">
      <c r="B5" s="4" t="s">
        <v>1</v>
      </c>
      <c r="C5" s="5" t="s">
        <v>2</v>
      </c>
      <c r="D5" s="5" t="s">
        <v>3</v>
      </c>
      <c r="E5" s="5" t="s">
        <v>325</v>
      </c>
      <c r="F5" s="5" t="s">
        <v>4</v>
      </c>
      <c r="G5" s="5" t="s">
        <v>5</v>
      </c>
      <c r="H5" s="6" t="s">
        <v>10</v>
      </c>
      <c r="I5" s="6" t="s">
        <v>11</v>
      </c>
      <c r="J5" s="6" t="s">
        <v>393</v>
      </c>
      <c r="K5" s="6" t="s">
        <v>394</v>
      </c>
      <c r="L5" s="7" t="s">
        <v>12</v>
      </c>
      <c r="M5" s="7" t="s">
        <v>13</v>
      </c>
      <c r="N5" s="7" t="s">
        <v>14</v>
      </c>
      <c r="O5" s="7" t="s">
        <v>395</v>
      </c>
    </row>
    <row r="6" spans="2:15">
      <c r="B6" s="1">
        <v>1</v>
      </c>
      <c r="C6" s="1" t="s">
        <v>274</v>
      </c>
      <c r="D6" s="1" t="s">
        <v>274</v>
      </c>
      <c r="E6" s="1" t="s">
        <v>396</v>
      </c>
      <c r="F6" s="1" t="s">
        <v>397</v>
      </c>
      <c r="G6" s="1">
        <v>1</v>
      </c>
      <c r="H6" s="3">
        <v>845497</v>
      </c>
      <c r="I6" s="3">
        <v>845497</v>
      </c>
      <c r="J6" s="3">
        <f>H6/6</f>
        <v>140916.16666666666</v>
      </c>
      <c r="K6" s="3">
        <f>INT(J6*(1+($K$4/100)))</f>
        <v>150695</v>
      </c>
      <c r="L6" s="1" t="s">
        <v>398</v>
      </c>
      <c r="M6" s="3">
        <v>1195641.0719667082</v>
      </c>
      <c r="N6" s="2">
        <v>0.77661903429267598</v>
      </c>
      <c r="O6" s="2" t="s">
        <v>399</v>
      </c>
    </row>
    <row r="7" spans="2:15">
      <c r="B7" s="1">
        <v>2</v>
      </c>
      <c r="C7" s="1" t="s">
        <v>276</v>
      </c>
      <c r="D7" s="1" t="s">
        <v>276</v>
      </c>
      <c r="E7" s="1" t="s">
        <v>396</v>
      </c>
      <c r="F7" s="1" t="s">
        <v>397</v>
      </c>
      <c r="G7" s="1">
        <v>1</v>
      </c>
      <c r="H7" s="3">
        <v>5720459</v>
      </c>
      <c r="I7" s="3">
        <v>5720459</v>
      </c>
      <c r="J7" s="3">
        <f t="shared" ref="J7:J23" si="0">H7/6</f>
        <v>953409.83333333337</v>
      </c>
      <c r="K7" s="3">
        <f t="shared" ref="K7:K23" si="1">INT(J7*(1+($K$4/100)))</f>
        <v>1019576</v>
      </c>
      <c r="L7" s="1" t="s">
        <v>398</v>
      </c>
      <c r="M7" s="3">
        <v>2756247.666831959</v>
      </c>
      <c r="N7" s="2">
        <v>0.43877428315636491</v>
      </c>
      <c r="O7" s="2" t="s">
        <v>399</v>
      </c>
    </row>
    <row r="8" spans="2:15">
      <c r="B8" s="1">
        <v>3</v>
      </c>
      <c r="C8" s="1" t="s">
        <v>278</v>
      </c>
      <c r="D8" s="1" t="s">
        <v>400</v>
      </c>
      <c r="E8" s="1" t="s">
        <v>396</v>
      </c>
      <c r="F8" s="1" t="s">
        <v>397</v>
      </c>
      <c r="G8" s="1">
        <v>2</v>
      </c>
      <c r="H8" s="3">
        <v>685227</v>
      </c>
      <c r="I8" s="3">
        <v>1370454</v>
      </c>
      <c r="J8" s="3">
        <f t="shared" si="0"/>
        <v>114204.5</v>
      </c>
      <c r="K8" s="3">
        <f t="shared" si="1"/>
        <v>122130</v>
      </c>
      <c r="L8" s="1" t="s">
        <v>398</v>
      </c>
      <c r="M8" s="3">
        <v>492105.50992136786</v>
      </c>
      <c r="N8" s="2">
        <v>0.50933297579728454</v>
      </c>
      <c r="O8" s="2" t="s">
        <v>399</v>
      </c>
    </row>
    <row r="9" spans="2:15">
      <c r="B9" s="1">
        <v>4</v>
      </c>
      <c r="C9" s="1" t="s">
        <v>280</v>
      </c>
      <c r="D9" s="1" t="s">
        <v>280</v>
      </c>
      <c r="E9" s="1" t="s">
        <v>396</v>
      </c>
      <c r="F9" s="1" t="s">
        <v>397</v>
      </c>
      <c r="G9" s="1">
        <v>14</v>
      </c>
      <c r="H9" s="3">
        <v>1519689</v>
      </c>
      <c r="I9" s="3">
        <v>21275646</v>
      </c>
      <c r="J9" s="3">
        <f t="shared" si="0"/>
        <v>253281.5</v>
      </c>
      <c r="K9" s="3">
        <f t="shared" si="1"/>
        <v>270859</v>
      </c>
      <c r="L9" s="1" t="s">
        <v>398</v>
      </c>
      <c r="M9" s="3">
        <v>3876654.5054641115</v>
      </c>
      <c r="N9" s="2">
        <v>1.1799028763896082</v>
      </c>
      <c r="O9" s="2" t="s">
        <v>399</v>
      </c>
    </row>
    <row r="10" spans="2:15">
      <c r="B10" s="1">
        <v>5</v>
      </c>
      <c r="C10" s="1" t="s">
        <v>282</v>
      </c>
      <c r="D10" s="1" t="s">
        <v>282</v>
      </c>
      <c r="E10" s="1" t="s">
        <v>396</v>
      </c>
      <c r="F10" s="1" t="s">
        <v>397</v>
      </c>
      <c r="G10" s="1">
        <v>1</v>
      </c>
      <c r="H10" s="3">
        <v>2835612</v>
      </c>
      <c r="I10" s="3">
        <v>2835612</v>
      </c>
      <c r="J10" s="3">
        <f t="shared" si="0"/>
        <v>472602</v>
      </c>
      <c r="K10" s="3">
        <f t="shared" si="1"/>
        <v>505400</v>
      </c>
      <c r="L10" s="1" t="s">
        <v>398</v>
      </c>
      <c r="M10" s="3">
        <v>851142.97936732182</v>
      </c>
      <c r="N10" s="2">
        <v>0.31298918458818675</v>
      </c>
      <c r="O10" s="2" t="s">
        <v>399</v>
      </c>
    </row>
    <row r="11" spans="2:15">
      <c r="B11" s="1">
        <v>6</v>
      </c>
      <c r="C11" s="1" t="s">
        <v>284</v>
      </c>
      <c r="D11" s="1" t="s">
        <v>401</v>
      </c>
      <c r="E11" s="1" t="s">
        <v>396</v>
      </c>
      <c r="F11" s="1" t="s">
        <v>397</v>
      </c>
      <c r="G11" s="1">
        <v>1</v>
      </c>
      <c r="H11" s="3">
        <v>3000000</v>
      </c>
      <c r="I11" s="3">
        <v>3000000</v>
      </c>
      <c r="J11" s="3">
        <f t="shared" si="0"/>
        <v>500000</v>
      </c>
      <c r="K11" s="3">
        <f t="shared" si="1"/>
        <v>534700</v>
      </c>
      <c r="L11" s="1" t="s">
        <v>398</v>
      </c>
      <c r="M11" s="3">
        <v>1552108.8306279019</v>
      </c>
      <c r="N11" s="2">
        <v>0.43949089335761332</v>
      </c>
      <c r="O11" s="2" t="s">
        <v>399</v>
      </c>
    </row>
    <row r="12" spans="2:15">
      <c r="B12" s="1">
        <v>7</v>
      </c>
      <c r="C12" s="1" t="s">
        <v>286</v>
      </c>
      <c r="D12" s="1" t="s">
        <v>402</v>
      </c>
      <c r="E12" s="1" t="s">
        <v>396</v>
      </c>
      <c r="F12" s="1" t="s">
        <v>397</v>
      </c>
      <c r="G12" s="1">
        <v>1</v>
      </c>
      <c r="H12" s="3">
        <v>1957981</v>
      </c>
      <c r="I12" s="3">
        <v>1957981</v>
      </c>
      <c r="J12" s="3">
        <f t="shared" si="0"/>
        <v>326330.16666666669</v>
      </c>
      <c r="K12" s="3">
        <f t="shared" si="1"/>
        <v>348977</v>
      </c>
      <c r="L12" s="1" t="s">
        <v>398</v>
      </c>
      <c r="M12" s="3">
        <v>1357306.0115969654</v>
      </c>
      <c r="N12" s="2">
        <v>0.64077746152813209</v>
      </c>
      <c r="O12" s="2" t="s">
        <v>399</v>
      </c>
    </row>
    <row r="13" spans="2:15">
      <c r="B13" s="1">
        <v>8</v>
      </c>
      <c r="C13" s="1" t="s">
        <v>403</v>
      </c>
      <c r="D13" s="1" t="s">
        <v>404</v>
      </c>
      <c r="E13" s="1" t="s">
        <v>396</v>
      </c>
      <c r="F13" s="1" t="s">
        <v>397</v>
      </c>
      <c r="G13" s="1">
        <v>2</v>
      </c>
      <c r="H13" s="3">
        <v>312000</v>
      </c>
      <c r="I13" s="3">
        <v>624000</v>
      </c>
      <c r="J13" s="3">
        <f t="shared" si="0"/>
        <v>52000</v>
      </c>
      <c r="K13" s="3">
        <f t="shared" si="1"/>
        <v>55608</v>
      </c>
      <c r="L13" s="1" t="s">
        <v>398</v>
      </c>
      <c r="M13" s="3">
        <v>192461.38885542209</v>
      </c>
      <c r="N13" s="2">
        <v>0.56724978447558638</v>
      </c>
      <c r="O13" s="2" t="s">
        <v>399</v>
      </c>
    </row>
    <row r="14" spans="2:15">
      <c r="B14" s="1">
        <v>9</v>
      </c>
      <c r="C14" s="1" t="s">
        <v>405</v>
      </c>
      <c r="D14" s="1" t="s">
        <v>406</v>
      </c>
      <c r="E14" s="1" t="s">
        <v>396</v>
      </c>
      <c r="F14" s="1" t="s">
        <v>397</v>
      </c>
      <c r="G14" s="1">
        <v>2</v>
      </c>
      <c r="H14" s="3">
        <v>720000</v>
      </c>
      <c r="I14" s="3">
        <v>1440000</v>
      </c>
      <c r="J14" s="3">
        <f t="shared" si="0"/>
        <v>120000</v>
      </c>
      <c r="K14" s="3">
        <f t="shared" si="1"/>
        <v>128328</v>
      </c>
      <c r="L14" s="1" t="s">
        <v>398</v>
      </c>
      <c r="M14" s="3">
        <v>292957.62451487052</v>
      </c>
      <c r="N14" s="2">
        <v>0.41417048956772551</v>
      </c>
      <c r="O14" s="2" t="s">
        <v>399</v>
      </c>
    </row>
    <row r="15" spans="2:15">
      <c r="B15" s="1">
        <v>10</v>
      </c>
      <c r="C15" s="1" t="s">
        <v>292</v>
      </c>
      <c r="D15" s="1" t="s">
        <v>407</v>
      </c>
      <c r="E15" s="1" t="s">
        <v>396</v>
      </c>
      <c r="F15" s="1" t="s">
        <v>397</v>
      </c>
      <c r="G15" s="1">
        <v>2</v>
      </c>
      <c r="H15" s="3">
        <v>7566916</v>
      </c>
      <c r="I15" s="3">
        <v>15133832</v>
      </c>
      <c r="J15" s="3">
        <f t="shared" si="0"/>
        <v>1261152.6666666667</v>
      </c>
      <c r="K15" s="3">
        <f t="shared" si="1"/>
        <v>1348676</v>
      </c>
      <c r="L15" s="1" t="s">
        <v>398</v>
      </c>
      <c r="M15" s="3">
        <v>4930032.3956326945</v>
      </c>
      <c r="N15" s="2">
        <v>0.58377975707013863</v>
      </c>
      <c r="O15" s="2" t="s">
        <v>399</v>
      </c>
    </row>
    <row r="16" spans="2:15">
      <c r="B16" s="1">
        <v>11</v>
      </c>
      <c r="C16" s="1" t="s">
        <v>408</v>
      </c>
      <c r="D16" s="1" t="s">
        <v>409</v>
      </c>
      <c r="E16" s="1" t="s">
        <v>396</v>
      </c>
      <c r="F16" s="1" t="s">
        <v>397</v>
      </c>
      <c r="G16" s="1">
        <v>1</v>
      </c>
      <c r="H16" s="3">
        <v>5447936</v>
      </c>
      <c r="I16" s="3">
        <v>5447936</v>
      </c>
      <c r="J16" s="3">
        <f t="shared" si="0"/>
        <v>907989.33333333337</v>
      </c>
      <c r="K16" s="3">
        <f t="shared" si="1"/>
        <v>971003</v>
      </c>
      <c r="L16" s="1" t="s">
        <v>398</v>
      </c>
      <c r="M16" s="3">
        <v>5286413.9029493909</v>
      </c>
      <c r="N16" s="2">
        <v>0.802212398015823</v>
      </c>
      <c r="O16" s="2" t="s">
        <v>399</v>
      </c>
    </row>
    <row r="17" spans="2:15">
      <c r="B17" s="1">
        <v>12</v>
      </c>
      <c r="C17" s="1" t="s">
        <v>410</v>
      </c>
      <c r="D17" s="1" t="s">
        <v>410</v>
      </c>
      <c r="E17" s="1" t="s">
        <v>396</v>
      </c>
      <c r="F17" s="1" t="s">
        <v>397</v>
      </c>
      <c r="G17" s="1">
        <v>4</v>
      </c>
      <c r="H17" s="3">
        <v>492557</v>
      </c>
      <c r="I17" s="3">
        <v>1970228</v>
      </c>
      <c r="J17" s="3">
        <f t="shared" si="0"/>
        <v>82092.833333333328</v>
      </c>
      <c r="K17" s="3">
        <f t="shared" si="1"/>
        <v>87790</v>
      </c>
      <c r="L17" s="1" t="s">
        <v>398</v>
      </c>
      <c r="M17" s="3">
        <v>2371493.4107962656</v>
      </c>
      <c r="N17" s="2">
        <v>1.4601441528036985</v>
      </c>
      <c r="O17" s="2" t="s">
        <v>399</v>
      </c>
    </row>
    <row r="18" spans="2:15">
      <c r="B18" s="1">
        <v>13</v>
      </c>
      <c r="C18" s="1" t="s">
        <v>410</v>
      </c>
      <c r="D18" s="1" t="s">
        <v>410</v>
      </c>
      <c r="E18" s="1" t="s">
        <v>396</v>
      </c>
      <c r="F18" s="1" t="s">
        <v>397</v>
      </c>
      <c r="G18" s="1">
        <v>2</v>
      </c>
      <c r="H18" s="3">
        <v>492557</v>
      </c>
      <c r="I18" s="3">
        <v>985114</v>
      </c>
      <c r="J18" s="3">
        <f t="shared" si="0"/>
        <v>82092.833333333328</v>
      </c>
      <c r="K18" s="3">
        <f t="shared" si="1"/>
        <v>87790</v>
      </c>
      <c r="L18" s="1" t="s">
        <v>398</v>
      </c>
      <c r="M18" s="3">
        <v>2371493.4107962656</v>
      </c>
      <c r="N18" s="2">
        <v>1.4601441528036985</v>
      </c>
      <c r="O18" s="2" t="s">
        <v>399</v>
      </c>
    </row>
    <row r="19" spans="2:15">
      <c r="B19" s="1">
        <v>14</v>
      </c>
      <c r="C19" s="1" t="s">
        <v>411</v>
      </c>
      <c r="D19" s="1" t="s">
        <v>411</v>
      </c>
      <c r="E19" s="1" t="s">
        <v>396</v>
      </c>
      <c r="F19" s="1" t="s">
        <v>397</v>
      </c>
      <c r="G19" s="1">
        <v>1</v>
      </c>
      <c r="H19" s="3">
        <v>52792136</v>
      </c>
      <c r="I19" s="3">
        <v>52792136</v>
      </c>
      <c r="J19" s="3">
        <f t="shared" si="0"/>
        <v>8798689.333333334</v>
      </c>
      <c r="K19" s="3">
        <f t="shared" si="1"/>
        <v>9409318</v>
      </c>
      <c r="L19" s="1" t="s">
        <v>398</v>
      </c>
      <c r="M19" s="3" t="s">
        <v>412</v>
      </c>
      <c r="N19" s="2" t="s">
        <v>412</v>
      </c>
      <c r="O19" s="2" t="s">
        <v>412</v>
      </c>
    </row>
    <row r="20" spans="2:15">
      <c r="B20" s="1">
        <v>15</v>
      </c>
      <c r="C20" s="1" t="s">
        <v>411</v>
      </c>
      <c r="D20" s="1" t="s">
        <v>411</v>
      </c>
      <c r="E20" s="1" t="s">
        <v>396</v>
      </c>
      <c r="F20" s="1" t="s">
        <v>397</v>
      </c>
      <c r="G20" s="1">
        <v>1</v>
      </c>
      <c r="H20" s="3">
        <v>52792136</v>
      </c>
      <c r="I20" s="3">
        <v>52792136</v>
      </c>
      <c r="J20" s="3">
        <f t="shared" si="0"/>
        <v>8798689.333333334</v>
      </c>
      <c r="K20" s="3">
        <f t="shared" si="1"/>
        <v>9409318</v>
      </c>
      <c r="L20" s="1" t="s">
        <v>398</v>
      </c>
      <c r="M20" s="3" t="s">
        <v>412</v>
      </c>
      <c r="N20" s="2" t="s">
        <v>412</v>
      </c>
      <c r="O20" s="2" t="s">
        <v>412</v>
      </c>
    </row>
    <row r="21" spans="2:15">
      <c r="B21" s="1">
        <v>16</v>
      </c>
      <c r="C21" s="1" t="s">
        <v>413</v>
      </c>
      <c r="D21" s="1" t="s">
        <v>413</v>
      </c>
      <c r="E21" s="1" t="s">
        <v>396</v>
      </c>
      <c r="F21" s="1" t="s">
        <v>397</v>
      </c>
      <c r="G21" s="1">
        <v>1</v>
      </c>
      <c r="H21" s="3">
        <v>12607044</v>
      </c>
      <c r="I21" s="3">
        <v>12607044</v>
      </c>
      <c r="J21" s="3">
        <f t="shared" si="0"/>
        <v>2101174</v>
      </c>
      <c r="K21" s="3">
        <f t="shared" si="1"/>
        <v>2246995</v>
      </c>
      <c r="L21" s="1" t="s">
        <v>398</v>
      </c>
      <c r="M21" s="3" t="s">
        <v>412</v>
      </c>
      <c r="N21" s="2" t="s">
        <v>412</v>
      </c>
      <c r="O21" s="2" t="s">
        <v>412</v>
      </c>
    </row>
    <row r="22" spans="2:15">
      <c r="B22" s="1">
        <v>17</v>
      </c>
      <c r="C22" s="1" t="s">
        <v>413</v>
      </c>
      <c r="D22" s="1" t="s">
        <v>413</v>
      </c>
      <c r="E22" s="1" t="s">
        <v>396</v>
      </c>
      <c r="F22" s="1" t="s">
        <v>397</v>
      </c>
      <c r="G22" s="1">
        <v>1</v>
      </c>
      <c r="H22" s="3">
        <v>12607044</v>
      </c>
      <c r="I22" s="3">
        <v>12607044</v>
      </c>
      <c r="J22" s="3">
        <f t="shared" si="0"/>
        <v>2101174</v>
      </c>
      <c r="K22" s="3">
        <f t="shared" si="1"/>
        <v>2246995</v>
      </c>
      <c r="L22" s="1" t="s">
        <v>398</v>
      </c>
      <c r="M22" s="3" t="s">
        <v>412</v>
      </c>
      <c r="N22" s="2" t="s">
        <v>412</v>
      </c>
      <c r="O22" s="2" t="s">
        <v>412</v>
      </c>
    </row>
    <row r="23" spans="2:15">
      <c r="B23" s="1">
        <v>18</v>
      </c>
      <c r="C23" s="1" t="s">
        <v>413</v>
      </c>
      <c r="D23" s="1" t="s">
        <v>413</v>
      </c>
      <c r="E23" s="1" t="s">
        <v>396</v>
      </c>
      <c r="F23" s="1" t="s">
        <v>397</v>
      </c>
      <c r="G23" s="1">
        <v>1</v>
      </c>
      <c r="H23" s="3">
        <v>12607044</v>
      </c>
      <c r="I23" s="3">
        <v>12607044</v>
      </c>
      <c r="J23" s="3">
        <f t="shared" si="0"/>
        <v>2101174</v>
      </c>
      <c r="K23" s="3">
        <f t="shared" si="1"/>
        <v>2246995</v>
      </c>
      <c r="L23" s="1" t="s">
        <v>398</v>
      </c>
      <c r="M23" s="3" t="s">
        <v>412</v>
      </c>
      <c r="N23" s="2" t="s">
        <v>412</v>
      </c>
      <c r="O23" s="2" t="s">
        <v>412</v>
      </c>
    </row>
    <row r="24" spans="2:15">
      <c r="H24" s="3">
        <v>175001835</v>
      </c>
      <c r="I24" s="3">
        <v>206012163</v>
      </c>
      <c r="J24" s="14"/>
      <c r="K24" s="14"/>
      <c r="M24" s="14"/>
      <c r="N24" s="15"/>
      <c r="O24" s="15"/>
    </row>
    <row r="25" spans="2:15">
      <c r="D25" s="9"/>
      <c r="H25" s="14"/>
      <c r="I25" s="14"/>
      <c r="J25" s="14"/>
      <c r="K25" s="14"/>
      <c r="M25" s="14"/>
      <c r="N25" s="15"/>
      <c r="O25" s="15"/>
    </row>
    <row r="26" spans="2:15" ht="15" customHeight="1">
      <c r="H26" s="14"/>
      <c r="I26" s="14"/>
      <c r="J26" s="14"/>
      <c r="K26" s="14"/>
      <c r="M26" s="14"/>
      <c r="N26" s="15"/>
      <c r="O26" s="15"/>
    </row>
    <row r="27" spans="2:15" ht="15" customHeight="1" thickBot="1"/>
    <row r="28" spans="2:15" ht="15" customHeight="1">
      <c r="I28" s="406" t="s">
        <v>49</v>
      </c>
      <c r="J28" s="38"/>
      <c r="K28" s="38"/>
      <c r="L28" s="409" t="s">
        <v>414</v>
      </c>
      <c r="M28" s="410"/>
      <c r="N28" s="411"/>
      <c r="O28" s="8"/>
    </row>
    <row r="29" spans="2:15" ht="15" customHeight="1">
      <c r="I29" s="407"/>
      <c r="J29" s="39"/>
      <c r="K29" s="39"/>
      <c r="L29" s="412" t="s">
        <v>415</v>
      </c>
      <c r="M29" s="413"/>
      <c r="N29" s="414"/>
      <c r="O29" s="8"/>
    </row>
    <row r="30" spans="2:15" ht="15" customHeight="1" thickBot="1">
      <c r="C30" s="11"/>
      <c r="I30" s="408"/>
      <c r="J30" s="40"/>
      <c r="K30" s="40"/>
      <c r="L30" s="415" t="s">
        <v>416</v>
      </c>
      <c r="M30" s="416"/>
      <c r="N30" s="417"/>
      <c r="O30" s="8"/>
    </row>
    <row r="31" spans="2:15" ht="15" customHeight="1">
      <c r="C31" s="11"/>
      <c r="L31" s="483" t="s">
        <v>417</v>
      </c>
      <c r="M31" s="483"/>
      <c r="N31" s="483"/>
      <c r="O31" s="8"/>
    </row>
    <row r="32" spans="2:15" ht="15" customHeight="1">
      <c r="C32" s="11"/>
    </row>
    <row r="33" spans="3:3" ht="15" customHeight="1">
      <c r="C33" s="11"/>
    </row>
    <row r="34" spans="3:3" ht="15" customHeight="1">
      <c r="C34" s="10"/>
    </row>
    <row r="35" spans="3:3" ht="15" customHeight="1">
      <c r="C35" s="10"/>
    </row>
    <row r="36" spans="3:3" ht="15" customHeight="1">
      <c r="C36" s="10"/>
    </row>
    <row r="37" spans="3:3" ht="15" customHeight="1">
      <c r="C37" s="10"/>
    </row>
    <row r="38" spans="3:3" ht="15" customHeight="1">
      <c r="C38" s="10"/>
    </row>
    <row r="39" spans="3:3" ht="15" customHeight="1">
      <c r="C39" s="10"/>
    </row>
    <row r="40" spans="3:3" ht="15" customHeight="1">
      <c r="C40" s="10"/>
    </row>
    <row r="41" spans="3:3" ht="15" customHeight="1">
      <c r="C41" s="10"/>
    </row>
  </sheetData>
  <mergeCells count="6">
    <mergeCell ref="L31:N31"/>
    <mergeCell ref="B3:N3"/>
    <mergeCell ref="I28:I30"/>
    <mergeCell ref="L28:N28"/>
    <mergeCell ref="L29:N29"/>
    <mergeCell ref="L30:N30"/>
  </mergeCells>
  <conditionalFormatting sqref="N6:N23 N24:O26">
    <cfRule type="cellIs" dxfId="2" priority="1" operator="greaterThan">
      <formula>0.15</formula>
    </cfRule>
  </conditionalFormatting>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6">
    <tabColor theme="4"/>
  </sheetPr>
  <dimension ref="A1:C18"/>
  <sheetViews>
    <sheetView workbookViewId="0">
      <selection activeCell="A19" sqref="A19"/>
    </sheetView>
  </sheetViews>
  <sheetFormatPr defaultColWidth="11.42578125" defaultRowHeight="14.45"/>
  <cols>
    <col min="1" max="1" width="68.85546875" customWidth="1"/>
    <col min="2" max="2" width="11.85546875" bestFit="1" customWidth="1"/>
    <col min="3" max="3" width="17.28515625" customWidth="1"/>
  </cols>
  <sheetData>
    <row r="1" spans="1:3" ht="18">
      <c r="A1" s="405" t="s">
        <v>324</v>
      </c>
      <c r="B1" s="405"/>
      <c r="C1" s="405"/>
    </row>
    <row r="3" spans="1:3" ht="14.45" customHeight="1">
      <c r="A3" s="479" t="s">
        <v>209</v>
      </c>
      <c r="B3" s="484" t="s">
        <v>219</v>
      </c>
      <c r="C3" s="484"/>
    </row>
    <row r="4" spans="1:3" ht="36">
      <c r="A4" s="479"/>
      <c r="B4" s="41" t="s">
        <v>272</v>
      </c>
      <c r="C4" s="41" t="s">
        <v>418</v>
      </c>
    </row>
    <row r="5" spans="1:3">
      <c r="A5" s="1" t="s">
        <v>274</v>
      </c>
      <c r="B5" s="42">
        <v>84550</v>
      </c>
      <c r="C5" s="43">
        <f>INT(B5*(1+('EstudioMercado 2021'!$K$4/100)))</f>
        <v>90417</v>
      </c>
    </row>
    <row r="6" spans="1:3">
      <c r="A6" s="1" t="s">
        <v>276</v>
      </c>
      <c r="B6" s="42">
        <v>572046</v>
      </c>
      <c r="C6" s="43">
        <f>INT(B6*(1+('EstudioMercado 2021'!$K$4/100)))</f>
        <v>611745</v>
      </c>
    </row>
    <row r="7" spans="1:3">
      <c r="A7" s="1" t="s">
        <v>278</v>
      </c>
      <c r="B7" s="42">
        <v>68523</v>
      </c>
      <c r="C7" s="43">
        <f>INT(B7*(1+('EstudioMercado 2021'!$K$4/100)))</f>
        <v>73278</v>
      </c>
    </row>
    <row r="8" spans="1:3">
      <c r="A8" s="1" t="s">
        <v>280</v>
      </c>
      <c r="B8" s="42">
        <v>151969</v>
      </c>
      <c r="C8" s="43">
        <f>INT(B8*(1+('EstudioMercado 2021'!$K$4/100)))</f>
        <v>162515</v>
      </c>
    </row>
    <row r="9" spans="1:3">
      <c r="A9" s="1" t="s">
        <v>282</v>
      </c>
      <c r="B9" s="42">
        <v>283561</v>
      </c>
      <c r="C9" s="43">
        <f>INT(B9*(1+('EstudioMercado 2021'!$K$4/100)))</f>
        <v>303240</v>
      </c>
    </row>
    <row r="10" spans="1:3">
      <c r="A10" s="1" t="s">
        <v>284</v>
      </c>
      <c r="B10" s="42">
        <v>300000</v>
      </c>
      <c r="C10" s="43">
        <f>INT(B10*(1+('EstudioMercado 2021'!$K$4/100)))</f>
        <v>320820</v>
      </c>
    </row>
    <row r="11" spans="1:3">
      <c r="A11" s="1" t="s">
        <v>286</v>
      </c>
      <c r="B11" s="42">
        <v>195798</v>
      </c>
      <c r="C11" s="43">
        <f>INT(B11*(1+('EstudioMercado 2021'!$K$4/100)))</f>
        <v>209386</v>
      </c>
    </row>
    <row r="12" spans="1:3">
      <c r="A12" s="1" t="s">
        <v>288</v>
      </c>
      <c r="B12" s="42">
        <v>31200</v>
      </c>
      <c r="C12" s="43">
        <f>INT(B12*(1+('EstudioMercado 2021'!$K$4/100)))</f>
        <v>33365</v>
      </c>
    </row>
    <row r="13" spans="1:3">
      <c r="A13" s="1" t="s">
        <v>290</v>
      </c>
      <c r="B13" s="42">
        <v>72000</v>
      </c>
      <c r="C13" s="43">
        <f>INT(B13*(1+('EstudioMercado 2021'!$K$4/100)))</f>
        <v>76996</v>
      </c>
    </row>
    <row r="14" spans="1:3">
      <c r="A14" s="1" t="s">
        <v>292</v>
      </c>
      <c r="B14" s="42">
        <v>756692</v>
      </c>
      <c r="C14" s="43">
        <f>INT(B14*(1+('EstudioMercado 2021'!$K$4/100)))</f>
        <v>809206</v>
      </c>
    </row>
    <row r="15" spans="1:3">
      <c r="A15" s="1" t="s">
        <v>294</v>
      </c>
      <c r="B15" s="42">
        <v>544794</v>
      </c>
      <c r="C15" s="43">
        <f>INT(B15*(1+('EstudioMercado 2021'!$K$4/100)))</f>
        <v>582602</v>
      </c>
    </row>
    <row r="16" spans="1:3">
      <c r="A16" s="1" t="s">
        <v>296</v>
      </c>
      <c r="B16" s="42">
        <v>49256</v>
      </c>
      <c r="C16" s="43">
        <f>INT(B16*(1+('EstudioMercado 2021'!$K$4/100)))</f>
        <v>52674</v>
      </c>
    </row>
    <row r="17" spans="1:3">
      <c r="A17" s="1" t="s">
        <v>181</v>
      </c>
      <c r="B17" s="42">
        <v>8798689</v>
      </c>
      <c r="C17" s="43">
        <f>INT(B17*(1+('EstudioMercado 2021'!$K$4/100)))</f>
        <v>9409318</v>
      </c>
    </row>
    <row r="18" spans="1:3">
      <c r="A18" s="1" t="s">
        <v>184</v>
      </c>
      <c r="B18" s="42">
        <v>2101174</v>
      </c>
      <c r="C18" s="43">
        <f>INT(B18*(1+('EstudioMercado 2021'!$K$4/100)))</f>
        <v>2246995</v>
      </c>
    </row>
  </sheetData>
  <mergeCells count="3">
    <mergeCell ref="A3:A4"/>
    <mergeCell ref="B3:C3"/>
    <mergeCell ref="A1:C1"/>
  </mergeCells>
  <conditionalFormatting sqref="B5:B18">
    <cfRule type="cellIs" dxfId="1" priority="3" operator="greaterThan">
      <formula>$C5</formula>
    </cfRule>
  </conditionalFormatting>
  <conditionalFormatting sqref="B17:B18">
    <cfRule type="cellIs" dxfId="0" priority="1" operator="equal">
      <formula>$C17</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C942EBCDD5F5479D5600AA1BD6F9D6" ma:contentTypeVersion="14" ma:contentTypeDescription="Crear nuevo documento." ma:contentTypeScope="" ma:versionID="c8a6f30ebf6fedd5251bee4404f27c4f">
  <xsd:schema xmlns:xsd="http://www.w3.org/2001/XMLSchema" xmlns:xs="http://www.w3.org/2001/XMLSchema" xmlns:p="http://schemas.microsoft.com/office/2006/metadata/properties" xmlns:ns2="e8dacc14-b369-4826-b0bc-ab1ab45fffcd" xmlns:ns3="9c9a1cef-5b6b-42b1-990c-2ae96b3a73fe" targetNamespace="http://schemas.microsoft.com/office/2006/metadata/properties" ma:root="true" ma:fieldsID="376f06e66c19646c3445f06c37ba4dad" ns2:_="" ns3:_="">
    <xsd:import namespace="e8dacc14-b369-4826-b0bc-ab1ab45fffcd"/>
    <xsd:import namespace="9c9a1cef-5b6b-42b1-990c-2ae96b3a73f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dacc14-b369-4826-b0bc-ab1ab45ff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c9a1cef-5b6b-42b1-990c-2ae96b3a73f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bb89307-f604-429a-bd33-87a61bd88920}" ma:internalName="TaxCatchAll" ma:showField="CatchAllData" ma:web="9c9a1cef-5b6b-42b1-990c-2ae96b3a73f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8dacc14-b369-4826-b0bc-ab1ab45fffcd">
      <Terms xmlns="http://schemas.microsoft.com/office/infopath/2007/PartnerControls"/>
    </lcf76f155ced4ddcb4097134ff3c332f>
    <TaxCatchAll xmlns="9c9a1cef-5b6b-42b1-990c-2ae96b3a73f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701A47-34FA-41FE-AD73-9C34AAA1809A}"/>
</file>

<file path=customXml/itemProps2.xml><?xml version="1.0" encoding="utf-8"?>
<ds:datastoreItem xmlns:ds="http://schemas.openxmlformats.org/officeDocument/2006/customXml" ds:itemID="{1D4D2728-57CB-4B1F-BE14-A13998A514EF}"/>
</file>

<file path=customXml/itemProps3.xml><?xml version="1.0" encoding="utf-8"?>
<ds:datastoreItem xmlns:ds="http://schemas.openxmlformats.org/officeDocument/2006/customXml" ds:itemID="{22DA79BE-447C-4CFC-BEEB-B702104F9FA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Javier Arguellez Palacios</dc:creator>
  <cp:keywords/>
  <dc:description/>
  <cp:lastModifiedBy/>
  <cp:revision/>
  <dcterms:created xsi:type="dcterms:W3CDTF">2020-08-20T21:27:39Z</dcterms:created>
  <dcterms:modified xsi:type="dcterms:W3CDTF">2026-09-14T21:39:56Z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0x01010032C942EBCDD5F5479D5600AA1BD6F9D6</vt:lpwstr>
  </property>
  <property fmtid="{D5CDD505-2E9C-101B-9397-08002B2CF9AE}" pid="3" name="MediaServiceImageTags">
    <vt:lpwstr/>
  </property>
</Properties>
</file>