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COREI5_INTEL\Downloads\"/>
    </mc:Choice>
  </mc:AlternateContent>
  <xr:revisionPtr revIDLastSave="0" documentId="13_ncr:1_{25966CC5-5963-4D9F-A099-AA131ACA7639}" xr6:coauthVersionLast="47" xr6:coauthVersionMax="47" xr10:uidLastSave="{00000000-0000-0000-0000-000000000000}"/>
  <bookViews>
    <workbookView xWindow="-108" yWindow="-108" windowWidth="23256" windowHeight="13896" xr2:uid="{00000000-000D-0000-FFFF-FFFF00000000}"/>
  </bookViews>
  <sheets>
    <sheet name="ACTIVIDADES" sheetId="1" r:id="rId1"/>
  </sheets>
  <externalReferences>
    <externalReference r:id="rId2"/>
  </externalReferences>
  <definedNames>
    <definedName name="_xlnm._FilterDatabase" localSheetId="0" hidden="1">ACTIVIDADES!$A$2:$AH$36</definedName>
    <definedName name="DIMENSION">[1]CODIGOS!$B$4:$B$13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W16" i="1" l="1"/>
  <c r="Y16" i="1"/>
  <c r="AA16" i="1"/>
  <c r="Z16" i="1"/>
  <c r="X16" i="1"/>
  <c r="X17" i="1"/>
  <c r="V16" i="1"/>
  <c r="Z17" i="1"/>
  <c r="V17" i="1"/>
  <c r="Z36" i="1" l="1"/>
  <c r="X36" i="1"/>
  <c r="X35" i="1"/>
  <c r="Z35" i="1"/>
  <c r="AB35" i="1" l="1"/>
  <c r="AF35" i="1" s="1"/>
  <c r="AB36" i="1"/>
  <c r="AF36" i="1" s="1"/>
  <c r="AG36" i="1" s="1"/>
  <c r="AH36" i="1" s="1"/>
  <c r="AG35" i="1"/>
  <c r="AH35" i="1" s="1"/>
  <c r="Z34" i="1" l="1"/>
  <c r="AD34" i="1"/>
  <c r="X34" i="1"/>
  <c r="X33" i="1"/>
  <c r="AB33" i="1" s="1"/>
  <c r="AF33" i="1" s="1"/>
  <c r="X26" i="1"/>
  <c r="V26" i="1"/>
  <c r="AB26" i="1" s="1"/>
  <c r="AB34" i="1" l="1"/>
  <c r="AF34" i="1" s="1"/>
  <c r="AG34" i="1" s="1"/>
  <c r="AH34" i="1" s="1"/>
  <c r="AG33" i="1"/>
  <c r="AH33" i="1" s="1"/>
  <c r="AE13" i="1"/>
  <c r="AD13" i="1"/>
  <c r="X9" i="1"/>
  <c r="U32" i="1"/>
  <c r="AB32" i="1" s="1"/>
  <c r="AF32" i="1" s="1"/>
  <c r="AE31" i="1"/>
  <c r="U31" i="1"/>
  <c r="AB31" i="1" s="1"/>
  <c r="AF31" i="1" s="1"/>
  <c r="AE30" i="1"/>
  <c r="U30" i="1"/>
  <c r="AB29" i="1"/>
  <c r="AF29" i="1" s="1"/>
  <c r="X28" i="1"/>
  <c r="V28" i="1"/>
  <c r="X27" i="1"/>
  <c r="V27" i="1"/>
  <c r="AF26" i="1"/>
  <c r="AD25" i="1"/>
  <c r="V25" i="1"/>
  <c r="AB25" i="1" s="1"/>
  <c r="AF25" i="1" s="1"/>
  <c r="X24" i="1"/>
  <c r="V24" i="1"/>
  <c r="AB24" i="1" s="1"/>
  <c r="AF24" i="1" s="1"/>
  <c r="AG24" i="1" s="1"/>
  <c r="Z23" i="1"/>
  <c r="V23" i="1"/>
  <c r="AB23" i="1" s="1"/>
  <c r="AF23" i="1" s="1"/>
  <c r="Z22" i="1"/>
  <c r="X22" i="1"/>
  <c r="AC21" i="1"/>
  <c r="Z21" i="1"/>
  <c r="V21" i="1"/>
  <c r="AC20" i="1"/>
  <c r="Z20" i="1"/>
  <c r="V20" i="1"/>
  <c r="AB20" i="1" s="1"/>
  <c r="AF20" i="1" s="1"/>
  <c r="AE19" i="1"/>
  <c r="AC19" i="1"/>
  <c r="Z19" i="1"/>
  <c r="V19" i="1"/>
  <c r="AE18" i="1"/>
  <c r="AC18" i="1"/>
  <c r="Z18" i="1"/>
  <c r="V18" i="1"/>
  <c r="AA17" i="1"/>
  <c r="AA1" i="1" s="1"/>
  <c r="Y17" i="1"/>
  <c r="Y1" i="1" s="1"/>
  <c r="W17" i="1"/>
  <c r="W1" i="1" s="1"/>
  <c r="AB16" i="1"/>
  <c r="Z15" i="1"/>
  <c r="X15" i="1"/>
  <c r="V15" i="1"/>
  <c r="AB15" i="1" s="1"/>
  <c r="AF15" i="1" s="1"/>
  <c r="AG15" i="1" s="1"/>
  <c r="AH15" i="1" s="1"/>
  <c r="AD14" i="1"/>
  <c r="Z14" i="1"/>
  <c r="V14" i="1"/>
  <c r="Z13" i="1"/>
  <c r="X13" i="1"/>
  <c r="V13" i="1"/>
  <c r="AC12" i="1"/>
  <c r="Z12" i="1"/>
  <c r="X12" i="1"/>
  <c r="AE11" i="1"/>
  <c r="AB11" i="1"/>
  <c r="AF11" i="1" s="1"/>
  <c r="AC10" i="1"/>
  <c r="X10" i="1"/>
  <c r="AB10" i="1" s="1"/>
  <c r="AB9" i="1"/>
  <c r="AF9" i="1" s="1"/>
  <c r="X8" i="1"/>
  <c r="AB8" i="1" s="1"/>
  <c r="AF8" i="1" s="1"/>
  <c r="X7" i="1"/>
  <c r="AB7" i="1" s="1"/>
  <c r="AF7" i="1" s="1"/>
  <c r="Z6" i="1"/>
  <c r="V6" i="1"/>
  <c r="AB6" i="1" s="1"/>
  <c r="AF6" i="1" s="1"/>
  <c r="V5" i="1"/>
  <c r="AB5" i="1" s="1"/>
  <c r="Z4" i="1"/>
  <c r="V4" i="1"/>
  <c r="AC3" i="1"/>
  <c r="V3" i="1"/>
  <c r="AB3" i="1" s="1"/>
  <c r="AB30" i="1" l="1"/>
  <c r="AF30" i="1" s="1"/>
  <c r="U1" i="1"/>
  <c r="AB21" i="1"/>
  <c r="AF21" i="1" s="1"/>
  <c r="AG21" i="1" s="1"/>
  <c r="AH21" i="1" s="1"/>
  <c r="AB27" i="1"/>
  <c r="AF27" i="1" s="1"/>
  <c r="AB14" i="1"/>
  <c r="AF14" i="1" s="1"/>
  <c r="AB22" i="1"/>
  <c r="AF22" i="1" s="1"/>
  <c r="AG22" i="1" s="1"/>
  <c r="AB28" i="1"/>
  <c r="AF28" i="1" s="1"/>
  <c r="AG28" i="1" s="1"/>
  <c r="AH28" i="1" s="1"/>
  <c r="AF10" i="1"/>
  <c r="AG10" i="1" s="1"/>
  <c r="AH10" i="1" s="1"/>
  <c r="AB19" i="1"/>
  <c r="AF19" i="1" s="1"/>
  <c r="AH24" i="1"/>
  <c r="AB18" i="1"/>
  <c r="AF18" i="1" s="1"/>
  <c r="AG18" i="1" s="1"/>
  <c r="AH18" i="1" s="1"/>
  <c r="V1" i="1"/>
  <c r="AB12" i="1"/>
  <c r="AF12" i="1" s="1"/>
  <c r="X1" i="1"/>
  <c r="Z1" i="1"/>
  <c r="AF16" i="1"/>
  <c r="AG16" i="1" s="1"/>
  <c r="AH16" i="1" s="1"/>
  <c r="AG23" i="1"/>
  <c r="AH23" i="1" s="1"/>
  <c r="AG14" i="1"/>
  <c r="AH14" i="1" s="1"/>
  <c r="AG29" i="1"/>
  <c r="AH29" i="1" s="1"/>
  <c r="AG6" i="1"/>
  <c r="AH6" i="1" s="1"/>
  <c r="AG8" i="1"/>
  <c r="AH8" i="1" s="1"/>
  <c r="AG11" i="1"/>
  <c r="AH11" i="1" s="1"/>
  <c r="AG25" i="1"/>
  <c r="AH25" i="1" s="1"/>
  <c r="AG9" i="1"/>
  <c r="AH9" i="1" s="1"/>
  <c r="AF3" i="1"/>
  <c r="AG26" i="1"/>
  <c r="AH26" i="1" s="1"/>
  <c r="AG20" i="1"/>
  <c r="AH20" i="1" s="1"/>
  <c r="AE5" i="1"/>
  <c r="AG31" i="1"/>
  <c r="AH31" i="1" s="1"/>
  <c r="AG27" i="1"/>
  <c r="AH27" i="1" s="1"/>
  <c r="AG7" i="1"/>
  <c r="AH7" i="1" s="1"/>
  <c r="AB4" i="1"/>
  <c r="AF4" i="1" s="1"/>
  <c r="AG30" i="1"/>
  <c r="AH30" i="1" s="1"/>
  <c r="AB13" i="1"/>
  <c r="AF13" i="1" s="1"/>
  <c r="AB17" i="1"/>
  <c r="AF17" i="1" s="1"/>
  <c r="AG32" i="1"/>
  <c r="AG19" i="1" l="1"/>
  <c r="AH19" i="1" s="1"/>
  <c r="AH22" i="1"/>
  <c r="AG12" i="1"/>
  <c r="AH12" i="1" s="1"/>
  <c r="AH32" i="1"/>
  <c r="AG13" i="1"/>
  <c r="AH13" i="1" s="1"/>
  <c r="AG4" i="1"/>
  <c r="AH4" i="1" s="1"/>
  <c r="AG17" i="1"/>
  <c r="AH17" i="1" s="1"/>
  <c r="AG3" i="1"/>
  <c r="AH3" i="1" s="1"/>
  <c r="AF5" i="1"/>
  <c r="AG5" i="1" l="1"/>
  <c r="AH5" i="1" s="1"/>
  <c r="AH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NATHALYA SANTISTEBAN</author>
    <author>ACER_RYZEN5</author>
  </authors>
  <commentList>
    <comment ref="AC2" authorId="0" shapeId="0" xr:uid="{00000000-0006-0000-0000-000001000000}">
      <text>
        <r>
          <rPr>
            <b/>
            <sz val="9"/>
            <color indexed="81"/>
            <rFont val="Tahoma"/>
            <family val="2"/>
          </rPr>
          <t>Usuario:</t>
        </r>
        <r>
          <rPr>
            <sz val="9"/>
            <color indexed="81"/>
            <rFont val="Tahoma"/>
            <family val="2"/>
          </rPr>
          <t xml:space="preserve">
papeleria, </t>
        </r>
      </text>
    </comment>
    <comment ref="AC4" authorId="1" shapeId="0" xr:uid="{00000000-0006-0000-0000-000002000000}">
      <text>
        <r>
          <rPr>
            <b/>
            <sz val="9"/>
            <color indexed="81"/>
            <rFont val="Tahoma"/>
            <family val="2"/>
          </rPr>
          <t>NATHALYA SANTISTEBAN:</t>
        </r>
        <r>
          <rPr>
            <sz val="9"/>
            <color indexed="81"/>
            <rFont val="Tahoma"/>
            <family val="2"/>
          </rPr>
          <t xml:space="preserve">
SE MODIFICA PAPELERIA</t>
        </r>
      </text>
    </comment>
    <comment ref="E5" authorId="1" shapeId="0" xr:uid="{AC53FFF9-1694-4763-9CC6-A2403FED890E}">
      <text>
        <r>
          <rPr>
            <b/>
            <sz val="9"/>
            <color indexed="81"/>
            <rFont val="Tahoma"/>
            <family val="2"/>
          </rPr>
          <t>NATHALYA SANTISTEBAN:</t>
        </r>
        <r>
          <rPr>
            <sz val="9"/>
            <color indexed="81"/>
            <rFont val="Tahoma"/>
            <family val="2"/>
          </rPr>
          <t xml:space="preserve">
especificar los grupos poblacionales que hacen falta.</t>
        </r>
      </text>
    </comment>
    <comment ref="E6" authorId="1" shapeId="0" xr:uid="{6B753D5D-B5D6-4802-8A29-8EC776302065}">
      <text>
        <r>
          <rPr>
            <b/>
            <sz val="9"/>
            <color indexed="81"/>
            <rFont val="Tahoma"/>
            <family val="2"/>
          </rPr>
          <t>NATHALYA SANTISTEBAN:</t>
        </r>
        <r>
          <rPr>
            <sz val="9"/>
            <color indexed="81"/>
            <rFont val="Tahoma"/>
            <family val="2"/>
          </rPr>
          <t xml:space="preserve">
VERIFICAR EL VALOR DE LAS PRUEBAS DE VIH. </t>
        </r>
      </text>
    </comment>
    <comment ref="E12" authorId="2" shapeId="0" xr:uid="{5E64088A-2D13-4FB9-B1AC-41695926E116}">
      <text>
        <r>
          <rPr>
            <b/>
            <sz val="9"/>
            <color indexed="81"/>
            <rFont val="Tahoma"/>
            <family val="2"/>
          </rPr>
          <t>ACER_RYZEN5:</t>
        </r>
        <r>
          <rPr>
            <sz val="9"/>
            <color indexed="81"/>
            <rFont val="Tahoma"/>
            <family val="2"/>
          </rPr>
          <t xml:space="preserve">
verificar .</t>
        </r>
      </text>
    </comment>
    <comment ref="AC34" authorId="1" shapeId="0" xr:uid="{00000000-0006-0000-0000-000006000000}">
      <text>
        <r>
          <rPr>
            <b/>
            <sz val="9"/>
            <color indexed="81"/>
            <rFont val="Tahoma"/>
            <family val="2"/>
          </rPr>
          <t>NATHALYA SANTISTEBAN:</t>
        </r>
        <r>
          <rPr>
            <sz val="9"/>
            <color indexed="81"/>
            <rFont val="Tahoma"/>
            <family val="2"/>
          </rPr>
          <t xml:space="preserve">
SE MODIFICA PAPELERIA</t>
        </r>
      </text>
    </comment>
    <comment ref="E35" authorId="2" shapeId="0" xr:uid="{6F7B1A8C-ED55-48C4-B97E-F4DFB7AD63E1}">
      <text>
        <r>
          <rPr>
            <b/>
            <sz val="9"/>
            <color indexed="81"/>
            <rFont val="Tahoma"/>
            <family val="2"/>
          </rPr>
          <t>ACER_RYZEN5:</t>
        </r>
        <r>
          <rPr>
            <sz val="9"/>
            <color indexed="81"/>
            <rFont val="Tahoma"/>
            <family val="2"/>
          </rPr>
          <t xml:space="preserve">
prevencion de violencia intrafamiliar</t>
        </r>
      </text>
    </comment>
  </commentList>
</comments>
</file>

<file path=xl/sharedStrings.xml><?xml version="1.0" encoding="utf-8"?>
<sst xmlns="http://schemas.openxmlformats.org/spreadsheetml/2006/main" count="507" uniqueCount="264">
  <si>
    <t>Numero</t>
  </si>
  <si>
    <t>Dimensión PDSP</t>
  </si>
  <si>
    <t>EJE ESTRATEGICO ACORDE AL PDSP</t>
  </si>
  <si>
    <t>LINEA OPERATIVA</t>
  </si>
  <si>
    <t xml:space="preserve">2. Descripcion de la actividad </t>
  </si>
  <si>
    <t xml:space="preserve">1. Nombre de la estrategia </t>
  </si>
  <si>
    <t xml:space="preserve">9.orientaciones o especificaciones tecnica para la ejecucion de las activiades </t>
  </si>
  <si>
    <t>Unidad de Medida</t>
  </si>
  <si>
    <t>TOTAL PROGRAMADO</t>
  </si>
  <si>
    <t>III</t>
  </si>
  <si>
    <t>IV</t>
  </si>
  <si>
    <t>TOTAL</t>
  </si>
  <si>
    <t xml:space="preserve">DEFINICION DE LOS ALCANCES DE LOS GASTOS DIRECTOS </t>
  </si>
  <si>
    <t xml:space="preserve">3. talento humano </t>
  </si>
  <si>
    <t xml:space="preserve">12. resultado </t>
  </si>
  <si>
    <t xml:space="preserve">problemas de salud publica identificados </t>
  </si>
  <si>
    <t>10.tecnica</t>
  </si>
  <si>
    <t>CUPS - Resolucion 2077 / 2021 (Anexo Tecnico 5)</t>
  </si>
  <si>
    <t>Concepto de gasto CUIPO</t>
  </si>
  <si>
    <t>RUBRO</t>
  </si>
  <si>
    <t>odontologo /medico/nutricionista/bacteriologa</t>
  </si>
  <si>
    <t>talento humano enfermera profesional</t>
  </si>
  <si>
    <t>unidades de analisis, sala situacional , planeacion</t>
  </si>
  <si>
    <t>talento humano psicologa</t>
  </si>
  <si>
    <t>talento humano auxiliar</t>
  </si>
  <si>
    <t xml:space="preserve">caracterizacion, busqueda activa </t>
  </si>
  <si>
    <t xml:space="preserve">total de talento humano </t>
  </si>
  <si>
    <t>costos indirectos papeleria, Fotocopias.</t>
  </si>
  <si>
    <t xml:space="preserve"> transporte</t>
  </si>
  <si>
    <t>subtotal valor actividad</t>
  </si>
  <si>
    <t>valor 13% administración y plan de cuidado el 14%</t>
  </si>
  <si>
    <t>valor total actividad</t>
  </si>
  <si>
    <t>VIDA  SALUDABLE Y CONDICIONES NO TRANSMISIBLES</t>
  </si>
  <si>
    <t>Eje estratégico 4: Atención Primaria en Salud</t>
  </si>
  <si>
    <t>III. Cuidado de la Salud en el territorio</t>
  </si>
  <si>
    <t>PIC-Educación y comunicación para la salud</t>
  </si>
  <si>
    <t>Ruta metodológica para el fomento de la  alimentación saludable</t>
  </si>
  <si>
    <t>Sesiones realizadas</t>
  </si>
  <si>
    <t xml:space="preserve">recurso humano, desplazamiento, </t>
  </si>
  <si>
    <t xml:space="preserve">PROFESIONAL DEL AREA DE LA SALUD MEDICO /ENFERMERA </t>
  </si>
  <si>
    <t xml:space="preserve">Población con conocimientos e implmentacion de actividad fisica para la prevencion de enfermedades no trasmisibles  </t>
  </si>
  <si>
    <t>MORBILIDAD Y MORTALIDAD POR ENFERMEDADES CRONICAS NO TRANSMISIBLES</t>
  </si>
  <si>
    <t>I11401  EDUCACIÓN Y COMUNICACIÓN PARA LA PROMOCIÓN DE LA ACTIVIDAD FÍSICA</t>
  </si>
  <si>
    <t>SPC - E4 Atención Primaria Salud - L3 Cuidado de la Salud - Cuidado de la Salud - familias, colectivos y comunidades</t>
  </si>
  <si>
    <t>2.3.2.02.02.009.86.01.01.03</t>
  </si>
  <si>
    <t>PIC- Información en salud</t>
  </si>
  <si>
    <t>lineamiento departamental para la identificación de alteraciones visualesl y audtivas en escolares</t>
  </si>
  <si>
    <t xml:space="preserve">numero de talleres realizados </t>
  </si>
  <si>
    <t>Población Informada y que cuida su salud visual</t>
  </si>
  <si>
    <t>ALTERACIONES VISUALES Y AUDITIVAS</t>
  </si>
  <si>
    <t>I10405  INFORMACIÓN EN SALUD PARA LA PROMOCIÓN DE LA SALUD VISUAL</t>
  </si>
  <si>
    <t>SEXUALIDAD DERECHOS SEXUALES Y REPRODUCTIVOS</t>
  </si>
  <si>
    <t xml:space="preserve">• Resolución 3280 de 2018 - RIAS.
• Política Nacional y Departamental de Sexualidad, Derechos Sexuales y Derechos Reproductivos.
• Lineamientos del plan de aceleración  para la reducción de la mortalidad materna
• Circular PARE departamental 057 DE 2025
</t>
  </si>
  <si>
    <t xml:space="preserve">Talleres realizados </t>
  </si>
  <si>
    <t xml:space="preserve">Profesional de Enfermería entrenado </t>
  </si>
  <si>
    <t>Gestantes, familias y comunidad  que conocen  la Ruta Integral de Atención Materno Perinatal, la identificación de señales de alarma y el fortalecimiento de redes comunitarias</t>
  </si>
  <si>
    <t xml:space="preserve">Morbimortalidad materno perinatal. 
Demoras en la atención en salud. 
Ausencia de redes de apoyo.
Violencias. </t>
  </si>
  <si>
    <t xml:space="preserve">1. Certificado de profesionales que recibieron asistencia técnica en la estrategia por parte de la Secretaría de Salud de Boyacá 
2. Presentaciones y/o material elaborado para el proceso de educación.
3. Acta de planeación del ciclo Educativo con caracterizacion de la población.
6. Informe de cada sesión, registro fotográficos por sesión.
7. Informe y evidencia de la actividad práctica.  
8.  Informe final.
9. listado de asistencia de cada sesión original. </t>
  </si>
  <si>
    <t>I10209	INFORMACION EN SALUD MATERNA Y PERINATAL
I10605	INFORMACION EN SALUD PARA LA PROMOCION DE LA LACTANCIA MATERNA
I30205	CONFORMACION Y FORTALECIMIENTO DE REDES FAMILIARES, COMUNITARIAS Y SOCIALES PARA PROMOCION DE LA LACTANCIA MATERNA Y ALIMENTACION COMPLEMENTARIA</t>
  </si>
  <si>
    <t>PIC- Tamizaje</t>
  </si>
  <si>
    <t>• Resolución 3280 de 2018 - RIAS.
• Política Nacional de Sexualidad, Derechos Sexuales y Derechos Reproductivos.
• Resolución 1314 de 2020.
• Plan Nacional y Departamental de Respuesta ante las ITS, el VIH, la Coinfección TB - VIH y las Hepatitis B y C 2022-2025.
• Circular externa 13 de 2019.
• Actos administrativos relacionados con atenciones en salud a población migrante: Resolución 3015 de 2017 Permiso Especial de Permanencia como documento válido para afiliación. Circular externa 0029 de 2017, Decreto 1288 de 2018, Circular 289 de 2017 Secretaría de Salud de Boyacá, Decreto 64 de 2020 que modificó artículos del Decreto 780 de 2016 en relación con los afiliados al Régimen Subsidiado e incluyó a la población migrante colombiana repatriada y a la población migrante venezolana.</t>
  </si>
  <si>
    <t>En cumplimiento de la Resolución 1314 de 2020 y teniendo en cuenta que, la tamización incluye la confirmación de diagnóstico, los perfiles diferentes a bacteriología que podrán realizar las pruebas rápidas son: 
• Profesional de enfermería y medicina.
• Auxiliar en enfermería, auxiliares de laboratorio clínico o auxiliar de salud pública de un prestador de servicios de salud, bajo supervisión y delegación de un profesional de enfermería, medicina o bacteriología.</t>
  </si>
  <si>
    <t>Diagnostico temprano y tratamiento a las infecciones  de trasmisión sexual en población clave del departamento de Boyacá</t>
  </si>
  <si>
    <t>VIH e Infecciones de transmisión sexual</t>
  </si>
  <si>
    <t xml:space="preserve">1.  Certificado o constancia de formación, en realización de pruebas rápidas fuera del laboratorio clínico para el diagnóstico temprano de la infección por VIH, sífilis, hepatitis B y hepatitis C.  del equipo de salud profesional o técnico que ejecute la intervención colectiva de tamizaje. Ver numeral 3.
2. Diploma y acta de grado del tamizador o tamizadores.
3.  Fichas técnicas e insertos de las pruebas rápidas. 
4. Acta o actas de reunión de trabajo para concertar la planeación de la tamización (como mínimo se debe garantizar la concertación con lideres sociales, representante de la alcaldía y EAPB presentes en el municipio).
5.  Formato de planeación jornada de tamización (uno por cada jornada).
6.  Consentimiento Informado para la toma de muestras y realización de pruebas rápidas. 
7.  Formato de Caracterización.
8. Formato pre y post test
9. Formato individual de reporte de resultados. 
10. Formato de registro de resultados de pruebas rápidas.
11. Reporte sistema SISCO
12. Formato de notificación.
13. Formato de canalización a servicios de salud y seguimiento.
14.  Formato lista de asistentes y entrega de preservativos originales.
15. Informe final. </t>
  </si>
  <si>
    <t>I11206	EDUCACION Y COMUNICACION PARA LA PREVENCION DE ITS, VIH/SIDA Y HEPATITIS
I10206	INFORMACION EN SALUD PARA LA PREVENCION DE ITS, VIH/SIDA Y HEPATITIS</t>
  </si>
  <si>
    <t>CONVIVENCIA_SOCIAL_Y_SALUD_MENTAL</t>
  </si>
  <si>
    <t>PIC - Tamizaje</t>
  </si>
  <si>
    <t xml:space="preserve">Manual  ASSIST  en atención primaria en salud </t>
  </si>
  <si>
    <t>numero de tamizajes</t>
  </si>
  <si>
    <t xml:space="preserve">recurso humano, desplzamiento </t>
  </si>
  <si>
    <t>Profesional en ciencias de la salud ( psicología, medicina, enfermería) capacitado  y certificado</t>
  </si>
  <si>
    <t xml:space="preserve">Personas  identificadas  con alto riesgo consumo alcohol  en proceso de atención integral en ruta </t>
  </si>
  <si>
    <t>Alcoholismo</t>
  </si>
  <si>
    <t>consentimiento
test aplicado
HCL de intervención breve
base de satos notificación de la actividad</t>
  </si>
  <si>
    <t>I20302 ADMINISTRACIÓN [APLICACIÓN] DE PRUEBA (ESPECÍFICA) PARA CONSUMO DE SUSTANCIAS PSICOACTIVAS A LA POBLACIÓN CON SOSPECHA DE PATRONES DE CONSUMO PROBLEMÁTICO</t>
  </si>
  <si>
    <t>Manual de atención primaria en salud mental - OPS</t>
  </si>
  <si>
    <t xml:space="preserve">Numero de tamizajes realizados </t>
  </si>
  <si>
    <t xml:space="preserve">Personas  identificadas  con alto riesgo CON  proceso de atención integral en ruta </t>
  </si>
  <si>
    <t xml:space="preserve">TRASTORNO MENTAL EN NIÑOS, NIÑAS  Y ADOLESCENTES </t>
  </si>
  <si>
    <t xml:space="preserve">I20303  ADMINISTRACIÓN [APLICACIÓN] DE PRUEBA (ESPECÍFICA) PARA DETECCIÓN TEMPRANA DE TRASTORNOS MENTALES EN ADOLESCENTES, JÓVENES Y ADULTOS
I20304 ADMINISTRACIÓN [APLICACIÓN] DE PRUEBA (ESPECÍFICA) PARA LA DETECCIÓN TEMPRANA DE TRASTORNOS MENTALES EN NIÑOS Y NIÑAS
</t>
  </si>
  <si>
    <t xml:space="preserve">TRASTORNO MENTAL ADULTOS </t>
  </si>
  <si>
    <t xml:space="preserve">I20303  ADMINISTRACIÓN [APLICACIÓN] DE PRUEBA (ESPECÍFICA) PARA DETECCIÓN TEMPRANA DE TRASTORNOS MENTALES EN ADOLESCENTES, JÓVENES Y ADULTOS
</t>
  </si>
  <si>
    <t>PIC - Información en Salud</t>
  </si>
  <si>
    <t xml:space="preserve">Manual pactos por al vida  y  saber beber, saber vivir </t>
  </si>
  <si>
    <t>Profesional en ciencias de la salud ( psicología, medicina, enfermería) capacitado.</t>
  </si>
  <si>
    <t xml:space="preserve">Personas  con reducción consumo de alcohol </t>
  </si>
  <si>
    <t>CONSUMO DE ALCOHOL</t>
  </si>
  <si>
    <t xml:space="preserve">Informe de Sesiones Informativas
Registro fotografico
Instrumento con valoración Inicial y final </t>
  </si>
  <si>
    <t>I10104 INFORMACIÓN EN SALUD PARA EL FORTALECIMIENTO DE FACTORES PROTECTORES FRENTE AL CONSUMO DE SUSTANCIAS PSICOACTIVAS
I10105 INFORMACIÓN EN SALUD PARA LA REDUCCIÓN DE RIESGOS Y DAÑOS EN RELACIÓN AL CONSUMO DE SUSTANCIAS PSICOACTIVAS</t>
  </si>
  <si>
    <t>PIC  - Información en salud</t>
  </si>
  <si>
    <t xml:space="preserve">Manual de estrategia según corresponda </t>
  </si>
  <si>
    <t>cuñas realizadas</t>
  </si>
  <si>
    <t xml:space="preserve">Emisora comunitaria con apoyo equipo salud </t>
  </si>
  <si>
    <t xml:space="preserve">Personas de la comunidad informadas  y  orientadas  a  los programas de salud mental </t>
  </si>
  <si>
    <t xml:space="preserve">CUIDADO DE LA SALUD MENTAL </t>
  </si>
  <si>
    <t xml:space="preserve">Informe de Sesiones Educativas
Registro fotografico
Instrumento con valoración Inicial y final </t>
  </si>
  <si>
    <t>I10101 INFORMACIÓN EN SALUD PARA LA PROMOCIÓN DE LA SALUD MENTAL
I10102 INFORMACIÓN EN SALUD PARA LA SANA CONVIVENCIA Y EL TEJIDO SOCIAL</t>
  </si>
  <si>
    <t>GESTION DIFERENCIAL DE LAS POBLACIONES VULNERABLES</t>
  </si>
  <si>
    <t>PIC - Redes sociales y comunitarias</t>
  </si>
  <si>
    <t>Orientaciones para la conformación y fortalecimiento de redes sociales y comunitarias en el marco del Plan de Salud Pública de Intervenciones Colectivas – PIC, Tecnologia PIC  enlace: https://www.minsalud.gov.co/sites/rid/Lists/BibliotecaDigital/RIDE/VS/PP/ENT/orientaciones-redes-sociales-comunitarias-pic.pdf</t>
  </si>
  <si>
    <t>red fortalecida</t>
  </si>
  <si>
    <t>Dos profesionales del área de la salud de diferentes disciplinas con conocimientos en discapacidad</t>
  </si>
  <si>
    <t>Red de apoyo para personas con discapacidad</t>
  </si>
  <si>
    <t xml:space="preserve">Falta de inclusión y participación de las Personas con discapacidad, sus cuidadores y/o familias </t>
  </si>
  <si>
    <t xml:space="preserve">Soportes sugeridos:
Consentimientos informado para la participación y el tema de registro ya sea fotográfico o de video
Acta de asistencia
Guía metodológica
Formatos de asistencia
Pre tes y post test
Informe de ejecución.
</t>
  </si>
  <si>
    <t xml:space="preserve">I30004 VINCULACION A OTRAS REDES DE APOYO </t>
  </si>
  <si>
    <t xml:space="preserve">PIC-jornadas de salud </t>
  </si>
  <si>
    <t>Orientaciones para el desarrollo de Jornadas de Salud en el marco del Plan de Salud Pública de Intervenciones Colectivas –
PIC  https://www.minsalud.gov.co/sites/rid/Lists/BibliotecaDigital/RIDE/VS/PP/ENT/orientaciones-jornadas-salud-pic.pdf</t>
  </si>
  <si>
    <t xml:space="preserve">numero de jornadas de salud </t>
  </si>
  <si>
    <t xml:space="preserve">Personas  según curso de  vida   atendidas en promoción y  prevención </t>
  </si>
  <si>
    <t xml:space="preserve">consumo de sustancias - alcoholismo </t>
  </si>
  <si>
    <t xml:space="preserve">documento con soportes fotograficos, ficha tecnica, firmas y direccionamiento a ruta de mantemineto en salud </t>
  </si>
  <si>
    <t>I30302 CARACTERIZACIÓN DEL ENTORNO HOGAR</t>
  </si>
  <si>
    <t>VIDA SALUDABLE Y ENFERMEDADES TRANSMISIBLES</t>
  </si>
  <si>
    <t xml:space="preserve">PIC - Caracterización social y ambiental </t>
  </si>
  <si>
    <t>ESTRATEGIA DE ENTORNO LABORAL SALUDABLE – ÉNFASIS EN LA INFORMALIDAD
- INSTRUCTIVO -INSTRUMENTO PARA LA POBLACIÓN TRABAJADORA INFORMAL POR ACTIVIDAD ECONÓMICA PARA EL DEPARTAMENTO DE BOYACÁ. - https://saludyambitolaboral.com/caracterizacion-de-condiciones-de-salud-y-trabajo/</t>
  </si>
  <si>
    <t>numero realizado</t>
  </si>
  <si>
    <t>PROFESIONAL DEL AREA DE LA SALUD (MEDICO, ENFERMERA, PSICOLOGO)</t>
  </si>
  <si>
    <t xml:space="preserve">Caracterizaciones de 14632 trabajadores informales del sector productivo de los municipios de las provincias SUGAMUXI, MARQUEZ, LIBERTAD, RICAUTE Y EL MUNICIPIO ESPECIAL DE PUERTO BOYACA.                                                                                                                                                                                                          
</t>
  </si>
  <si>
    <t>El 56% de la población con productividad económica son trabajadores informales en Colombia a agosto de 2023 del DANE.
- Los trabajadores informales carecen de vinculación a seguridad social (ARL-AFP), 
- Las actividades económicas se desarrollan bajo precarias condiciones de seguridad fomentando la accidentabilidad, morbilidad y mortalidad en esta población, lo cual repercute en una carga económica directa al sistema de seguridad social al ser abordado como enfermedad general y no ocupacional. 
- La precarización del trabajador informal mas los determinantes sociales en salud generan un alto riesgo de padecer enfermedades crónicas no trasmisibles 
- Desconocimiento de los riesgos asociados a la actividad productiva generando riesgos de accidentalidad y morbilidad. 
- Las actividades económicas primarias de extracción y generación de materia prima  y de producción de alimentos o bienes de consumo al publico sin regulación ni practicas de elaboración apropiadas lo cual genera un riesgo en la salubridad publica.</t>
  </si>
  <si>
    <t xml:space="preserve">Encuesta de caracterización
Archivo plano de la caracterización
Informe final de caracterización 
Plan de acción intervención de riesgo en los diferentes sectores de la económia informal </t>
  </si>
  <si>
    <t>I30301 CARACTERIZACION DEL ENTORNO LABORAL CON ENFASIS EN LA INFORMALIDAD</t>
  </si>
  <si>
    <t>PIC - Zonas de Orientación escolar, centros de escucha.</t>
  </si>
  <si>
    <t xml:space="preserve">Guía conformación de centros de escucha  y zonas de orientación escolar </t>
  </si>
  <si>
    <t>numero de zoe implementadas</t>
  </si>
  <si>
    <t>NNA   según curso de  vida   con participacion y  liderazgo en ZOE</t>
  </si>
  <si>
    <t>Consumo SPA, SUICIDIO, EMBARAZO ADOLESCENTES, VIOLENCIAS..</t>
  </si>
  <si>
    <t xml:space="preserve">informe de Ejecución de la Estrategia  con seguimiento, monitoreo y evaluación de indicadores </t>
  </si>
  <si>
    <t xml:space="preserve">I30101 ACOMPAÑAMIENTO AL INDIVIDUO Y LA FAMILIA EN LOS CENTROS DE ESCUCHA
I30102 ADMINISTRACIÓN [APLICACIÓN] DE ENTREVISTA MOTIVACIONAL
I30103 ADMINISTRACIÓN [APLICACIÓN] DE INTERVENCIÓN BREVE
I30104 CONTROL Y SEGUIMIENTO DE INTERVENCIONES RECIBIDAS A LAS PERSONAS CON RIESGO IDENTIFICADO EN CONSUMO DE SUSTANCIAS PSICOACTIVAS
I30105 ADMINISTRACIÓN [APLICACIÓN] DE PRIMEROS AUXILIOS PSICOLÓGICOS
</t>
  </si>
  <si>
    <t>visitas ralizadas</t>
  </si>
  <si>
    <t xml:space="preserve">Plan integral de cuidado familiar </t>
  </si>
  <si>
    <t xml:space="preserve">
 I30001 CARACTERIZACION DEL INDIVIDUO Y SU ENTRONO FAMILIAR</t>
  </si>
  <si>
    <t>Lineamiento Nacional para la Gestión y Administración del PAI Y MANUAL TECNICO ADMINISTRATIVO DEL PAI</t>
  </si>
  <si>
    <t>sesiones desarrolladas</t>
  </si>
  <si>
    <t>ENFERMERO / MEDICO</t>
  </si>
  <si>
    <t>PLAN DE MEDIOS</t>
  </si>
  <si>
    <t>INCUMPLIMIENTO COBERTURAS DE VACUNACIÓN EN TODOS LOS BIOLOGICOS DEL ESQUEMA REGULAR</t>
  </si>
  <si>
    <t xml:space="preserve">LISTADO DE ASISTENCIA
CERTIFICACION DE EMISION DE CUÑAS RADIALES Y PROGRAMA RADIAL
CONTRATO DE EMISORA
GRABACION DE CUÑAS Y PROGRAMAS RADIALES
</t>
  </si>
  <si>
    <t>I10307 INFORMACIÓN EN SALUD PARA LA PROMOCIÓN DE LA VACUNACIÓN EN LA POBLACIÓN OBJETO DEL PROGRAMA AMPLIADO DE INMUNIZACIONES - PAI</t>
  </si>
  <si>
    <t>Estrategia realizada</t>
  </si>
  <si>
    <t>Médico ó Enfermera</t>
  </si>
  <si>
    <t>PIC - información en salud</t>
  </si>
  <si>
    <t xml:space="preserve">Programa Nacional de Prevención, Manejo y Control de EDA, ERA - MINSALUD </t>
  </si>
  <si>
    <t xml:space="preserve">Personas con discapacidad aplicando medidas de higiene priorizadas para EDA-IRA </t>
  </si>
  <si>
    <t>Morbilidad IRA - EDA</t>
  </si>
  <si>
    <t>Listados de Asistencia
Registro Fotográfico</t>
  </si>
  <si>
    <t xml:space="preserve">I10301  INFORMACIÓN EN SALUD EN PREVENCIÓN DE ENFERMEDADES INFECCIOSAS TRANSMITIDAS POR VÍA AÉREA Y CONTACTO DIRECTO
I10302 INFORMACIÓN EN SALUD EN PREVENCIÓN DE ENFERMEDADES INFECCIOSAS TRANSMITIDAS SUELO, AGUA Y ALIMENTOS
</t>
  </si>
  <si>
    <t>SEGURIDAD_ALIMENTARIA_Y_NUTRICIONAL</t>
  </si>
  <si>
    <t>PIC - Educación y comunicación en salud</t>
  </si>
  <si>
    <t>Guía metodologica entregada por SESALUB</t>
  </si>
  <si>
    <t xml:space="preserve">Sesiones </t>
  </si>
  <si>
    <t>Nutricionista</t>
  </si>
  <si>
    <t>Nª de lactantes, gestantes y familias con menores de 2 años capacitadas en GABAS (cumplen el ciclo educativo)</t>
  </si>
  <si>
    <t>malnutrición</t>
  </si>
  <si>
    <t xml:space="preserve">
1. Portada con logos de la Secretaría de Salud y de la IPS ejecutora, actividad, responsable de la ejecución (nombre y cargo o profesión), año de ejecución 
2. Introducción
3. Desarrollo de cada una de las sesiones (sesión nª 1 a sesión Nª 9) 
- Ficha metodológica diligenciada y firmada, 
- Listado de participantes
- Pre test, pos test, su consolidado y análisis de los resultados 
- Registro fotográfico: mínimo 3 fotos. La evidencia fotográfica debe ser clara y coherente con el conferencista, los participantes y la temática que se está desarrollando en cada sesión.
Fisico documentos con firmas y magnetico un solo PDF
</t>
  </si>
  <si>
    <t>I11403 EDUCACIÓN Y COMUNICACIÓN EN SALUD PARA LA ALIMENTACIÓN SALUDABLE</t>
  </si>
  <si>
    <t>PIC- Centro de Escucha</t>
  </si>
  <si>
    <t>Lineamientos dispositivos comunitarios-centros de escucha</t>
  </si>
  <si>
    <t>Sesiones</t>
  </si>
  <si>
    <t>Consumo SPA, población de alta  vulnerabilidad  en situación de calle,</t>
  </si>
  <si>
    <t>PIC - Educación y comunicación para la salud</t>
  </si>
  <si>
    <t>• Estrategia de atención integral para niñas, niños y adolescentes con énfasis en la prevención del embarazo en la adolescencia, 2015-2025.
• Política Nacional de Sexualidad, Derechos Sexuales y Derechos Reproductivos.</t>
  </si>
  <si>
    <t>sesiones</t>
  </si>
  <si>
    <t>Adolescentes y jovenes capacitados en Derechos sexuales y Reproductivos.</t>
  </si>
  <si>
    <t xml:space="preserve">Salud Sexual y Reproductiva de Adolescentes y Jóvenes: embarazo adolescente, violencias basadas en Género, Infecciones de Transmisión Sexual, barreras de acceso a: IVE, métodos anticonceptivos, consulta diferencial. </t>
  </si>
  <si>
    <t xml:space="preserve">1. Certificado de profesionales que recibieron asistencia técnica en la estrategia por parte de la Secretaría de Salud de Boyacá 
2. Presentaciones y/o material elaborado para el proceso de educación.
3. Acta de planeación del ciclo Educativo con caracterizacion de la población.
4.Pre test y postest por sesión. 
5. Informe de cada sesión, registro fotográficos por sesión.
6. Informe y evidencia de la actividad práctica.  
7.  Informe final.
8. listado de asistencia de cada sesión original. </t>
  </si>
  <si>
    <t xml:space="preserve">I11201	EDUCACION Y COMUNICACION EN SALUD SOBRE EL LIBRE EJERCICIO DE LA SEXUALIDAD, LA IDENTIDAD DE GENERO Y LA ORIENTACION SEXUAL
I11204	EDUCACION Y COMUNICACION PARA EL USO EFECTIVO DE METODOS ANTICONCEPTIVOS MODERNOS Y ACCESO A LA ANTICONCEPCION
I11207	EDUCACION Y COMUNICACION PARA LA SALUD EN DERECHOS SEXUALES Y REPRODUCTIVOS Y EQUIDAD DE GENERO
</t>
  </si>
  <si>
    <t>• Estrategia de atención integral para niñas, niños y adolescentes con énfasis en la prevención del embarazo en la adolescencia, 2015-2025.
• Política Nacional de Sexualidad, Derechos Sexuales y Derechos Reproductivos.</t>
  </si>
  <si>
    <t>Equipo interdisciplinario conformado por profesionales de medicina, psicología y enfermería.</t>
  </si>
  <si>
    <t>Implementar la estrategia de prevención de embarazo en niños y adolescentes</t>
  </si>
  <si>
    <t>• Acta de conformación de equipo para la planeación, desarrollo y evaluación de la actividad.
• Documento análisis de la situación de embarazo en adolescentes en el municipio.
• Acta o soporte de capacitación por parte del equipo departamental de salud sexual.
• Informe final radicado. 
• Listados de asistencia.
• Registro fotográfico.
Soporte de material pedagógico utilizado para la actividad.</t>
  </si>
  <si>
    <t>I11203	EDUCACION Y COMUNICACION PARA LA PREVENCION DEL EMBARAZO EN LA INFANCIA Y ADOLESCENCIA
I10203	INFORMACION EN SALUD PARA LA PREVENCION DEL EMBARAZO EN LA INFANCIA Y ADOLESCENCIA</t>
  </si>
  <si>
    <t>programas radiales</t>
  </si>
  <si>
    <t>Copia grabada de cada programa emitido.
 Certificación mensual de la emisora.
 Informe firmado solamente por el representante legal de la ESE. (Sin la firma no tendrá
validez)</t>
  </si>
  <si>
    <t>LINEAMIENTOS ESTRATEGIA DE CUIDADO Y PROTECCION ESPECIFICA EN SALUD BUCAL PARA LA PRIMERA INFANCIA, INFANCIA Y ADOLESCENCIA ¨SOY GENERACION MAS SONRIENTE</t>
  </si>
  <si>
    <t>PROFESIONAL DE ODONTOLOGIA</t>
  </si>
  <si>
    <t>Poblacion en general con adherencia de mejores practicas en cuidado para la salud bucal y disminuir las prevalencia de las patolologias orales (caries y enfermedad periodontal)</t>
  </si>
  <si>
    <t xml:space="preserve">Alta prevalencia de caries y enfermedad periodontal en la población,  Alto Índice COP, perdida dental y mala salud bucodental </t>
  </si>
  <si>
    <t>PIC - Conformación y fortalecimiento rede sociales y comunitarias</t>
  </si>
  <si>
    <t>Manual para el voluntario UROCS y UAIRACS, Guía de Conformación y actualización de UROCS y UAIRACS SESALUB</t>
  </si>
  <si>
    <t xml:space="preserve">UROCs - UAIRACs funcionando
Padres y cuidadores de menores de 5 años con capacidad de cuidado para EDA-IRA
 </t>
  </si>
  <si>
    <t>Morbilidad IRA - EDA Mortalidad en menor de 5 años por IRA-EDA</t>
  </si>
  <si>
    <t>Formatos establecidos en la guia Departamental en el Desarrollo de la Actividad.</t>
  </si>
  <si>
    <t>I30202 INTERVENCIONES PARA EL DESARROLLO DE CAPACIDADES A REDES Y ORGANIZACIONES COMUNITARIAS</t>
  </si>
  <si>
    <t>Orientaciones para el desarrollo de la Educación y
Comunicación para la salud en el marco del Plan de Salud
Pública de Intervenciones Colectivas – PIC - Material de apoyo programa discapacidad: https://boyacagob-my.sharepoint.com/:f:/g/personal/yaneth_pena_boyaca_gov_co/EmvDy8Br3IhClb277CYg4BUB4YLnQQWWA6L7iATihLAebw?e=Nu0NJj</t>
  </si>
  <si>
    <t>Ciclo de educacion en Salud.</t>
  </si>
  <si>
    <t>1. Acta de planeación del ciclo Educativo con caracterizacion de la población.
2. Presentaciones y/o material elaborado para el proceso de educación
3. Pre test y postest por sesión. 
4. Ficha metodologica, registro fotográficos por sesión.
5. Listado de asistencia de cada sesión original. 
6. Informe final de cierre con las lecciones aprendidas y acciones de mejora.</t>
  </si>
  <si>
    <t>consentimiento
test aplicado
HCL de intervención breve
base de datos notificación de la actividad</t>
  </si>
  <si>
    <t>TABLERO DE CONTROL ESTABLECIDO POR SECRETARIA  
CONTROL DE DIGITACION EN EXCEL
ACTAS DE UNIDADES DE ANALISIS
ACTAS DE SALA SITUACIONALES- INFORME PARA SALAS SITUACIONALES EN SALUD
ACTAS DE SALAS COMUNITARIAS
BASE DE DATOS SIBACOM (COPIA DE SEGURIDAD DEL SERVIDOR)
FORMATO DE OFERTA INSTITUCIONAL 
FORMATO DE EVALUACION TECNICA DE LAS VISITAS
CRONOGRAMA SEMANAL DE VISITAS.
INFORME DE ORIENTACION A SERVICIOS DE SALUD. (EFECTIVAS Y NO EFECTIVAS)</t>
  </si>
  <si>
    <t>lineamiento  PICF Version año 2026
manual para profesionales PICF 2026</t>
  </si>
  <si>
    <t>Certificaciones de la Emisora, Plan de medios
Informe Plan de Medios
Soporte entrega de material de información</t>
  </si>
  <si>
    <t xml:space="preserve">Documento con la estrategia de informacion para la reducción de la transmisión en la comunidad. 
</t>
  </si>
  <si>
    <t xml:space="preserve">sesiones realizadas </t>
  </si>
  <si>
    <t>SESIONES REALIZADAS</t>
  </si>
  <si>
    <t xml:space="preserve">I10003 INFORMACION PARA LA SALUD SOBRE AGUA APTA PARA CONSUMO HUMANO </t>
  </si>
  <si>
    <t>Acta de Planeación de los talleres 
Informe del desarrollo del taller 
Listado de asistencia
Pre test - Post -tes</t>
  </si>
  <si>
    <t>Personas informadas en la preservación del agua para consumo humano y el uso racional del agua</t>
  </si>
  <si>
    <t>Condiciones Higienico sanitarias deficientes
 Incremento de la EDA y poliparasitismo intestinal en la población del departamento de Boyacá</t>
  </si>
  <si>
    <t>INGENIERO SANITARIO, AMBIENTAL y/o INGENIERO QUÍMICO</t>
  </si>
  <si>
    <t xml:space="preserve">Decreto 1575 de 2007, Resolución 2115 de 2007
Circulares departamentales 2023
FOLLETO- LAVADO Y DESINFECCION DE TANQUES DE AGUA PARA CONSUMO HUMANO </t>
  </si>
  <si>
    <t>LINEAMIENTOS DEPATAMENTALES DE LA SEMANA POR LA SALUD BUCAL - VERSION 2026 - LINEAMIENTOS ESTRATEGIA DE CUIDADO Y PROTECCION ESPECIFICA EN SALUD BUCAL PARA LA PRIMERA INFANCIA, INFANCIA Y ADOLESCENCIA ¨SOY GENERACION MAS SONRIENTE</t>
  </si>
  <si>
    <t>o	Cuñas contrato y/o la certificación de la emisora) y audios de las cuñas
o	Material impreso como volantes disponer del contrato de la reproducción de las artes, listado de personas a quien se hace entrega de los volantes. 
o	Perifoneo: video y certificación emitida por parte de la persona que lo realiza.
o	Programas radiales:  audios de cada programa emitido, texto en físico del Guion de c/u de las temáticas abordadas).
o	Afiches: contrato, artes y Registro fotográfico de la publicacion</t>
  </si>
  <si>
    <t xml:space="preserve">I10404 INFORMACIÓN EN SALUD PARA LA PROMOCIÓN DEL CUIDADO E HIGIENE DE LA SALUD BUCAL </t>
  </si>
  <si>
    <t>LINEAMIENTOS ESTRATEGIA DE CUIDADO Y PROTECCION ESPECIFICA EN SALUD BUCAL PARA LA PRIMERA INFANCIA, INFANCIA Y ADOLESCENCIA ¨SOY GENERACION MAS SONRIENTE, MODULOS DE SALUD ORAL PARA PROFESIONALES DE ATENCION PRIMARIA OPS, MODULOS CUIDADOS DE SALUD BUCAL POR CICLOS DE VIDA DEL MINISTERIO DE SALUD Y PROTECCION SOCIAL.</t>
  </si>
  <si>
    <t>Programas radiales:  audios de cada programa emitido, texto en físico del Guion de c/u de las temáticas abordadas).</t>
  </si>
  <si>
    <t>Plan de medios aprobado
Evidencias de lo ejecutado según plan de medios</t>
  </si>
  <si>
    <t>Informe de Talleres
Registro fotografico
Listados de asistencia</t>
  </si>
  <si>
    <t>unidades de analisis enfermera, sala situacional , planeacion</t>
  </si>
  <si>
    <t xml:space="preserve">Manual vida con sentido </t>
  </si>
  <si>
    <t xml:space="preserve">Jóvenes  con habilidades en solución conflictos  y toma decisiones </t>
  </si>
  <si>
    <t>SUICIDIO</t>
  </si>
  <si>
    <t>I11101 EDUCACIÓN Y COMUNICACIÓN PARA LA PROMOCIÓN DE LA SALUD MENTAL
I11107 EDUCACIÓN Y COMUNICACIÓN PARA LA PREVENCIÓN DE LA CONDUCTA SUICIDA</t>
  </si>
  <si>
    <t>PARTICIPACION SOCIAL</t>
  </si>
  <si>
    <t>Información en Salud</t>
  </si>
  <si>
    <t>LINEAMIENTO SESALUB CICLOS EDUCACIÓN FINANCIERA PARA SUPERACIÓN DE LA POBREZA</t>
  </si>
  <si>
    <t>PROFESIONAL DE TRABAJO SOCIAL ENFERMERÍA, Y/O PSICOLOGÍA</t>
  </si>
  <si>
    <t>Ciclo de Educación Financiera para Familias Rurales implementado , con la participación activa de mujeres rurales y mujeres cabeza de familia.
El ciclo promueve la reflexión crítica sobre las finanzas familiares, fortalece las capacidades de planificación y gestión de recursos en el hogar, fomenta la construcción de planes de vida y metas económicas, y contribuye a la superación de la cultura de la pobreza mediante prácticas de ahorro, inversión y uso eficiente del dinero.</t>
  </si>
  <si>
    <t>Estrés crónico y ansiedad asociados a la incertidumbre económica y la dificultad para cubrir necesidades básicas.
Depresión y desmotivación por limitaciones financieras y falta de apoyo social.
Malnutrición y deficiencias alimentarias por recursos limitados y gasto priorizado en otras necesidades.
Exclusión social y aislamiento comunitario por limitaciones financieras y barreras sociales.</t>
  </si>
  <si>
    <t>Documento de sistematización de la estrategia, Actas de desarrollo de cada uno de los encuentros anexando listados de firmas y registro fotográfico del desarrollo de la sesión.</t>
  </si>
  <si>
    <t>I10412 INFORMACIÓN EN SALUD PARA LA ADOPCIÓN DE ESTILOS DE VIDA SALUDABLE</t>
  </si>
  <si>
    <t>I11101 EDUCACIÓN Y COMUNICACIÓN PARA LA PROMOCIÓN DE LA SALUD MENTAL
I11102 EDUCACIÓN Y COMUNICACIÓN PARA LA SANA CONVIVENCIA Y EL TEJIDO SOCIAL
I11103 EDUCACIÓN Y COMUNICACIÓN EN SALUD PARA LA PREVENCIÓN DE LA VIOLENCIA
I11104 EDUCACIÓN Y COMUNICACIÓN EN SALUD PARA EL FORTALECIMIENTO DE FACTORES PROTECTORES FRENTE AL CONSUMO DE SUSTANCIAS PSICOACTIVAS</t>
  </si>
  <si>
    <t xml:space="preserve">Parejas  con habilidad en solución pacifica de conflictos </t>
  </si>
  <si>
    <t xml:space="preserve">Violencia de pareja e  intrafamiliar </t>
  </si>
  <si>
    <t>sesiones realizadas</t>
  </si>
  <si>
    <t xml:space="preserve">Guía CONVIVE  BOYACA EN FAMILIA </t>
  </si>
  <si>
    <r>
      <t>Profesional de Enfermería</t>
    </r>
    <r>
      <rPr>
        <b/>
        <sz val="11"/>
        <rFont val="Abadi ExtraLight"/>
        <family val="2"/>
      </rPr>
      <t xml:space="preserve"> entrenado </t>
    </r>
  </si>
  <si>
    <r>
      <t xml:space="preserve">Desarrollar 1 ciclo de educacion y  de  </t>
    </r>
    <r>
      <rPr>
        <b/>
        <sz val="12"/>
        <rFont val="Arial Narrow"/>
        <family val="2"/>
      </rPr>
      <t xml:space="preserve"> comunicaci</t>
    </r>
    <r>
      <rPr>
        <sz val="12"/>
        <rFont val="Arial Narrow"/>
        <family val="2"/>
      </rPr>
      <t xml:space="preserve">ón para la salud a través de la estrategia "talleres dirigidos a </t>
    </r>
    <r>
      <rPr>
        <b/>
        <sz val="12"/>
        <rFont val="Arial Narrow"/>
        <family val="2"/>
      </rPr>
      <t>la promoción de la actividad fisica</t>
    </r>
    <r>
      <rPr>
        <sz val="12"/>
        <rFont val="Arial Narrow"/>
        <family val="2"/>
      </rPr>
      <t xml:space="preserve"> departamento de Boyacá" (teorico- practico), de </t>
    </r>
    <r>
      <rPr>
        <b/>
        <u/>
        <sz val="12"/>
        <rFont val="Arial Narrow"/>
        <family val="2"/>
      </rPr>
      <t>9 sesiones</t>
    </r>
    <r>
      <rPr>
        <sz val="12"/>
        <rFont val="Arial Narrow"/>
        <family val="2"/>
      </rPr>
      <t xml:space="preserve"> cada uno y de 45 minutos de duración con previa planeación y preparación , con base en Ley 1355 de 2009 dirigida a adultos mayores en </t>
    </r>
    <r>
      <rPr>
        <u/>
        <sz val="12"/>
        <rFont val="Arial Narrow"/>
        <family val="2"/>
      </rPr>
      <t>grupos de 20 personas que serán las mismas durante todo el proceso educativo, deben ser diferentes al primer ciclo</t>
    </r>
    <r>
      <rPr>
        <sz val="12"/>
        <rFont val="Arial Narrow"/>
        <family val="2"/>
      </rPr>
      <t>.</t>
    </r>
    <r>
      <rPr>
        <b/>
        <sz val="12"/>
        <rFont val="Arial Narrow"/>
        <family val="2"/>
      </rPr>
      <t xml:space="preserve"> </t>
    </r>
  </si>
  <si>
    <r>
      <t xml:space="preserve">Realizar  </t>
    </r>
    <r>
      <rPr>
        <b/>
        <u/>
        <sz val="12"/>
        <rFont val="Arial Narrow"/>
        <family val="2"/>
      </rPr>
      <t xml:space="preserve">(2) </t>
    </r>
    <r>
      <rPr>
        <b/>
        <sz val="12"/>
        <rFont val="Arial Narrow"/>
        <family val="2"/>
      </rPr>
      <t xml:space="preserve">talleres  de información en  salud de 45 minutos, </t>
    </r>
    <r>
      <rPr>
        <sz val="12"/>
        <rFont val="Arial Narrow"/>
        <family val="2"/>
      </rPr>
      <t xml:space="preserve"> de duración en instituciones educativas ie san pedro claver, jardines infantiles,  del area centro y o rural  del municipio de chitaraque  a cargo de profesional en medicina o enfermería dirigido a docentes y padres de familia sobre la identificación de alteraciones visuales en menores entre 2 y  8 años  y auditivas en menores de 12 años, con la participacion minimo de 20 personas y con orientación a servicios de salud.</t>
    </r>
  </si>
  <si>
    <r>
      <t xml:space="preserve">Divulgar información en salud para promover el cuidado y acompañamiento a las </t>
    </r>
    <r>
      <rPr>
        <b/>
        <sz val="12"/>
        <rFont val="Arial Narrow"/>
        <family val="2"/>
      </rPr>
      <t>gestantes  en el reconocimiento de la Ruta Integral de Atención Materno Perinatal</t>
    </r>
    <r>
      <rPr>
        <sz val="12"/>
        <rFont val="Arial Narrow"/>
        <family val="2"/>
      </rPr>
      <t xml:space="preserve">, la identificación de señales de alarma y el fortalecimiento de redes comunitarias; a través de </t>
    </r>
    <r>
      <rPr>
        <b/>
        <u/>
        <sz val="12"/>
        <rFont val="Arial Narrow"/>
        <family val="2"/>
      </rPr>
      <t xml:space="preserve"> 6</t>
    </r>
    <r>
      <rPr>
        <sz val="12"/>
        <rFont val="Arial Narrow"/>
        <family val="2"/>
      </rPr>
      <t xml:space="preserve"> talleres cada uno de 2 horas dirigidos a 20 personas de cada uno de los 10  grupos poblacionales  del Municipio de chitaraque incluye el seguimiento y monitoreo de la actividad </t>
    </r>
    <r>
      <rPr>
        <b/>
        <i/>
        <sz val="12"/>
        <rFont val="Arial Narrow"/>
        <family val="2"/>
      </rPr>
      <t>acorde a los lineamientos de la secretaria de salud de Boyac</t>
    </r>
    <r>
      <rPr>
        <sz val="12"/>
        <rFont val="Arial Narrow"/>
        <family val="2"/>
      </rPr>
      <t xml:space="preserve">á. tener en cuenta los grupos poblacionales ya realizados en la vigencia.  </t>
    </r>
    <r>
      <rPr>
        <b/>
        <i/>
        <u/>
        <sz val="12"/>
        <rFont val="Arial Narrow"/>
        <family val="2"/>
      </rPr>
      <t xml:space="preserve"> </t>
    </r>
  </si>
  <si>
    <r>
      <t xml:space="preserve">
</t>
    </r>
    <r>
      <rPr>
        <b/>
        <sz val="12"/>
        <rFont val="Arial Narrow"/>
        <family val="2"/>
      </rPr>
      <t xml:space="preserve">Tamizar a </t>
    </r>
    <r>
      <rPr>
        <b/>
        <u/>
        <sz val="12"/>
        <rFont val="Arial Narrow"/>
        <family val="2"/>
      </rPr>
      <t>50</t>
    </r>
    <r>
      <rPr>
        <b/>
        <sz val="12"/>
        <rFont val="Arial Narrow"/>
        <family val="2"/>
      </rPr>
      <t xml:space="preserve"> personas  para  VIH, Sífilis, Hepatitis B y Hepatitis C</t>
    </r>
    <r>
      <rPr>
        <sz val="12"/>
        <rFont val="Arial Narrow"/>
        <family val="2"/>
      </rPr>
      <t xml:space="preserve">,  dirigido a  población general susceptible  , según perfil de riesgo y en articulación con las EAPB en caso de activar rutas de atención integral,  según resolución 1314 de 2020 y lineamientos departamentales, incluye seguimiento a través de ruta de atención de ser necesario. a desarrollar en el area urbana y rural del Municipio. 
</t>
    </r>
    <r>
      <rPr>
        <b/>
        <i/>
        <sz val="12"/>
        <color rgb="FFFF0000"/>
        <rFont val="Arial Narrow"/>
        <family val="2"/>
      </rPr>
      <t xml:space="preserve">
</t>
    </r>
    <r>
      <rPr>
        <b/>
        <i/>
        <sz val="12"/>
        <rFont val="Arial Narrow"/>
        <family val="2"/>
      </rPr>
      <t xml:space="preserve">
</t>
    </r>
  </si>
  <si>
    <r>
      <t xml:space="preserve">Realizar </t>
    </r>
    <r>
      <rPr>
        <b/>
        <u/>
        <sz val="12"/>
        <color theme="1"/>
        <rFont val="Arial Narrow"/>
        <family val="2"/>
      </rPr>
      <t>20 tamizaje</t>
    </r>
    <r>
      <rPr>
        <sz val="12"/>
        <color theme="1"/>
        <rFont val="Arial Narrow"/>
        <family val="2"/>
      </rPr>
      <t xml:space="preserve">s a personas mayores de 18 años que cumplan criterios de riesgo del microteritorio centro 1  para la detección de consumo de alcohol, aplicando la escala </t>
    </r>
    <r>
      <rPr>
        <b/>
        <sz val="12"/>
        <color theme="1"/>
        <rFont val="Arial Narrow"/>
        <family val="2"/>
      </rPr>
      <t>AUDIT</t>
    </r>
    <r>
      <rPr>
        <sz val="12"/>
        <color theme="1"/>
        <rFont val="Arial Narrow"/>
        <family val="2"/>
      </rPr>
      <t xml:space="preserve"> con intervención breve y seguimiento de los casos, según corresponda (Diligenciar base datos notificación actividad) </t>
    </r>
  </si>
  <si>
    <r>
      <t xml:space="preserve">Realizar </t>
    </r>
    <r>
      <rPr>
        <b/>
        <u/>
        <sz val="12"/>
        <rFont val="Arial Narrow"/>
        <family val="2"/>
      </rPr>
      <t>20</t>
    </r>
    <r>
      <rPr>
        <sz val="12"/>
        <rFont val="Arial Narrow"/>
        <family val="2"/>
      </rPr>
      <t xml:space="preserve"> tamizajes a niños/as de 10 - 14 años</t>
    </r>
    <r>
      <rPr>
        <u/>
        <sz val="12"/>
        <rFont val="Arial Narrow"/>
        <family val="2"/>
      </rPr>
      <t xml:space="preserve"> </t>
    </r>
    <r>
      <rPr>
        <b/>
        <u/>
        <sz val="12"/>
        <rFont val="Arial Narrow"/>
        <family val="2"/>
      </rPr>
      <t>que cumplan criterios de riesgo</t>
    </r>
    <r>
      <rPr>
        <sz val="12"/>
        <rFont val="Arial Narrow"/>
        <family val="2"/>
      </rPr>
      <t xml:space="preserve">  del área rural del municipio de chitaraque.para la detección de trastorno mental, aplicando la escala RQC, con intervención breve y seguimiento en ruta de atención integral en salud mental ,  según corresponda a través del programa MhGAP o el programa de salud mental en atención primaria vigente de la ESE Desarrollado por talento humano certificado</t>
    </r>
  </si>
  <si>
    <r>
      <t xml:space="preserve">Realizar </t>
    </r>
    <r>
      <rPr>
        <b/>
        <u/>
        <sz val="12"/>
        <rFont val="Arial Narrow"/>
        <family val="2"/>
      </rPr>
      <t xml:space="preserve">20 </t>
    </r>
    <r>
      <rPr>
        <b/>
        <sz val="12"/>
        <rFont val="Arial Narrow"/>
        <family val="2"/>
      </rPr>
      <t xml:space="preserve"> tamizajes </t>
    </r>
    <r>
      <rPr>
        <sz val="12"/>
        <rFont val="Arial Narrow"/>
        <family val="2"/>
      </rPr>
      <t xml:space="preserve"> para la detección de trastorno mental, aplicando la </t>
    </r>
    <r>
      <rPr>
        <b/>
        <u/>
        <sz val="12"/>
        <rFont val="Arial Narrow"/>
        <family val="2"/>
      </rPr>
      <t>escala SQR,</t>
    </r>
    <r>
      <rPr>
        <sz val="12"/>
        <rFont val="Arial Narrow"/>
        <family val="2"/>
      </rPr>
      <t xml:space="preserve"> con intervención breve y seguimiento en ruta de atención integral en salud mental, según corresponda a través del programa MhGAP o el programa de salud mental en atención primaria vigente de la ESE dirigido a Población mayor de 14 años q</t>
    </r>
    <r>
      <rPr>
        <b/>
        <u/>
        <sz val="12"/>
        <rFont val="Arial Narrow"/>
        <family val="2"/>
      </rPr>
      <t>ue cumpla criterios de riesgo</t>
    </r>
    <r>
      <rPr>
        <sz val="12"/>
        <rFont val="Arial Narrow"/>
        <family val="2"/>
      </rPr>
      <t xml:space="preserve"> del área urbana y rural del municipio de chitaraque ( Diligenciar base datos notificación actividad) Desarrollado por talento humano certificado</t>
    </r>
  </si>
  <si>
    <r>
      <t xml:space="preserve">Desarrollar </t>
    </r>
    <r>
      <rPr>
        <b/>
        <u/>
        <sz val="12"/>
        <rFont val="Arial Narrow"/>
        <family val="2"/>
      </rPr>
      <t>2 talleres</t>
    </r>
    <r>
      <rPr>
        <sz val="12"/>
        <rFont val="Arial Narrow"/>
        <family val="2"/>
      </rPr>
      <t xml:space="preserve">  de información en salud de 1 horas de duración cada sesión en la modalidad de taller,  </t>
    </r>
    <r>
      <rPr>
        <b/>
        <u/>
        <sz val="12"/>
        <rFont val="Arial Narrow"/>
        <family val="2"/>
      </rPr>
      <t xml:space="preserve">en la estrategia Saber vivir, saber beber, </t>
    </r>
    <r>
      <rPr>
        <sz val="12"/>
        <rFont val="Arial Narrow"/>
        <family val="2"/>
      </rPr>
      <t>dirigido a grupos de 15 personas cada uno (1 sesión por grupo) del área rural  y  urbana  (Diligenciar base datos notificación actividad).</t>
    </r>
  </si>
  <si>
    <r>
      <t xml:space="preserve">Realizar </t>
    </r>
    <r>
      <rPr>
        <b/>
        <sz val="12"/>
        <rFont val="Arial Narrow"/>
        <family val="2"/>
      </rPr>
      <t>información en salud a través de la  difusión</t>
    </r>
    <r>
      <rPr>
        <sz val="12"/>
        <rFont val="Arial Narrow"/>
        <family val="2"/>
      </rPr>
      <t xml:space="preserve"> de (10 cuñas radiales de 5 minutos  de duración,la cuales se realizaran 5 por trimestre. para brindar información en salud a los padres y adolescentes sobre estrategias de apoyo: </t>
    </r>
    <r>
      <rPr>
        <b/>
        <sz val="12"/>
        <rFont val="Arial Narrow"/>
        <family val="2"/>
      </rPr>
      <t xml:space="preserve"> 7 SAAJ Servicios de Salud Amigables para adolescentes y jóvenes , 6 ZOE zonas de orientación escolar y 7 centro  de Escucha. dirigido a la población general en la Emisora comunitaria o con cobertura en el municipio. </t>
    </r>
  </si>
  <si>
    <r>
      <rPr>
        <b/>
        <u/>
        <sz val="12"/>
        <color theme="1"/>
        <rFont val="Arial Narrow"/>
        <family val="2"/>
      </rPr>
      <t>fortalecer una red social y comunitaria de apoyo para personas con discapacidad</t>
    </r>
    <r>
      <rPr>
        <sz val="12"/>
        <color theme="1"/>
        <rFont val="Arial Narrow"/>
        <family val="2"/>
      </rPr>
      <t xml:space="preserve">, sus cuidadores y familias, promoviendo la inclusión y participación social de las personas con discapacidad en el Municipio; mediante la implementación de la tecnología de redes sociales y comunitarias, evidenciando los 7 pasos para su ejecución, a través de </t>
    </r>
    <r>
      <rPr>
        <b/>
        <u/>
        <sz val="12"/>
        <color theme="1"/>
        <rFont val="Arial Narrow"/>
        <family val="2"/>
      </rPr>
      <t>(5 sesiones presenciales de mínimo 2 horas</t>
    </r>
    <r>
      <rPr>
        <sz val="12"/>
        <color theme="1"/>
        <rFont val="Arial Narrow"/>
        <family val="2"/>
      </rPr>
      <t xml:space="preserve"> cada una, dirigidas a un grupo mínimo de 10 personas, que participaran de manera continua en las sesiones que se desarrollaran  del área rural y urbana; esta actividad será desarrollada por dos profesionales del área de la salud de diferentes disciplinas con conocimientos en discapacidad. Es un grupo Diferente a las personas que participan en la Estrategia de Rehabilitación Basada en Comunidad</t>
    </r>
  </si>
  <si>
    <r>
      <t xml:space="preserve">Realizar  </t>
    </r>
    <r>
      <rPr>
        <b/>
        <u/>
        <sz val="12"/>
        <color theme="1"/>
        <rFont val="Arial Narrow"/>
        <family val="2"/>
      </rPr>
      <t>jornada en salud</t>
    </r>
    <r>
      <rPr>
        <sz val="12"/>
        <color theme="1"/>
        <rFont val="Arial Narrow"/>
        <family val="2"/>
      </rPr>
      <t xml:space="preserve"> en entornos comunitarios de mayor dispersión rural en las </t>
    </r>
    <r>
      <rPr>
        <b/>
        <sz val="12"/>
        <color theme="1"/>
        <rFont val="Arial Narrow"/>
        <family val="2"/>
      </rPr>
      <t>veredas de  Capita y villabona, motavita, paramo, tume grande o de interes en salud.</t>
    </r>
    <r>
      <rPr>
        <sz val="12"/>
        <color theme="1"/>
        <rFont val="Arial Narrow"/>
        <family val="2"/>
      </rPr>
      <t xml:space="preserve"> integrando los servicios del Plan Obligatorio de Salud con las tecnología del PIC, información en salud, orientada a promocionar  la Salud mental,  Prevención del consumo de sustancias Psicoactivas y alcohol,  prevención de las violencias Intrafamiliar, de género Y  sexual, realizando minimo 20 atenciones ( tamizajes aplicando el instrumento RQC (Cuestionario de reporte para Niños) salud mental, instrumento substance involvement screening test (ASSIST)  SPA, aplicando el instrumento (AUDIT ) alcohol, alimentacion saludable, habitos de vida saludable, importancia del ejercicio fisico. SOPORTE minimo 20 personas, registro fotografico, registro de asistencia, material educativo, y especifiar las personas que estuvieron involucradas en cada actividad </t>
    </r>
  </si>
  <si>
    <r>
      <t xml:space="preserve">Realizar la </t>
    </r>
    <r>
      <rPr>
        <b/>
        <sz val="12"/>
        <rFont val="Arial Narrow"/>
        <family val="2"/>
      </rPr>
      <t>caracterización  de factores de riesg</t>
    </r>
    <r>
      <rPr>
        <sz val="12"/>
        <rFont val="Arial Narrow"/>
        <family val="2"/>
      </rPr>
      <t xml:space="preserve">o (Instrumento caracterización actualizado en el  2024) a </t>
    </r>
    <r>
      <rPr>
        <b/>
        <sz val="12"/>
        <rFont val="Arial Narrow"/>
        <family val="2"/>
      </rPr>
      <t>30  de los trabajadores informales</t>
    </r>
    <r>
      <rPr>
        <sz val="12"/>
        <rFont val="Arial Narrow"/>
        <family val="2"/>
      </rPr>
      <t xml:space="preserve"> de los diferentes sectores de la economia informal,   estableciendo informe, plan de acción  a los factores de riesgo. </t>
    </r>
  </si>
  <si>
    <r>
      <t xml:space="preserve">Implementar, monitorear y evaluar </t>
    </r>
    <r>
      <rPr>
        <b/>
        <u/>
        <sz val="12"/>
        <rFont val="Arial Narrow"/>
        <family val="2"/>
      </rPr>
      <t xml:space="preserve">N°2  ZONA DE ORIENTACIÓN ESCOLAR </t>
    </r>
    <r>
      <rPr>
        <sz val="12"/>
        <rFont val="Arial Narrow"/>
        <family val="2"/>
      </rPr>
      <t xml:space="preserve">en la institución educativa san pedro claver   del área  urbana  incluye las siguientes fases de desarrollo: 1. Alistamiento: identificación de usuarios, información y sensibilización a la comunidad y lideres de opinión, generación de acuerdos con comunidad y conformación de equipo de trabajo 2. Construcción del proyecto de intervención para operar la ZOE, se debe definir cronograma de acción concertado con la comunidad educativa. 3. Identificación y consolidación de la red operativa. 4 Implementación: se deben ofertar servicios de escucha activa, acogida, mediación, organización, orientación, acompañamiento, capacitación, canalización y derivación de las personas a otros servicios sectoriales e intersectoriales, desarrollo de grupo de apoyo como estrategia comunitaria. 5. Seguimiento, evaluación y sistematización de la ZOE. para esta vigencia se debe tener en cuenta que se realizara la fase 4, ya que se ha venido trabajando anuallmente.  </t>
    </r>
    <r>
      <rPr>
        <b/>
        <u/>
        <sz val="12"/>
        <rFont val="Arial Narrow"/>
        <family val="2"/>
      </rPr>
      <t>Desarrollar 2 talleres</t>
    </r>
  </si>
  <si>
    <r>
      <rPr>
        <b/>
        <u/>
        <sz val="12"/>
        <color rgb="FF000000"/>
        <rFont val="Arial Narrow"/>
        <family val="2"/>
      </rPr>
      <t>Realizar Plan Integral de Cuidado Familiar a familias con riesgo de salud publica</t>
    </r>
    <r>
      <rPr>
        <sz val="12"/>
        <color rgb="FF000000"/>
        <rFont val="Arial Narrow"/>
        <family val="2"/>
      </rPr>
      <t xml:space="preserve"> ;  por equipo de salud conformado por dupla: Un profesional de (Medicina, Enfermería, Psicología, Terapia Física, Terapia ocupacional  y/o fonoaudiología) con  Auxiliar de Enfermería, </t>
    </r>
    <r>
      <rPr>
        <b/>
        <sz val="12"/>
        <color rgb="FF000000"/>
        <rFont val="Arial Narrow"/>
        <family val="2"/>
      </rPr>
      <t>a 33 familias</t>
    </r>
    <r>
      <rPr>
        <sz val="12"/>
        <color rgb="FF000000"/>
        <rFont val="Arial Narrow"/>
        <family val="2"/>
      </rPr>
      <t xml:space="preserve">  del área rural, a través de 4 visitas domiciliarias presenciales (con resultados  positivos en gestión del riesgo en salud  y avances en logros de  cuidado) en modalidad CUIDADO ESPECIAL DIRIGIDO O ASISTIDO, las cuales incluyen: GEOREFERENCIACION, visitas domiciliarias de caracterización o actualización para establecer exposición a riesgos y capacidad de gestión a riesgo por la  familia con educación e información en salud, visitas de seguimiento, información y educación para la salud, con entrega de programador de compromisos a las familias, Aplica las escalas de tamizajes, rehabilitación basada en comunidad y seguimiento y  monitoreo de logros trazadores e intermedios en salud (a través del software SIBACOM PLUS); esta actividad incluye desarrollo semanal  de unidades de análisis, Salas Situacionales, Salas Comunitarias,  por  equipo básico  de salud, aplicando parámetros técnicos del lineamiento departamental. </t>
    </r>
  </si>
  <si>
    <r>
      <t xml:space="preserve">Realizar </t>
    </r>
    <r>
      <rPr>
        <b/>
        <u/>
        <sz val="12"/>
        <color rgb="FF000000"/>
        <rFont val="Arial Narrow"/>
        <family val="2"/>
      </rPr>
      <t>Plan Integral de Cuidado Familiar a familias con riesgo de salud publica</t>
    </r>
    <r>
      <rPr>
        <sz val="12"/>
        <color rgb="FF000000"/>
        <rFont val="Arial Narrow"/>
        <family val="2"/>
      </rPr>
      <t xml:space="preserve"> ;  por equipo de salud conformado por dupla: Un profesional de (Medicina, Enfermería, Psicología, Terapia Física, Terapia ocupacional  y/o fonoaudiología) con  Auxiliar de Enfermería, </t>
    </r>
    <r>
      <rPr>
        <b/>
        <sz val="12"/>
        <color rgb="FF000000"/>
        <rFont val="Arial Narrow"/>
        <family val="2"/>
      </rPr>
      <t>a 20  familias</t>
    </r>
    <r>
      <rPr>
        <sz val="12"/>
        <color rgb="FF000000"/>
        <rFont val="Arial Narrow"/>
        <family val="2"/>
      </rPr>
      <t xml:space="preserve">  del área urbana , a través de 4 visitas domiciliarias presenciales (con resultados  positivos en gestión del riesgo en salud  y avances en logros de  cuidado) en modalidad CUIDADO ESPECIAL DIRIGIDO O ASISTIDO, las cuales incluyen: GEOREFERENCIACION, visitas domiciliarias de caracterización o actualización para establecer exposición a riesgos y capacidad de gestión a riesgo por la  familia con educación e información en salud, visitas de seguimiento, información y educación para la salud, con entrega de programador de compromisos a las familias, Aplica las escalas de tamizajes, rehabilitación basada en comunidad y seguimiento y  monitoreo de logros trazadores e intermedios en salud (a través del software SIBACOM PLUS); esta actividad incluye desarrollo semanal  de unidades de análisis, Salas Situacionales, Salas Comunitarias,  por  equipo básico  de salud, aplicando parámetros técnicos del lineamiento departamental. </t>
    </r>
  </si>
  <si>
    <r>
      <t>Realizar</t>
    </r>
    <r>
      <rPr>
        <b/>
        <u/>
        <sz val="12"/>
        <color theme="1"/>
        <rFont val="Arial Narrow"/>
        <family val="2"/>
      </rPr>
      <t xml:space="preserve"> 6 estrategias de información del Programa Ampliado de Inmunizaciones PAI </t>
    </r>
    <r>
      <rPr>
        <sz val="12"/>
        <color theme="1"/>
        <rFont val="Arial Narrow"/>
        <family val="2"/>
      </rPr>
      <t xml:space="preserve">antes de cada jornada nacional o departamental   a través de (15 horas de perifoneo mensuales , carteles para el día de las jornadas, 1 afiches para cada escuela rural y urbana, entrega de folletos , emisiones de 5 cuñas radiales semanales de 25 segundos de duración y grabar y emitir 1 programa radial mensual  de  20 minutos de duración  en emisora comunitaria o con cobertura municipal.  para crear conciencia social y confianza en los biológicos del PAI.  </t>
    </r>
  </si>
  <si>
    <r>
      <t xml:space="preserve">Elaborar y reproducir </t>
    </r>
    <r>
      <rPr>
        <b/>
        <sz val="12"/>
        <rFont val="Arial Narrow"/>
        <family val="2"/>
      </rPr>
      <t>4  estrategias masivas de información en salud</t>
    </r>
    <r>
      <rPr>
        <sz val="12"/>
        <rFont val="Arial Narrow"/>
        <family val="2"/>
      </rPr>
      <t xml:space="preserve"> (10 cuñas de 20  segundos de duracion, dos  horas de perifoneo,10afiches, 10 folletos,  10 videos, entornos y grupos poblacionales urbanos y rurales</t>
    </r>
    <r>
      <rPr>
        <b/>
        <sz val="12"/>
        <rFont val="Arial Narrow"/>
        <family val="2"/>
      </rPr>
      <t xml:space="preserve"> (población general), para la divulgación de los 3 mensajes clave </t>
    </r>
    <r>
      <rPr>
        <sz val="12"/>
        <rFont val="Arial Narrow"/>
        <family val="2"/>
      </rPr>
      <t>para la prevención, manejo y control de las Enfermedades Respiratorias y Diarreicas Agudas: 1. ¿Cómo evito que mi hijo se enferme?  2. ¿Cómo lo cuido en casa?  3. ¿Cuándo debo llevarlo a la institución de salud? de la campaña "Gripa?....a metros!!!!! de MINSALUD</t>
    </r>
  </si>
  <si>
    <r>
      <t>Realizar 2</t>
    </r>
    <r>
      <rPr>
        <b/>
        <u/>
        <sz val="12"/>
        <rFont val="Arial Narrow"/>
        <family val="2"/>
      </rPr>
      <t xml:space="preserve"> talleres</t>
    </r>
    <r>
      <rPr>
        <sz val="12"/>
        <rFont val="Arial Narrow"/>
        <family val="2"/>
      </rPr>
      <t xml:space="preserve">  de capacitación sobre </t>
    </r>
    <r>
      <rPr>
        <b/>
        <u/>
        <sz val="12"/>
        <rFont val="Arial Narrow"/>
        <family val="2"/>
      </rPr>
      <t>medidas de higiene priorizadas</t>
    </r>
    <r>
      <rPr>
        <sz val="12"/>
        <rFont val="Arial Narrow"/>
        <family val="2"/>
      </rPr>
      <t xml:space="preserve"> (prácticas de limpieza, desinfección y protección personal) y 3 mensajes clave para la prevención y control de </t>
    </r>
    <r>
      <rPr>
        <b/>
        <u/>
        <sz val="12"/>
        <rFont val="Arial Narrow"/>
        <family val="2"/>
      </rPr>
      <t xml:space="preserve">Enfermedades Diarreicas y Respiratorias Agudas dirigidos a estudiantes de preescolar y primaria. 
</t>
    </r>
  </si>
  <si>
    <r>
      <t xml:space="preserve">Realizar </t>
    </r>
    <r>
      <rPr>
        <b/>
        <sz val="12"/>
        <rFont val="Arial Narrow"/>
        <family val="2"/>
      </rPr>
      <t>1 Ciclo de Educación  en salud</t>
    </r>
    <r>
      <rPr>
        <sz val="12"/>
        <rFont val="Arial Narrow"/>
        <family val="2"/>
      </rPr>
      <t xml:space="preserve"> para orientar a las familias en la selección y consumos de alimentos saludables que contribuyan al bienestar nutricional y a la prevención de enfermedades relacionadas con la alimentación mediante las Guías alimentarias basada en alimentos - </t>
    </r>
    <r>
      <rPr>
        <b/>
        <sz val="12"/>
        <rFont val="Arial Narrow"/>
        <family val="2"/>
      </rPr>
      <t>GABAS</t>
    </r>
    <r>
      <rPr>
        <sz val="12"/>
        <rFont val="Arial Narrow"/>
        <family val="2"/>
      </rPr>
      <t>- para la población colombiana menor de dos años a través de 9 sesiones presenciales, de mínimo 2 horas de duración, dirigido a gestantes, lactantes y padres de familia de menores de 2 años, grupo de mínimo 20 personas que serán las mismas durante las 9 sesiones, del área urbana y rural , desarrollando la metodología establecida por la Secretaria de Salud de Boyacá.</t>
    </r>
  </si>
  <si>
    <r>
      <t xml:space="preserve">Conformar y  continuar </t>
    </r>
    <r>
      <rPr>
        <b/>
        <sz val="12"/>
        <rFont val="Arial Narrow"/>
        <family val="2"/>
      </rPr>
      <t xml:space="preserve"> centro de escucha comunitario para la prevención y gestión del riesgo en salud mental </t>
    </r>
    <r>
      <rPr>
        <sz val="12"/>
        <rFont val="Arial Narrow"/>
        <family val="2"/>
      </rPr>
      <t>y la promoción de factores protectores, dirigido a  poblacion general   del área URBANA , incluye las siguientes fases de desarrollo: 1. Alistamiento: identificación de usuarios, información y sensibilización a la comunidad y lideres de opinión, generación de acuerdos con comunidad y conformación de equipo de trabajo 2. Construcción del proyecto de intervención para operar el centro de escucha. 3. Identificación y consolidación de la red operativa. 4 Implementación: se deben ofertar servicios de escucha activa, acogida, mediación, organización, orientación, acompañamiento, capacitación, canalización y derivación de las personas, desarrollo de grupo de apoyo como estrategia comunitaria.  se realiza  mediante  jornadas  de servicios de centro de escucha de  4 horas cada una:  se desarrollan 3 jornadas  veredas y 2 en urbano 5. Seguimiento, evaluación y sistematización. (las jornadas seran proyectadas para los demas trimestres segun cronograma.)</t>
    </r>
  </si>
  <si>
    <r>
      <t xml:space="preserve">
Realizar 1</t>
    </r>
    <r>
      <rPr>
        <b/>
        <sz val="12"/>
        <rFont val="Arial Narrow"/>
        <family val="2"/>
      </rPr>
      <t xml:space="preserve"> ciclo  de  educación para la salud en derechos sexuales y reproductivos</t>
    </r>
    <r>
      <rPr>
        <sz val="12"/>
        <rFont val="Arial Narrow"/>
        <family val="2"/>
      </rPr>
      <t xml:space="preserve"> a través de s</t>
    </r>
    <r>
      <rPr>
        <b/>
        <sz val="12"/>
        <rFont val="Arial Narrow"/>
        <family val="2"/>
      </rPr>
      <t xml:space="preserve">iete (7) sesiones de dos (2) horas cada una, dirigido a adolescentes y jóvenes, </t>
    </r>
    <r>
      <rPr>
        <sz val="12"/>
        <rFont val="Arial Narrow"/>
        <family val="2"/>
      </rPr>
      <t>grupos de 15  personas que serán las mismas durante todo el proceso educativo en el área urbana  incluye el seguimiento y monitoreo de la actividad acorde a los lineamientos de la secretaria de salud de Boyacá.</t>
    </r>
    <r>
      <rPr>
        <b/>
        <i/>
        <u/>
        <sz val="12"/>
        <rFont val="Arial Narrow"/>
        <family val="2"/>
      </rPr>
      <t xml:space="preserve">
</t>
    </r>
  </si>
  <si>
    <r>
      <t xml:space="preserve">Divulgar información en salud a través de una estrategia de </t>
    </r>
    <r>
      <rPr>
        <b/>
        <sz val="12"/>
        <rFont val="Arial Narrow"/>
        <family val="2"/>
      </rPr>
      <t>movilización social en el marco de conmemoración de la Semana Andina</t>
    </r>
    <r>
      <rPr>
        <sz val="12"/>
        <rFont val="Arial Narrow"/>
        <family val="2"/>
      </rPr>
      <t xml:space="preserve"> de Prevención del embarazo en la adolescencia, según lineamiento para ejecución. En el área URBANA con la participación de 30 personas.</t>
    </r>
  </si>
  <si>
    <r>
      <rPr>
        <b/>
        <sz val="12"/>
        <rFont val="Arial Narrow"/>
        <family val="2"/>
      </rPr>
      <t xml:space="preserve">Emitir </t>
    </r>
    <r>
      <rPr>
        <sz val="12"/>
        <rFont val="Arial Narrow"/>
        <family val="2"/>
      </rPr>
      <t xml:space="preserve">8   programas radiales de 20  minutos cada uno con emisión semanal en espacio de mayor audiencia  durante  8 semanas  repartidas   en los meses de , </t>
    </r>
    <r>
      <rPr>
        <b/>
        <sz val="12"/>
        <rFont val="Arial Narrow"/>
        <family val="2"/>
      </rPr>
      <t>septiembre  y octubre</t>
    </r>
    <r>
      <rPr>
        <sz val="12"/>
        <rFont val="Arial Narrow"/>
        <family val="2"/>
      </rPr>
      <t xml:space="preserve"> orientados al cuidado  de la salud mental    para adolescentes, jóvenes y adulto mayor ; prevención consumo de alcohol,   la detección temprana, cuidado e inclusión social de personas  con trastorno mental grave ( psicosis, trastorno afectivo bipolar, depresión grave entre otros)  y  la prevención del suicidio. </t>
    </r>
    <r>
      <rPr>
        <b/>
        <sz val="12"/>
        <rFont val="Arial Narrow"/>
        <family val="2"/>
      </rPr>
      <t xml:space="preserve">dirigido a la población general en la Emisora comunitaria o con cobertura en el municipio. </t>
    </r>
  </si>
  <si>
    <r>
      <t>Realizar</t>
    </r>
    <r>
      <rPr>
        <b/>
        <sz val="12"/>
        <rFont val="Arial Narrow"/>
        <family val="2"/>
      </rPr>
      <t xml:space="preserve"> 1 ciclo de educación para la salud</t>
    </r>
    <r>
      <rPr>
        <sz val="12"/>
        <rFont val="Arial Narrow"/>
        <family val="2"/>
      </rPr>
      <t xml:space="preserve">, en el entorno comunitario, a través del </t>
    </r>
    <r>
      <rPr>
        <b/>
        <sz val="12"/>
        <rFont val="Arial Narrow"/>
        <family val="2"/>
      </rPr>
      <t>desarrollo de 10 sesiones educativas</t>
    </r>
    <r>
      <rPr>
        <sz val="12"/>
        <rFont val="Arial Narrow"/>
        <family val="2"/>
      </rPr>
      <t xml:space="preserve">, de dos (2) horas cada una, </t>
    </r>
    <r>
      <rPr>
        <b/>
        <sz val="12"/>
        <rFont val="Arial Narrow"/>
        <family val="2"/>
      </rPr>
      <t>dirigidas a grupos de mínimo 10 personas con discapacidad</t>
    </r>
    <r>
      <rPr>
        <sz val="12"/>
        <rFont val="Arial Narrow"/>
        <family val="2"/>
      </rPr>
      <t>, cuidadores o familiares de personas con discapacidad, que serán las mismas durante todo el proceso, de la zona  del área rural y urbana; abordando temas de interés para esta población como conceptos clave sobre discapacidad, proceso de certificación, registro de cuidadores, acceso a servicios de salud y apoyos disponibles, con el propósito de fortalecer el conocimiento, la participación activa y el ejercicio de derechos en el contexto local. Esta actividad será ejecutada por dos profesionales del área de la salud de diferentes disciplinas con conocimientos en discapacidad</t>
    </r>
  </si>
  <si>
    <r>
      <t xml:space="preserve"> actualizar* (cuantificar el número de estas unidades) Unidades de Atención Comunitarias de enfermedades respiratorias y diarreicas agudas  (UROCS-UAIRACS) ubicada(s) en el área rural del municipio, garantizando el cumplimiento de los lineamientos establecidos en el "MANUAL PARA EL VOLUNTARIO" y la funcionalidad de la misma. Incluye censo, entrenamiento (Mínimo 3  sesiones de entrenamiento) y seguimiento mensual posterior al entrenamiento, contempla actualización trimestral del inventario de unidades departamental con el registro de las acciones de educación a padres efectuada y entrega de material educativo de acuerdo al lineamiento técnico.
</t>
    </r>
    <r>
      <rPr>
        <b/>
        <u/>
        <sz val="12"/>
        <rFont val="Arial Narrow"/>
        <family val="2"/>
      </rPr>
      <t>*Para su programación debe tenerse en cuenta el inventario de unidades creadas en 2020 -2025 con recursos del PIC departamental y/ó municipal  para garantizar su continuidad</t>
    </r>
    <r>
      <rPr>
        <sz val="12"/>
        <rFont val="Arial Narrow"/>
        <family val="2"/>
      </rPr>
      <t>. Se adjunta enlace para verificar existencia de las unidades: 
https://docs.google.com/spreadsheets/d/1_rUegG-icoGLePtcXrCL0HSSF7y3vaZH/edit?gid=1981700017#gid=1981700017</t>
    </r>
  </si>
  <si>
    <r>
      <t xml:space="preserve">Desarrollar </t>
    </r>
    <r>
      <rPr>
        <b/>
        <u/>
        <sz val="12"/>
        <rFont val="Arial Narrow"/>
        <family val="2"/>
      </rPr>
      <t>4 talleres  de información  sanitaria y ambienta</t>
    </r>
    <r>
      <rPr>
        <sz val="12"/>
        <rFont val="Arial Narrow"/>
        <family val="2"/>
      </rPr>
      <t xml:space="preserve">l, de 45 minutos de duración, dirigido a 30 personas de la comunidad (docentes, padres de familia, estudiantes, líderes comunitarios, etc), en las obligaciones que tienen como usuario así como las orientaciones para preservar la </t>
    </r>
    <r>
      <rPr>
        <b/>
        <sz val="12"/>
        <rFont val="Arial Narrow"/>
        <family val="2"/>
      </rPr>
      <t xml:space="preserve">calidad del agua </t>
    </r>
    <r>
      <rPr>
        <sz val="12"/>
        <rFont val="Arial Narrow"/>
        <family val="2"/>
      </rPr>
      <t>para consumo humano y hacer buen uso de ella.</t>
    </r>
  </si>
  <si>
    <r>
      <t>Desarrollar una e</t>
    </r>
    <r>
      <rPr>
        <b/>
        <sz val="12"/>
        <color theme="1"/>
        <rFont val="Arial Narrow"/>
        <family val="2"/>
      </rPr>
      <t>strategia de información en salud buca</t>
    </r>
    <r>
      <rPr>
        <sz val="12"/>
        <color theme="1"/>
        <rFont val="Arial Narrow"/>
        <family val="2"/>
      </rPr>
      <t>l (minimo : 4 cuñas semanales , 2 programas radiales, 15 horas de perifoneo, 20 afiches, 200 volantes, etc.) para apoyar la promoción y difusión de mensajes clave en el marco de las jornadas soy generación más sonriente según programación departamental, para el mes de octubre</t>
    </r>
  </si>
  <si>
    <r>
      <t>Realizar dos</t>
    </r>
    <r>
      <rPr>
        <b/>
        <sz val="12"/>
        <color rgb="FF000000"/>
        <rFont val="Arial Narrow"/>
        <family val="2"/>
      </rPr>
      <t xml:space="preserve"> programas radiales  de 30 minutos duración para brindar información sobre la prevención de afecciones de origen bucal, promoción de hábitos higiénicos saludables, alimentación adecuada, derechos y deberes en salud bucal,</t>
    </r>
    <r>
      <rPr>
        <sz val="12"/>
        <color rgb="FF000000"/>
        <rFont val="Arial Narrow"/>
        <family val="2"/>
      </rPr>
      <t xml:space="preserve"> identificación de signos de alarma para consultar al servicio de odontología.</t>
    </r>
  </si>
  <si>
    <r>
      <t xml:space="preserve">Desarrollar una </t>
    </r>
    <r>
      <rPr>
        <b/>
        <sz val="12"/>
        <rFont val="Arial Narrow"/>
        <family val="2"/>
      </rPr>
      <t>Estrategia masiva de información en salud bucal con publicaciones diarias y variadas por redes sociales</t>
    </r>
    <r>
      <rPr>
        <sz val="12"/>
        <rFont val="Arial Narrow"/>
        <family val="2"/>
      </rPr>
      <t>, escrita o audiovisual para apoyar la difusión de mensajes clave en la Semana de la salud bucal y en la Jornada Soy Generación Más sonriente del mes de octubre. La estrategia debe ser de amplia difusión, con cobertura en zona urbana y rural mencionar y/o contener los lemas y logos de la Gobernación de Boyacá Nota aclaratoria: Esta actividad se debe desarrollar durante las 2 semanas comprendidas entre el 19 al 31 julio 2026 y del 17 al 27 de octubre/26).</t>
    </r>
    <r>
      <rPr>
        <b/>
        <u/>
        <sz val="12"/>
        <rFont val="Arial Narrow"/>
        <family val="2"/>
      </rPr>
      <t xml:space="preserve"> </t>
    </r>
  </si>
  <si>
    <r>
      <t xml:space="preserve">Realizar </t>
    </r>
    <r>
      <rPr>
        <b/>
        <sz val="12"/>
        <rFont val="Arial Narrow"/>
        <family val="2"/>
      </rPr>
      <t xml:space="preserve">acciones de información en salud a través de 2 talleres en el marco de las Jornadas “Soy Generación más sonriente” </t>
    </r>
    <r>
      <rPr>
        <sz val="12"/>
        <rFont val="Arial Narrow"/>
        <family val="2"/>
      </rPr>
      <t xml:space="preserve">según programación departamental llevados a cabo por profesional de odontología a grupos de adolescentes de instituciones educativas del área rural y urbana del municipio sobre: hábitos higiénicos saludables, alimentación adecuada, riesgos del consumo de tabaco en la salud bucal, principales afecciones de origen bucal y signos de alarma para consultar al servicio de odontología, algunas consideraciones acerca de los piercings orales intra y peri bucales. Mínimo 20 participantes por sesión de mínimo 60 minutos de duración. </t>
    </r>
  </si>
  <si>
    <r>
      <t xml:space="preserve">Realizar </t>
    </r>
    <r>
      <rPr>
        <b/>
        <u/>
        <sz val="12"/>
        <rFont val="Arial Narrow"/>
        <family val="2"/>
      </rPr>
      <t>1 ciclos educativos  en prevención del suicidio de 6 sesione</t>
    </r>
    <r>
      <rPr>
        <sz val="12"/>
        <rFont val="Arial Narrow"/>
        <family val="2"/>
      </rPr>
      <t>s cada ciclo, dirigidos a 1 grupo de jóvenes de 15-19 años,  de la IE san pedro claver sede centro, cada grupo de mínimo 15 máximo 25 jóvenes que serán los mismos en todas las sesiones, cada sesión tendrá una duración de  2 horas, aplicando la metodología "VIDA CON SENTIDO" ( Diligenciar base datos notificación actividad).</t>
    </r>
  </si>
  <si>
    <r>
      <t>Realizar</t>
    </r>
    <r>
      <rPr>
        <b/>
        <u/>
        <sz val="12"/>
        <rFont val="Arial Narrow"/>
        <family val="2"/>
      </rPr>
      <t xml:space="preserve"> 1 ciclo informativo, cada ciclo con 4 sesiones informativas</t>
    </r>
    <r>
      <rPr>
        <sz val="12"/>
        <rFont val="Arial Narrow"/>
        <family val="2"/>
      </rPr>
      <t xml:space="preserve"> en educación financiera y superación de la pobreza a grupos de 10 familias, dirigidos a mujeres rurales y mujeres cabeza de familia, que serán las mismas durante el ciclo informativo, con duración de 2 horas por sesión, actividad desarrollada en el entorno comunitario dando cumplimiento en su desarrollo al lineamiento departamental de SESALUB.</t>
    </r>
  </si>
  <si>
    <r>
      <t>Desarrollar</t>
    </r>
    <r>
      <rPr>
        <b/>
        <u/>
        <sz val="12"/>
        <color theme="1"/>
        <rFont val="Arial Narrow"/>
        <family val="2"/>
      </rPr>
      <t xml:space="preserve"> 6 sesiones  para ciclo educativo cada una de 90 minutos</t>
    </r>
    <r>
      <rPr>
        <sz val="12"/>
        <color theme="1"/>
        <rFont val="Arial Narrow"/>
        <family val="2"/>
      </rPr>
      <t xml:space="preserve">,  con  grupos de 15 personas . aplicando  del programa convive: </t>
    </r>
    <r>
      <rPr>
        <b/>
        <i/>
        <sz val="12"/>
        <color theme="1"/>
        <rFont val="Arial Narrow"/>
        <family val="2"/>
      </rPr>
      <t>Boyacá en familia</t>
    </r>
    <r>
      <rPr>
        <sz val="12"/>
        <color theme="1"/>
        <rFont val="Arial Narrow"/>
        <family val="2"/>
      </rPr>
      <t xml:space="preserve">  ( * tener en cuenta la guía de promoción salud mental , vamos derecho pal convite, "No más violencia en las familias"  Autoprotección . </t>
    </r>
  </si>
  <si>
    <r>
      <t xml:space="preserve">Desarrollar </t>
    </r>
    <r>
      <rPr>
        <b/>
        <u/>
        <sz val="12"/>
        <color theme="1"/>
        <rFont val="Arial Narrow"/>
        <family val="2"/>
      </rPr>
      <t xml:space="preserve">1 ciclo educativo a través de 6  sesiones </t>
    </r>
    <r>
      <rPr>
        <sz val="12"/>
        <color theme="1"/>
        <rFont val="Arial Narrow"/>
        <family val="2"/>
      </rPr>
      <t xml:space="preserve">educativas  cada una de 90 minutos,  con la institucion educativa  san pedro claver de chitaraque boyaca, con un  grupo de 15 (niños y niñas)  aplicando la estrategia : Boyacá en familia  ( * tener en cuenta la guía de promoción salud mental ,  pueblo ternura). </t>
    </r>
  </si>
  <si>
    <t>Acta de Planeación del ciclo educativo con cronograma 
Informe del desarrollo del Ciclo Educativo 
Listado de asistencia por cada sesion
Pre test - Post -tes por cada sesion</t>
  </si>
  <si>
    <t>Acta de Planeación de la información  cronograma 
Informe del desarrollo de la estrategia de informacion Registros fotográficos
Listado de asistencia
Pre test - Post -tes</t>
  </si>
  <si>
    <t>costos directos  emisora, perifoneo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</si>
</sst>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1" formatCode="_-* #,##0_-;\-* #,##0_-;_-* &quot;-&quot;_-;_-@_-"/>
    <numFmt numFmtId="44" formatCode="_-&quot;$&quot;\ * #,##0.00_-;\-&quot;$&quot;\ * #,##0.00_-;_-&quot;$&quot;\ * &quot;-&quot;??_-;_-@_-"/>
    <numFmt numFmtId="164" formatCode="_-[$$-240A]\ * #,##0.00_-;\-[$$-240A]\ * #,##0.00_-;_-[$$-240A]\ * &quot;-&quot;??_-;_-@_-"/>
    <numFmt numFmtId="165" formatCode="_-* #,##0.00_-;\-* #,##0.00_-;_-* &quot;-&quot;_-;_-@_-"/>
    <numFmt numFmtId="166" formatCode="_(* #,##0_);_(* \(#,##0\);_(* &quot;-&quot;??_);_(@_)"/>
  </numFmts>
  <fonts count="55" x14ac:knownFonts="1">
    <font>
      <sz val="11"/>
      <color theme="1"/>
      <name val="Aptos Narrow"/>
      <family val="2"/>
      <scheme val="minor"/>
    </font>
    <font>
      <sz val="11"/>
      <color theme="1"/>
      <name val="Aptos Narrow"/>
      <family val="2"/>
      <scheme val="minor"/>
    </font>
    <font>
      <sz val="11"/>
      <color rgb="FF006100"/>
      <name val="Aptos Narrow"/>
      <family val="2"/>
      <scheme val="minor"/>
    </font>
    <font>
      <sz val="16"/>
      <color theme="1"/>
      <name val="Aptos Narrow"/>
      <family val="2"/>
      <scheme val="minor"/>
    </font>
    <font>
      <sz val="10"/>
      <color rgb="FF000000"/>
      <name val="Arial"/>
      <family val="2"/>
    </font>
    <font>
      <b/>
      <sz val="9"/>
      <color indexed="81"/>
      <name val="Tahoma"/>
      <family val="2"/>
    </font>
    <font>
      <sz val="9"/>
      <color indexed="81"/>
      <name val="Tahoma"/>
      <family val="2"/>
    </font>
    <font>
      <sz val="18"/>
      <color theme="1"/>
      <name val="Aptos Narrow"/>
      <family val="2"/>
      <scheme val="minor"/>
    </font>
    <font>
      <sz val="22"/>
      <color theme="1"/>
      <name val="Aptos Narrow"/>
      <family val="2"/>
      <scheme val="minor"/>
    </font>
    <font>
      <sz val="16"/>
      <color theme="1"/>
      <name val="Aptos"/>
      <family val="2"/>
    </font>
    <font>
      <sz val="28"/>
      <color theme="1"/>
      <name val="Aptos Narrow"/>
      <family val="2"/>
      <scheme val="minor"/>
    </font>
    <font>
      <sz val="20"/>
      <color theme="1"/>
      <name val="Aptos Narrow"/>
      <family val="2"/>
      <scheme val="minor"/>
    </font>
    <font>
      <sz val="24"/>
      <color theme="1"/>
      <name val="Aptos Narrow"/>
      <family val="2"/>
      <scheme val="minor"/>
    </font>
    <font>
      <b/>
      <sz val="14"/>
      <color theme="1"/>
      <name val="ADLaM Display"/>
    </font>
    <font>
      <b/>
      <sz val="14"/>
      <name val="ADLaM Display"/>
    </font>
    <font>
      <sz val="14"/>
      <color theme="1"/>
      <name val="ADLaM Display"/>
    </font>
    <font>
      <sz val="11"/>
      <name val="Abadi ExtraLight"/>
      <family val="2"/>
    </font>
    <font>
      <sz val="11"/>
      <color theme="1"/>
      <name val="Abadi ExtraLight"/>
      <family val="2"/>
    </font>
    <font>
      <b/>
      <sz val="18"/>
      <color theme="1"/>
      <name val="Abadi ExtraLight"/>
      <family val="2"/>
    </font>
    <font>
      <b/>
      <sz val="11"/>
      <name val="Abadi ExtraLight"/>
      <family val="2"/>
    </font>
    <font>
      <sz val="11"/>
      <color indexed="8"/>
      <name val="Abadi ExtraLight"/>
      <family val="2"/>
    </font>
    <font>
      <b/>
      <sz val="18"/>
      <color theme="1"/>
      <name val="ADLaM Display"/>
    </font>
    <font>
      <b/>
      <sz val="16"/>
      <color theme="1"/>
      <name val="ADLaM Display"/>
    </font>
    <font>
      <sz val="14"/>
      <color theme="1"/>
      <name val="Aptos Narrow"/>
      <family val="2"/>
      <scheme val="minor"/>
    </font>
    <font>
      <sz val="12"/>
      <color theme="1"/>
      <name val="Aptos Narrow"/>
      <family val="2"/>
      <scheme val="minor"/>
    </font>
    <font>
      <b/>
      <sz val="12"/>
      <name val="ADLaM Display"/>
    </font>
    <font>
      <sz val="12"/>
      <name val="Arial Narrow"/>
      <family val="2"/>
    </font>
    <font>
      <b/>
      <sz val="12"/>
      <name val="Arial Narrow"/>
      <family val="2"/>
    </font>
    <font>
      <b/>
      <u/>
      <sz val="12"/>
      <name val="Arial Narrow"/>
      <family val="2"/>
    </font>
    <font>
      <u/>
      <sz val="12"/>
      <name val="Arial Narrow"/>
      <family val="2"/>
    </font>
    <font>
      <b/>
      <i/>
      <sz val="12"/>
      <name val="Arial Narrow"/>
      <family val="2"/>
    </font>
    <font>
      <b/>
      <i/>
      <u/>
      <sz val="12"/>
      <name val="Arial Narrow"/>
      <family val="2"/>
    </font>
    <font>
      <b/>
      <i/>
      <sz val="12"/>
      <color rgb="FFFF0000"/>
      <name val="Arial Narrow"/>
      <family val="2"/>
    </font>
    <font>
      <sz val="12"/>
      <color theme="1"/>
      <name val="Arial Narrow"/>
      <family val="2"/>
    </font>
    <font>
      <b/>
      <u/>
      <sz val="12"/>
      <color theme="1"/>
      <name val="Arial Narrow"/>
      <family val="2"/>
    </font>
    <font>
      <b/>
      <sz val="12"/>
      <color theme="1"/>
      <name val="Arial Narrow"/>
      <family val="2"/>
    </font>
    <font>
      <sz val="12"/>
      <color rgb="FF000000"/>
      <name val="Arial Narrow"/>
      <family val="2"/>
    </font>
    <font>
      <b/>
      <u/>
      <sz val="12"/>
      <color rgb="FF000000"/>
      <name val="Arial Narrow"/>
      <family val="2"/>
    </font>
    <font>
      <b/>
      <sz val="12"/>
      <color rgb="FF000000"/>
      <name val="Arial Narrow"/>
      <family val="2"/>
    </font>
    <font>
      <b/>
      <i/>
      <sz val="12"/>
      <color theme="1"/>
      <name val="Arial Narrow"/>
      <family val="2"/>
    </font>
    <font>
      <sz val="20"/>
      <color theme="1"/>
      <name val="Calibri"/>
      <family val="2"/>
    </font>
    <font>
      <b/>
      <sz val="20"/>
      <color theme="1"/>
      <name val="Aptos Narrow"/>
      <family val="2"/>
      <scheme val="minor"/>
    </font>
    <font>
      <b/>
      <u val="singleAccounting"/>
      <sz val="20"/>
      <color theme="1"/>
      <name val="Calibri"/>
      <family val="2"/>
    </font>
    <font>
      <u val="singleAccounting"/>
      <sz val="20"/>
      <color theme="1"/>
      <name val="Aptos Narrow"/>
      <family val="2"/>
      <scheme val="minor"/>
    </font>
    <font>
      <u val="singleAccounting"/>
      <sz val="20"/>
      <color theme="1"/>
      <name val="Calibri"/>
      <family val="2"/>
    </font>
    <font>
      <b/>
      <u val="singleAccounting"/>
      <sz val="20"/>
      <color theme="1"/>
      <name val="Aptos Narrow"/>
      <family val="2"/>
      <scheme val="minor"/>
    </font>
    <font>
      <sz val="20"/>
      <color theme="1"/>
      <name val="Arial Narrow"/>
      <family val="2"/>
    </font>
    <font>
      <b/>
      <sz val="20"/>
      <color theme="1"/>
      <name val="Arial Narrow"/>
      <family val="2"/>
    </font>
    <font>
      <b/>
      <u val="singleAccounting"/>
      <sz val="20"/>
      <color theme="1"/>
      <name val="Arial Narrow"/>
      <family val="2"/>
    </font>
    <font>
      <sz val="20"/>
      <color theme="1"/>
      <name val="Arial"/>
      <family val="2"/>
    </font>
    <font>
      <b/>
      <sz val="20"/>
      <color theme="1"/>
      <name val="Arial"/>
      <family val="2"/>
    </font>
    <font>
      <b/>
      <u val="singleAccounting"/>
      <sz val="20"/>
      <color theme="1"/>
      <name val="Arial"/>
      <family val="2"/>
    </font>
    <font>
      <sz val="18"/>
      <color theme="1"/>
      <name val="Abadi ExtraLight"/>
      <family val="2"/>
    </font>
    <font>
      <sz val="18"/>
      <color rgb="FF006100"/>
      <name val="Abadi ExtraLight"/>
      <family val="2"/>
    </font>
    <font>
      <sz val="18"/>
      <name val="Abadi ExtraLight"/>
      <family val="2"/>
    </font>
  </fonts>
  <fills count="16">
    <fill>
      <patternFill patternType="none"/>
    </fill>
    <fill>
      <patternFill patternType="gray125"/>
    </fill>
    <fill>
      <patternFill patternType="solid">
        <fgColor rgb="FFC6EFCE"/>
      </patternFill>
    </fill>
    <fill>
      <patternFill patternType="solid">
        <fgColor theme="8" tint="0.79998168889431442"/>
        <bgColor indexed="64"/>
      </patternFill>
    </fill>
    <fill>
      <patternFill patternType="solid">
        <fgColor theme="0"/>
        <bgColor rgb="FFD6E3BC"/>
      </patternFill>
    </fill>
    <fill>
      <patternFill patternType="solid">
        <fgColor theme="0"/>
        <bgColor indexed="64"/>
      </patternFill>
    </fill>
    <fill>
      <patternFill patternType="solid">
        <fgColor theme="0"/>
        <bgColor rgb="FFEAF1DD"/>
      </patternFill>
    </fill>
    <fill>
      <patternFill patternType="solid">
        <fgColor theme="0"/>
        <bgColor theme="0"/>
      </patternFill>
    </fill>
    <fill>
      <patternFill patternType="solid">
        <fgColor theme="0"/>
        <bgColor rgb="FFC2D69B"/>
      </patternFill>
    </fill>
    <fill>
      <patternFill patternType="solid">
        <fgColor theme="0"/>
        <bgColor rgb="FFFBE4D5"/>
      </patternFill>
    </fill>
    <fill>
      <patternFill patternType="solid">
        <fgColor theme="0"/>
        <bgColor rgb="FF000000"/>
      </patternFill>
    </fill>
    <fill>
      <patternFill patternType="solid">
        <fgColor theme="3" tint="0.749992370372631"/>
        <bgColor indexed="64"/>
      </patternFill>
    </fill>
    <fill>
      <patternFill patternType="solid">
        <fgColor theme="3" tint="0.749992370372631"/>
        <bgColor rgb="FFD6E3BC"/>
      </patternFill>
    </fill>
    <fill>
      <patternFill patternType="solid">
        <fgColor theme="3" tint="0.749992370372631"/>
        <bgColor rgb="FF92D050"/>
      </patternFill>
    </fill>
    <fill>
      <patternFill patternType="solid">
        <fgColor theme="3" tint="0.749992370372631"/>
        <bgColor theme="0"/>
      </patternFill>
    </fill>
    <fill>
      <patternFill patternType="solid">
        <fgColor theme="3" tint="0.749992370372631"/>
        <bgColor rgb="FFFBE4D5"/>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41" fontId="1" fillId="0" borderId="0" applyFont="0" applyFill="0" applyBorder="0" applyAlignment="0" applyProtection="0"/>
    <xf numFmtId="44" fontId="1" fillId="0" borderId="0" applyFont="0" applyFill="0" applyBorder="0" applyAlignment="0" applyProtection="0"/>
    <xf numFmtId="0" fontId="2" fillId="2" borderId="0" applyNumberFormat="0" applyBorder="0" applyAlignment="0" applyProtection="0"/>
    <xf numFmtId="0" fontId="1" fillId="0" borderId="0"/>
    <xf numFmtId="0" fontId="4" fillId="0" borderId="0"/>
    <xf numFmtId="0" fontId="4" fillId="0" borderId="0"/>
  </cellStyleXfs>
  <cellXfs count="124">
    <xf numFmtId="0" fontId="0" fillId="0" borderId="0" xfId="0"/>
    <xf numFmtId="0" fontId="0" fillId="5" borderId="0" xfId="0" applyFill="1"/>
    <xf numFmtId="0" fontId="0" fillId="5" borderId="0" xfId="0" applyFill="1" applyAlignment="1">
      <alignment horizontal="center" vertical="center"/>
    </xf>
    <xf numFmtId="0" fontId="8" fillId="5" borderId="0" xfId="0" applyFont="1" applyFill="1"/>
    <xf numFmtId="0" fontId="16" fillId="5" borderId="1" xfId="4" applyFont="1" applyFill="1" applyBorder="1" applyAlignment="1" applyProtection="1">
      <alignment horizontal="left" vertical="top" wrapText="1"/>
      <protection locked="0"/>
    </xf>
    <xf numFmtId="0" fontId="17" fillId="5" borderId="1" xfId="0" applyFont="1" applyFill="1" applyBorder="1" applyAlignment="1">
      <alignment horizontal="left" vertical="top"/>
    </xf>
    <xf numFmtId="0" fontId="16" fillId="5" borderId="1" xfId="0" applyFont="1" applyFill="1" applyBorder="1" applyAlignment="1" applyProtection="1">
      <alignment horizontal="left" vertical="top" wrapText="1"/>
      <protection locked="0"/>
    </xf>
    <xf numFmtId="0" fontId="16" fillId="5" borderId="1" xfId="4" applyFont="1" applyFill="1" applyBorder="1" applyAlignment="1">
      <alignment horizontal="left" vertical="top" wrapText="1"/>
    </xf>
    <xf numFmtId="0" fontId="16" fillId="5" borderId="1" xfId="0" applyFont="1" applyFill="1" applyBorder="1" applyAlignment="1">
      <alignment horizontal="left" vertical="top" wrapText="1"/>
    </xf>
    <xf numFmtId="0" fontId="17" fillId="5" borderId="1" xfId="0" applyFont="1" applyFill="1" applyBorder="1" applyAlignment="1">
      <alignment horizontal="left" vertical="top" wrapText="1"/>
    </xf>
    <xf numFmtId="0" fontId="16" fillId="4" borderId="1" xfId="0" applyFont="1" applyFill="1" applyBorder="1" applyAlignment="1">
      <alignment horizontal="left" vertical="top" wrapText="1"/>
    </xf>
    <xf numFmtId="0" fontId="16" fillId="7" borderId="1" xfId="0" applyFont="1" applyFill="1" applyBorder="1" applyAlignment="1">
      <alignment horizontal="left" vertical="top" wrapText="1"/>
    </xf>
    <xf numFmtId="166" fontId="16" fillId="5" borderId="1" xfId="6" applyNumberFormat="1" applyFont="1" applyFill="1" applyBorder="1" applyAlignment="1">
      <alignment horizontal="left" vertical="top" wrapText="1"/>
    </xf>
    <xf numFmtId="0" fontId="17" fillId="5" borderId="1" xfId="4" applyFont="1" applyFill="1" applyBorder="1" applyAlignment="1">
      <alignment horizontal="left" vertical="top" wrapText="1"/>
    </xf>
    <xf numFmtId="0" fontId="17" fillId="5" borderId="3" xfId="0" applyFont="1" applyFill="1" applyBorder="1" applyAlignment="1">
      <alignment horizontal="left" vertical="top" wrapText="1"/>
    </xf>
    <xf numFmtId="0" fontId="16" fillId="6" borderId="1" xfId="0" applyFont="1" applyFill="1" applyBorder="1" applyAlignment="1">
      <alignment horizontal="left" vertical="top" wrapText="1"/>
    </xf>
    <xf numFmtId="49" fontId="20" fillId="5" borderId="1" xfId="0" applyNumberFormat="1" applyFont="1" applyFill="1" applyBorder="1" applyAlignment="1">
      <alignment horizontal="left" vertical="top" wrapText="1"/>
    </xf>
    <xf numFmtId="0" fontId="16" fillId="5" borderId="1" xfId="4" applyFont="1" applyFill="1" applyBorder="1" applyAlignment="1">
      <alignment horizontal="left" vertical="top"/>
    </xf>
    <xf numFmtId="0" fontId="16" fillId="8" borderId="1" xfId="0" applyFont="1" applyFill="1" applyBorder="1" applyAlignment="1">
      <alignment horizontal="left" vertical="top" wrapText="1"/>
    </xf>
    <xf numFmtId="0" fontId="17" fillId="5" borderId="3" xfId="0" applyFont="1" applyFill="1" applyBorder="1" applyAlignment="1">
      <alignment horizontal="left" vertical="top"/>
    </xf>
    <xf numFmtId="0" fontId="16" fillId="5" borderId="3" xfId="4" applyFont="1" applyFill="1" applyBorder="1" applyAlignment="1">
      <alignment horizontal="left" vertical="top" wrapText="1"/>
    </xf>
    <xf numFmtId="0" fontId="18" fillId="5" borderId="1" xfId="0" applyFont="1" applyFill="1" applyBorder="1" applyAlignment="1">
      <alignment horizontal="center" vertical="center"/>
    </xf>
    <xf numFmtId="0" fontId="18" fillId="5" borderId="3" xfId="0" applyFont="1" applyFill="1" applyBorder="1" applyAlignment="1">
      <alignment horizontal="center" vertical="center"/>
    </xf>
    <xf numFmtId="44" fontId="22" fillId="5" borderId="0" xfId="2" applyFont="1" applyFill="1" applyAlignment="1">
      <alignment horizontal="center" vertical="center"/>
    </xf>
    <xf numFmtId="44" fontId="3" fillId="5" borderId="0" xfId="2" applyFont="1" applyFill="1" applyAlignment="1">
      <alignment horizontal="left" vertical="top"/>
    </xf>
    <xf numFmtId="44" fontId="3" fillId="5" borderId="0" xfId="2" applyFont="1" applyFill="1" applyAlignment="1">
      <alignment horizontal="left" vertical="top" wrapText="1"/>
    </xf>
    <xf numFmtId="44" fontId="9" fillId="5" borderId="0" xfId="2" applyFont="1" applyFill="1" applyAlignment="1">
      <alignment horizontal="left" vertical="top" wrapText="1"/>
    </xf>
    <xf numFmtId="44" fontId="23" fillId="5" borderId="1" xfId="2" applyFont="1" applyFill="1" applyBorder="1" applyAlignment="1">
      <alignment horizontal="left" vertical="top"/>
    </xf>
    <xf numFmtId="8" fontId="23" fillId="5" borderId="1" xfId="2" applyNumberFormat="1" applyFont="1" applyFill="1" applyBorder="1" applyAlignment="1">
      <alignment horizontal="left" vertical="top"/>
    </xf>
    <xf numFmtId="44" fontId="3" fillId="5" borderId="0" xfId="2" applyFont="1" applyFill="1"/>
    <xf numFmtId="0" fontId="21" fillId="5" borderId="1" xfId="0" applyFont="1" applyFill="1" applyBorder="1" applyAlignment="1">
      <alignment horizontal="center" vertical="center"/>
    </xf>
    <xf numFmtId="0" fontId="14" fillId="5" borderId="1" xfId="0" applyFont="1" applyFill="1" applyBorder="1" applyAlignment="1">
      <alignment horizontal="center" vertical="center" wrapText="1"/>
    </xf>
    <xf numFmtId="164" fontId="14"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165" fontId="13" fillId="9" borderId="1" xfId="1" applyNumberFormat="1" applyFont="1" applyFill="1" applyBorder="1" applyAlignment="1" applyProtection="1">
      <alignment horizontal="center" vertical="center" wrapText="1"/>
    </xf>
    <xf numFmtId="0" fontId="15" fillId="5" borderId="0" xfId="0" applyFont="1" applyFill="1" applyAlignment="1">
      <alignment horizontal="center" vertical="center"/>
    </xf>
    <xf numFmtId="164" fontId="16" fillId="5" borderId="1" xfId="0" applyNumberFormat="1" applyFont="1" applyFill="1" applyBorder="1" applyAlignment="1">
      <alignment horizontal="left" vertical="top" wrapText="1"/>
    </xf>
    <xf numFmtId="0" fontId="17" fillId="5" borderId="1" xfId="0" applyFont="1" applyFill="1" applyBorder="1" applyAlignment="1" applyProtection="1">
      <alignment horizontal="left" vertical="top" wrapText="1"/>
      <protection locked="0"/>
    </xf>
    <xf numFmtId="0" fontId="16" fillId="5" borderId="1" xfId="6" applyFont="1" applyFill="1" applyBorder="1" applyAlignment="1">
      <alignment horizontal="left" vertical="top" wrapText="1"/>
    </xf>
    <xf numFmtId="0" fontId="16" fillId="10" borderId="1" xfId="0" applyFont="1" applyFill="1" applyBorder="1" applyAlignment="1">
      <alignment horizontal="left" vertical="top" wrapText="1"/>
    </xf>
    <xf numFmtId="0" fontId="17" fillId="5" borderId="1" xfId="4" applyFont="1" applyFill="1" applyBorder="1" applyAlignment="1" applyProtection="1">
      <alignment horizontal="left" vertical="top" wrapText="1"/>
      <protection locked="0"/>
    </xf>
    <xf numFmtId="0" fontId="21" fillId="5" borderId="0" xfId="0" applyFont="1" applyFill="1" applyAlignment="1">
      <alignment horizontal="center" vertical="center"/>
    </xf>
    <xf numFmtId="0" fontId="9" fillId="5" borderId="0" xfId="0" applyFont="1" applyFill="1" applyAlignment="1">
      <alignment horizontal="left"/>
    </xf>
    <xf numFmtId="8" fontId="0" fillId="5" borderId="0" xfId="0" applyNumberFormat="1" applyFill="1"/>
    <xf numFmtId="44" fontId="11" fillId="5" borderId="0" xfId="2" applyFont="1" applyFill="1"/>
    <xf numFmtId="44" fontId="0" fillId="5" borderId="0" xfId="0" applyNumberFormat="1" applyFill="1"/>
    <xf numFmtId="6" fontId="7" fillId="5" borderId="0" xfId="0" applyNumberFormat="1" applyFont="1" applyFill="1"/>
    <xf numFmtId="8" fontId="7" fillId="5" borderId="0" xfId="2" applyNumberFormat="1" applyFont="1" applyFill="1"/>
    <xf numFmtId="44" fontId="7" fillId="5" borderId="0" xfId="2" applyFont="1" applyFill="1"/>
    <xf numFmtId="44" fontId="3" fillId="5" borderId="0" xfId="0" applyNumberFormat="1" applyFont="1" applyFill="1"/>
    <xf numFmtId="44" fontId="7" fillId="5" borderId="0" xfId="0" applyNumberFormat="1" applyFont="1" applyFill="1"/>
    <xf numFmtId="44" fontId="12" fillId="5" borderId="0" xfId="0" applyNumberFormat="1" applyFont="1" applyFill="1"/>
    <xf numFmtId="44" fontId="10" fillId="5" borderId="1" xfId="2" applyFont="1" applyFill="1" applyBorder="1"/>
    <xf numFmtId="44" fontId="40" fillId="5" borderId="1" xfId="2" applyFont="1" applyFill="1" applyBorder="1" applyAlignment="1" applyProtection="1">
      <alignment horizontal="right" vertical="center"/>
    </xf>
    <xf numFmtId="44" fontId="41" fillId="5" borderId="1" xfId="2" applyFont="1" applyFill="1" applyBorder="1" applyAlignment="1">
      <alignment horizontal="right" vertical="center" wrapText="1"/>
    </xf>
    <xf numFmtId="44" fontId="11" fillId="5" borderId="1" xfId="2" applyFont="1" applyFill="1" applyBorder="1" applyAlignment="1" applyProtection="1">
      <alignment horizontal="right" vertical="center"/>
      <protection locked="0"/>
    </xf>
    <xf numFmtId="44" fontId="11" fillId="5" borderId="1" xfId="2" applyFont="1" applyFill="1" applyBorder="1" applyAlignment="1">
      <alignment horizontal="right" vertical="center"/>
    </xf>
    <xf numFmtId="44" fontId="43" fillId="5" borderId="1" xfId="2" applyFont="1" applyFill="1" applyBorder="1" applyAlignment="1">
      <alignment horizontal="right" vertical="center"/>
    </xf>
    <xf numFmtId="44" fontId="44" fillId="5" borderId="1" xfId="2" applyFont="1" applyFill="1" applyBorder="1" applyAlignment="1" applyProtection="1">
      <alignment horizontal="right" vertical="center"/>
    </xf>
    <xf numFmtId="44" fontId="45" fillId="5" borderId="1" xfId="2" applyFont="1" applyFill="1" applyBorder="1" applyAlignment="1">
      <alignment horizontal="right" vertical="center" wrapText="1"/>
    </xf>
    <xf numFmtId="44" fontId="11" fillId="5" borderId="1" xfId="2" applyFont="1" applyFill="1" applyBorder="1" applyAlignment="1" applyProtection="1">
      <alignment horizontal="right" vertical="center" wrapText="1"/>
      <protection locked="0"/>
    </xf>
    <xf numFmtId="44" fontId="46" fillId="5" borderId="1" xfId="2" applyFont="1" applyFill="1" applyBorder="1" applyAlignment="1" applyProtection="1">
      <alignment horizontal="right" vertical="center"/>
    </xf>
    <xf numFmtId="44" fontId="47" fillId="5" borderId="1" xfId="2" applyFont="1" applyFill="1" applyBorder="1" applyAlignment="1">
      <alignment horizontal="right" vertical="center" wrapText="1"/>
    </xf>
    <xf numFmtId="44" fontId="49" fillId="5" borderId="1" xfId="2" applyFont="1" applyFill="1" applyBorder="1" applyAlignment="1">
      <alignment horizontal="right" vertical="center"/>
    </xf>
    <xf numFmtId="44" fontId="49" fillId="5" borderId="1" xfId="2" applyFont="1" applyFill="1" applyBorder="1" applyAlignment="1" applyProtection="1">
      <alignment horizontal="right" vertical="center"/>
    </xf>
    <xf numFmtId="44" fontId="50" fillId="5" borderId="1" xfId="2" applyFont="1" applyFill="1" applyBorder="1" applyAlignment="1">
      <alignment horizontal="right" vertical="center" wrapText="1"/>
    </xf>
    <xf numFmtId="44" fontId="46" fillId="5" borderId="1" xfId="2" applyFont="1" applyFill="1" applyBorder="1" applyAlignment="1">
      <alignment horizontal="right" vertical="center"/>
    </xf>
    <xf numFmtId="44" fontId="46" fillId="5" borderId="1" xfId="2" applyFont="1" applyFill="1" applyBorder="1" applyAlignment="1" applyProtection="1">
      <alignment horizontal="right" vertical="center"/>
      <protection locked="0"/>
    </xf>
    <xf numFmtId="164" fontId="46" fillId="5" borderId="1" xfId="1" applyNumberFormat="1" applyFont="1" applyFill="1" applyBorder="1" applyAlignment="1" applyProtection="1">
      <alignment horizontal="right" vertical="center"/>
    </xf>
    <xf numFmtId="164" fontId="49" fillId="5" borderId="1" xfId="1" applyNumberFormat="1" applyFont="1" applyFill="1" applyBorder="1" applyAlignment="1" applyProtection="1">
      <alignment horizontal="right" vertical="center"/>
    </xf>
    <xf numFmtId="164" fontId="50" fillId="5" borderId="1" xfId="0" applyNumberFormat="1" applyFont="1" applyFill="1" applyBorder="1" applyAlignment="1">
      <alignment horizontal="right" vertical="center" wrapText="1"/>
    </xf>
    <xf numFmtId="8" fontId="11" fillId="5" borderId="0" xfId="0" applyNumberFormat="1" applyFont="1" applyFill="1" applyAlignment="1">
      <alignment horizontal="right" vertical="center"/>
    </xf>
    <xf numFmtId="44" fontId="7" fillId="5" borderId="0" xfId="2" applyFont="1" applyFill="1" applyAlignment="1">
      <alignment horizontal="left" vertical="top" wrapText="1"/>
    </xf>
    <xf numFmtId="44" fontId="7" fillId="5" borderId="0" xfId="2" applyFont="1" applyFill="1" applyAlignment="1">
      <alignment horizontal="left" vertical="top"/>
    </xf>
    <xf numFmtId="0" fontId="52" fillId="5" borderId="1" xfId="0" applyFont="1" applyFill="1" applyBorder="1" applyAlignment="1">
      <alignment horizontal="left" vertical="top" wrapText="1"/>
    </xf>
    <xf numFmtId="0" fontId="52" fillId="5" borderId="1" xfId="0" applyFont="1" applyFill="1" applyBorder="1" applyAlignment="1">
      <alignment horizontal="left" vertical="top"/>
    </xf>
    <xf numFmtId="0" fontId="53" fillId="5" borderId="1" xfId="3" applyFont="1" applyFill="1" applyBorder="1" applyAlignment="1">
      <alignment horizontal="left" vertical="top"/>
    </xf>
    <xf numFmtId="166" fontId="54" fillId="5" borderId="1" xfId="6" applyNumberFormat="1" applyFont="1" applyFill="1" applyBorder="1" applyAlignment="1">
      <alignment horizontal="left" vertical="top" wrapText="1"/>
    </xf>
    <xf numFmtId="0" fontId="54" fillId="5" borderId="1" xfId="0" applyFont="1" applyFill="1" applyBorder="1" applyAlignment="1">
      <alignment horizontal="left" vertical="top" wrapText="1"/>
    </xf>
    <xf numFmtId="0" fontId="54" fillId="5" borderId="1" xfId="4" applyFont="1" applyFill="1" applyBorder="1" applyAlignment="1" applyProtection="1">
      <alignment horizontal="left" vertical="top" wrapText="1"/>
      <protection locked="0"/>
    </xf>
    <xf numFmtId="0" fontId="7" fillId="5" borderId="0" xfId="0" applyFont="1" applyFill="1"/>
    <xf numFmtId="44" fontId="7" fillId="11" borderId="0" xfId="2" applyFont="1" applyFill="1" applyAlignment="1">
      <alignment horizontal="left" vertical="top"/>
    </xf>
    <xf numFmtId="0" fontId="14" fillId="11" borderId="1" xfId="0" applyFont="1" applyFill="1" applyBorder="1" applyAlignment="1">
      <alignment horizontal="center" vertical="center" wrapText="1"/>
    </xf>
    <xf numFmtId="0" fontId="52" fillId="11" borderId="1" xfId="0" applyFont="1" applyFill="1" applyBorder="1" applyAlignment="1">
      <alignment horizontal="left" vertical="top" wrapText="1"/>
    </xf>
    <xf numFmtId="0" fontId="52" fillId="11" borderId="1" xfId="0" applyFont="1" applyFill="1" applyBorder="1" applyAlignment="1">
      <alignment horizontal="left" vertical="top"/>
    </xf>
    <xf numFmtId="0" fontId="54" fillId="11" borderId="1" xfId="6" applyFont="1" applyFill="1" applyBorder="1" applyAlignment="1">
      <alignment horizontal="left" vertical="top" wrapText="1"/>
    </xf>
    <xf numFmtId="0" fontId="7" fillId="11" borderId="0" xfId="0" applyFont="1" applyFill="1"/>
    <xf numFmtId="44" fontId="24" fillId="11" borderId="0" xfId="2" applyFont="1" applyFill="1" applyAlignment="1">
      <alignment horizontal="left" vertical="top"/>
    </xf>
    <xf numFmtId="0" fontId="25" fillId="11" borderId="1" xfId="0" applyFont="1" applyFill="1" applyBorder="1" applyAlignment="1">
      <alignment horizontal="center" vertical="center" wrapText="1"/>
    </xf>
    <xf numFmtId="0" fontId="26" fillId="11" borderId="1" xfId="4" applyFont="1" applyFill="1" applyBorder="1" applyAlignment="1">
      <alignment horizontal="center" vertical="center" wrapText="1"/>
    </xf>
    <xf numFmtId="0" fontId="26" fillId="11" borderId="1" xfId="4" applyFont="1" applyFill="1" applyBorder="1" applyAlignment="1" applyProtection="1">
      <alignment horizontal="center" vertical="center" wrapText="1"/>
      <protection locked="0"/>
    </xf>
    <xf numFmtId="0" fontId="26" fillId="12" borderId="1" xfId="0" applyFont="1" applyFill="1" applyBorder="1" applyAlignment="1" applyProtection="1">
      <alignment horizontal="center" vertical="center" wrapText="1"/>
      <protection locked="0"/>
    </xf>
    <xf numFmtId="0" fontId="33" fillId="13" borderId="1" xfId="0" applyFont="1" applyFill="1" applyBorder="1" applyAlignment="1" applyProtection="1">
      <alignment horizontal="center" vertical="center" wrapText="1"/>
      <protection locked="0"/>
    </xf>
    <xf numFmtId="0" fontId="26" fillId="13" borderId="1" xfId="0" applyFont="1" applyFill="1" applyBorder="1" applyAlignment="1" applyProtection="1">
      <alignment horizontal="center" vertical="center" wrapText="1"/>
      <protection locked="0"/>
    </xf>
    <xf numFmtId="0" fontId="26" fillId="14" borderId="1" xfId="0" applyFont="1" applyFill="1" applyBorder="1" applyAlignment="1" applyProtection="1">
      <alignment horizontal="center" vertical="center" wrapText="1"/>
      <protection locked="0"/>
    </xf>
    <xf numFmtId="0" fontId="33" fillId="11" borderId="1" xfId="4" applyFont="1" applyFill="1" applyBorder="1" applyAlignment="1" applyProtection="1">
      <alignment horizontal="center" vertical="center" wrapText="1"/>
      <protection locked="0"/>
    </xf>
    <xf numFmtId="0" fontId="33" fillId="11" borderId="1" xfId="0" applyFont="1" applyFill="1" applyBorder="1" applyAlignment="1">
      <alignment horizontal="center" vertical="center" wrapText="1"/>
    </xf>
    <xf numFmtId="0" fontId="36" fillId="11" borderId="1" xfId="0" applyFont="1" applyFill="1" applyBorder="1" applyAlignment="1" applyProtection="1">
      <alignment horizontal="center" vertical="center" wrapText="1"/>
      <protection locked="0"/>
    </xf>
    <xf numFmtId="0" fontId="26" fillId="11" borderId="1" xfId="0" applyFont="1" applyFill="1" applyBorder="1" applyAlignment="1" applyProtection="1">
      <alignment horizontal="center" vertical="center" wrapText="1"/>
      <protection locked="0"/>
    </xf>
    <xf numFmtId="0" fontId="33" fillId="11" borderId="1" xfId="0" applyFont="1" applyFill="1" applyBorder="1" applyAlignment="1" applyProtection="1">
      <alignment horizontal="center" vertical="center" wrapText="1"/>
      <protection locked="0"/>
    </xf>
    <xf numFmtId="0" fontId="26" fillId="14" borderId="1" xfId="0" applyFont="1" applyFill="1" applyBorder="1" applyAlignment="1">
      <alignment horizontal="center" vertical="center" wrapText="1"/>
    </xf>
    <xf numFmtId="0" fontId="24" fillId="11" borderId="0" xfId="0" applyFont="1" applyFill="1" applyAlignment="1">
      <alignment horizontal="center" vertical="center"/>
    </xf>
    <xf numFmtId="44" fontId="11" fillId="11" borderId="2" xfId="2" applyFont="1" applyFill="1" applyBorder="1" applyAlignment="1">
      <alignment horizontal="left" vertical="top"/>
    </xf>
    <xf numFmtId="165" fontId="13" fillId="15" borderId="1" xfId="1" applyNumberFormat="1" applyFont="1" applyFill="1" applyBorder="1" applyAlignment="1" applyProtection="1">
      <alignment horizontal="center" vertical="center" wrapText="1"/>
    </xf>
    <xf numFmtId="44" fontId="42" fillId="11" borderId="1" xfId="2" applyFont="1" applyFill="1" applyBorder="1" applyAlignment="1" applyProtection="1">
      <alignment horizontal="right" vertical="center"/>
    </xf>
    <xf numFmtId="44" fontId="48" fillId="11" borderId="1" xfId="2" applyFont="1" applyFill="1" applyBorder="1" applyAlignment="1" applyProtection="1">
      <alignment horizontal="right" vertical="center"/>
    </xf>
    <xf numFmtId="44" fontId="51" fillId="11" borderId="1" xfId="2" applyFont="1" applyFill="1" applyBorder="1" applyAlignment="1" applyProtection="1">
      <alignment horizontal="right" vertical="center"/>
    </xf>
    <xf numFmtId="44" fontId="50" fillId="11" borderId="1" xfId="2" applyFont="1" applyFill="1" applyBorder="1" applyAlignment="1" applyProtection="1">
      <alignment horizontal="right" vertical="center"/>
    </xf>
    <xf numFmtId="44" fontId="48" fillId="11" borderId="1" xfId="2" applyFont="1" applyFill="1" applyBorder="1" applyAlignment="1">
      <alignment horizontal="right" vertical="center"/>
    </xf>
    <xf numFmtId="164" fontId="51" fillId="11" borderId="1" xfId="1" applyNumberFormat="1" applyFont="1" applyFill="1" applyBorder="1" applyAlignment="1" applyProtection="1">
      <alignment horizontal="right" vertical="center"/>
    </xf>
    <xf numFmtId="8" fontId="41" fillId="11" borderId="0" xfId="0" applyNumberFormat="1" applyFont="1" applyFill="1" applyAlignment="1">
      <alignment horizontal="right" vertical="center"/>
    </xf>
    <xf numFmtId="0" fontId="0" fillId="11" borderId="0" xfId="0" applyFill="1"/>
    <xf numFmtId="0" fontId="16" fillId="5" borderId="3" xfId="0" applyFont="1" applyFill="1" applyBorder="1" applyAlignment="1">
      <alignment horizontal="left" vertical="top" wrapText="1"/>
    </xf>
    <xf numFmtId="0" fontId="26" fillId="11" borderId="3" xfId="4" applyFont="1" applyFill="1" applyBorder="1" applyAlignment="1" applyProtection="1">
      <alignment horizontal="center" vertical="center" wrapText="1"/>
      <protection locked="0"/>
    </xf>
    <xf numFmtId="0" fontId="52" fillId="5" borderId="3" xfId="0" applyFont="1" applyFill="1" applyBorder="1" applyAlignment="1">
      <alignment horizontal="left" vertical="top" wrapText="1"/>
    </xf>
    <xf numFmtId="0" fontId="52" fillId="5" borderId="3" xfId="0" applyFont="1" applyFill="1" applyBorder="1" applyAlignment="1">
      <alignment horizontal="left" vertical="top"/>
    </xf>
    <xf numFmtId="0" fontId="52" fillId="11" borderId="3" xfId="0" applyFont="1" applyFill="1" applyBorder="1" applyAlignment="1">
      <alignment horizontal="left" vertical="top"/>
    </xf>
    <xf numFmtId="49" fontId="20" fillId="5" borderId="3" xfId="0" applyNumberFormat="1" applyFont="1" applyFill="1" applyBorder="1" applyAlignment="1">
      <alignment horizontal="left" vertical="top" wrapText="1"/>
    </xf>
    <xf numFmtId="44" fontId="46" fillId="5" borderId="3" xfId="2" applyFont="1" applyFill="1" applyBorder="1" applyAlignment="1">
      <alignment horizontal="right" vertical="center"/>
    </xf>
    <xf numFmtId="44" fontId="49" fillId="5" borderId="3" xfId="2" applyFont="1" applyFill="1" applyBorder="1" applyAlignment="1" applyProtection="1">
      <alignment horizontal="right" vertical="center"/>
    </xf>
    <xf numFmtId="44" fontId="46" fillId="5" borderId="3" xfId="2" applyFont="1" applyFill="1" applyBorder="1" applyAlignment="1" applyProtection="1">
      <alignment horizontal="right" vertical="center"/>
    </xf>
    <xf numFmtId="44" fontId="48" fillId="11" borderId="3" xfId="2" applyFont="1" applyFill="1" applyBorder="1" applyAlignment="1">
      <alignment horizontal="right" vertical="center"/>
    </xf>
    <xf numFmtId="0" fontId="0" fillId="5" borderId="0" xfId="0" applyFill="1" applyBorder="1"/>
    <xf numFmtId="0" fontId="52" fillId="3" borderId="1" xfId="0" applyFont="1" applyFill="1" applyBorder="1" applyAlignment="1">
      <alignment horizontal="left" vertical="top" wrapText="1"/>
    </xf>
  </cellXfs>
  <cellStyles count="7">
    <cellStyle name="Bueno" xfId="3" builtinId="26"/>
    <cellStyle name="Millares [0]" xfId="1" builtinId="6"/>
    <cellStyle name="Moneda" xfId="2" builtinId="4"/>
    <cellStyle name="Normal" xfId="0" builtinId="0"/>
    <cellStyle name="Normal 2" xfId="6" xr:uid="{00000000-0005-0000-0000-000004000000}"/>
    <cellStyle name="Normal 3" xfId="5" xr:uid="{00000000-0005-0000-0000-000005000000}"/>
    <cellStyle name="Normal 6" xfId="4" xr:uid="{00000000-0005-0000-0000-000006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MUNICIPIOS\MUNICIPIOS\JENESANO\2018\SALUD%20PUBLICA\PLANTILLA%20PAS%202018%20JENESA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AI"/>
      <sheetName val="PLAN_ACCION_2018"/>
      <sheetName val="ADICION GESTION"/>
      <sheetName val="ADICION PIC"/>
      <sheetName val="pagos"/>
      <sheetName val="CODIGOS"/>
    </sheetNames>
    <sheetDataSet>
      <sheetData sheetId="0"/>
      <sheetData sheetId="1" refreshError="1"/>
      <sheetData sheetId="2" refreshError="1"/>
      <sheetData sheetId="3" refreshError="1"/>
      <sheetData sheetId="4" refreshError="1"/>
      <sheetData sheetId="5">
        <row r="4">
          <cell r="B4" t="str">
            <v>SALUD_AMBIENTAL</v>
          </cell>
        </row>
        <row r="5">
          <cell r="B5" t="str">
            <v>VIDA_SALUDABLE_Y_CONDICIONES_NO_TRANSMISIBLES</v>
          </cell>
        </row>
        <row r="6">
          <cell r="B6" t="str">
            <v>CONVIVENCIA_SOCIAL_Y_SALUD_MENTAL</v>
          </cell>
        </row>
        <row r="7">
          <cell r="B7" t="str">
            <v>SEGURIDAD_ALIMENTARIA_Y_NUTRICIONAL</v>
          </cell>
        </row>
        <row r="8">
          <cell r="B8" t="str">
            <v>SEXUALIDAD_DERECHOS_SEXUALES_Y_REPRODUCTIVOS</v>
          </cell>
        </row>
        <row r="9">
          <cell r="B9" t="str">
            <v>VIDA_SALUDABLE_Y_ENFERMEDADES_TRANSMISIBLES</v>
          </cell>
        </row>
        <row r="10">
          <cell r="B10" t="str">
            <v>SALUD_PÚBLICA_EN_EMERGENCIAS_Y_DESASTRES</v>
          </cell>
        </row>
        <row r="11">
          <cell r="B11" t="str">
            <v>SALUD_Y_ÁMBITO_LABORAL</v>
          </cell>
        </row>
        <row r="12">
          <cell r="B12" t="str">
            <v>GESTIÓN_DIFERENCIAL_DE_POBLACIONES_VULNERABLES</v>
          </cell>
        </row>
        <row r="13">
          <cell r="B13" t="str">
            <v>FORTALECIMIENTO_DE_LA_AUTORIDAD_SANITARIA_PARA_LA_GESTIÓN_EN_SALUD</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51"/>
  <sheetViews>
    <sheetView tabSelected="1" zoomScale="50" zoomScaleNormal="50" workbookViewId="0">
      <pane ySplit="1" topLeftCell="A15" activePane="bottomLeft" state="frozen"/>
      <selection activeCell="Z1" sqref="Z1"/>
      <selection pane="bottomLeft" activeCell="H16" sqref="H16"/>
    </sheetView>
  </sheetViews>
  <sheetFormatPr baseColWidth="10" defaultRowHeight="24.6" x14ac:dyDescent="0.45"/>
  <cols>
    <col min="1" max="1" width="13.6640625" style="41" customWidth="1"/>
    <col min="2" max="2" width="23.88671875" style="1" customWidth="1"/>
    <col min="3" max="3" width="26.44140625" style="1" customWidth="1"/>
    <col min="4" max="4" width="21.33203125" style="1" customWidth="1"/>
    <col min="5" max="5" width="83.44140625" style="101" customWidth="1"/>
    <col min="6" max="6" width="23.6640625" style="1" customWidth="1"/>
    <col min="7" max="7" width="43" style="1" customWidth="1"/>
    <col min="8" max="8" width="18.44140625" style="80" customWidth="1"/>
    <col min="9" max="9" width="11.109375" style="80" customWidth="1"/>
    <col min="10" max="10" width="9.109375" style="80" customWidth="1"/>
    <col min="11" max="11" width="9.88671875" style="80" customWidth="1"/>
    <col min="12" max="12" width="10.77734375" style="86" customWidth="1"/>
    <col min="13" max="13" width="26.21875" style="1" customWidth="1"/>
    <col min="14" max="14" width="38.88671875" style="1" customWidth="1"/>
    <col min="15" max="15" width="32.6640625" style="1" customWidth="1"/>
    <col min="16" max="16" width="57.109375" style="1" customWidth="1"/>
    <col min="17" max="17" width="74.6640625" style="1" customWidth="1"/>
    <col min="18" max="18" width="54.6640625" style="1" customWidth="1"/>
    <col min="19" max="19" width="46.77734375" style="1" customWidth="1"/>
    <col min="20" max="20" width="32.77734375" style="42" customWidth="1"/>
    <col min="21" max="21" width="39.44140625" style="1" customWidth="1"/>
    <col min="22" max="22" width="40.44140625" style="1" customWidth="1"/>
    <col min="23" max="23" width="38.77734375" style="1" customWidth="1"/>
    <col min="24" max="24" width="35.109375" style="1" customWidth="1"/>
    <col min="25" max="25" width="33.77734375" style="1" customWidth="1"/>
    <col min="26" max="26" width="36.6640625" style="1" customWidth="1"/>
    <col min="27" max="27" width="31.77734375" style="1" customWidth="1"/>
    <col min="28" max="28" width="36.5546875" style="1" customWidth="1"/>
    <col min="29" max="29" width="33.6640625" style="1" customWidth="1"/>
    <col min="30" max="30" width="32.44140625" style="1" customWidth="1"/>
    <col min="31" max="31" width="29.44140625" style="1" customWidth="1"/>
    <col min="32" max="32" width="33.21875" style="1" customWidth="1"/>
    <col min="33" max="33" width="31.6640625" style="1" customWidth="1"/>
    <col min="34" max="34" width="35.44140625" style="111" customWidth="1"/>
    <col min="35" max="16384" width="11.5546875" style="1"/>
  </cols>
  <sheetData>
    <row r="1" spans="1:34" s="29" customFormat="1" ht="30" customHeight="1" x14ac:dyDescent="0.4">
      <c r="A1" s="23"/>
      <c r="B1" s="24"/>
      <c r="C1" s="24"/>
      <c r="D1" s="25"/>
      <c r="E1" s="87"/>
      <c r="F1" s="24"/>
      <c r="G1" s="24"/>
      <c r="H1" s="72"/>
      <c r="I1" s="73"/>
      <c r="J1" s="73"/>
      <c r="K1" s="73"/>
      <c r="L1" s="81"/>
      <c r="M1" s="24"/>
      <c r="N1" s="24"/>
      <c r="O1" s="24"/>
      <c r="P1" s="24"/>
      <c r="Q1" s="24"/>
      <c r="R1" s="24"/>
      <c r="S1" s="24"/>
      <c r="T1" s="26"/>
      <c r="U1" s="27">
        <f>U3+U4+U6+U7+U8+U9+U10+U11+U12+U13+U14+U15+U16+U17+U18+U19+U20+U21+U22+U23+U25+U27+U28+U29+U30+U31+U32</f>
        <v>1120000</v>
      </c>
      <c r="V1" s="27">
        <f>V3+V4+V5+V6+V7+V8+V9+V10+V11+V12+V13+V14+V15+V16+V17+V18+V19+V20+V21+V22+V23+V24+V25+V26+V27+V28+V29+V30+V31+V32+V33+V34+V35+V36</f>
        <v>22470000</v>
      </c>
      <c r="W1" s="27">
        <f>W3+W4+W5+W6+W7+W8+W9+W10+W11+W12+W13+W14+W15+W16+W17+W18+W19+W20+W21+W22+W23+W24+W25+W26+W27+W28+W29+W30+W31+W32</f>
        <v>1368000</v>
      </c>
      <c r="X1" s="27">
        <f>X3+X4+X5+X6+X7+X8+X9+X10+X11+X12+X13+X14+X15+X16+X17+X18+X19+X20+X21+X22+X23+X24+X25+X26+X27+X28+X29+X30+X31+X32+X33+X34+X35+X36</f>
        <v>20650000</v>
      </c>
      <c r="Y1" s="27">
        <f>Y3+Y4+Y5+Y6+Y7+Y8+Y9+Y10+Y11+Y12+Y13+Y14+Y15+Y16+Y17+Y18+Y19+Y20+Y21+Y22+Y23+Y24+Y25+Y26+Y27+Y28+Y29+Y30+Y31+Y32</f>
        <v>1368000</v>
      </c>
      <c r="Z1" s="27">
        <f>Z3+Z4+Z5+Z6+Z7+Z8+Z9+Z10+Z11+Z12+Z13+Z14+Z15+Z16+Z17+Z18+Z19+Z20+Z21+Z22+Z23+Z24+Z25+Z26+Z27+Z28+Z29+Z30+Z31+Z32+Z33+Z34+Z35+Z36</f>
        <v>11430000</v>
      </c>
      <c r="AA1" s="27">
        <f t="shared" ref="AA1" si="0">AA3+AA4+AA5+AA6+AA7+AA8+AA9+AA10+AA11+AA12+AA13+AA14+AA15+AA16+AA17+AA18+AA19+AA20+AA21+AA22+AA23+AA24+AA25+AA26+AA27+AA28+AA29+AA30+AA31+AA32</f>
        <v>500000</v>
      </c>
      <c r="AB1" s="28">
        <v>58906000</v>
      </c>
      <c r="AC1" s="28">
        <v>3171000</v>
      </c>
      <c r="AD1" s="28">
        <v>17316026.399999999</v>
      </c>
      <c r="AE1" s="28">
        <v>8830000</v>
      </c>
      <c r="AF1" s="28">
        <v>88223026.400000006</v>
      </c>
      <c r="AG1" s="28">
        <v>11799413</v>
      </c>
      <c r="AH1" s="102">
        <f>AH3+AH4+AH5+AH6+AH7+AH8+AH9+AH10+AH11+AH12+AH13+AH14+AH15+AH16+AH17+AH18+AH19+AH20+AH21+AH22+AH23+AH24+AH25+AH26+AH27+AH28+AH29+AH30+AH31+AH32+AH33+AH34+AH35+AH36</f>
        <v>100022439.40000001</v>
      </c>
    </row>
    <row r="2" spans="1:34" s="35" customFormat="1" ht="85.8" customHeight="1" x14ac:dyDescent="0.3">
      <c r="A2" s="30" t="s">
        <v>0</v>
      </c>
      <c r="B2" s="31" t="s">
        <v>1</v>
      </c>
      <c r="C2" s="31" t="s">
        <v>2</v>
      </c>
      <c r="D2" s="31" t="s">
        <v>3</v>
      </c>
      <c r="E2" s="88" t="s">
        <v>4</v>
      </c>
      <c r="F2" s="31" t="s">
        <v>5</v>
      </c>
      <c r="G2" s="31" t="s">
        <v>6</v>
      </c>
      <c r="H2" s="31" t="s">
        <v>7</v>
      </c>
      <c r="I2" s="31" t="s">
        <v>8</v>
      </c>
      <c r="J2" s="31" t="s">
        <v>9</v>
      </c>
      <c r="K2" s="31" t="s">
        <v>10</v>
      </c>
      <c r="L2" s="82" t="s">
        <v>11</v>
      </c>
      <c r="M2" s="32" t="s">
        <v>12</v>
      </c>
      <c r="N2" s="31" t="s">
        <v>13</v>
      </c>
      <c r="O2" s="31" t="s">
        <v>14</v>
      </c>
      <c r="P2" s="31" t="s">
        <v>15</v>
      </c>
      <c r="Q2" s="33" t="s">
        <v>16</v>
      </c>
      <c r="R2" s="33" t="s">
        <v>17</v>
      </c>
      <c r="S2" s="31" t="s">
        <v>18</v>
      </c>
      <c r="T2" s="33" t="s">
        <v>19</v>
      </c>
      <c r="U2" s="34" t="s">
        <v>20</v>
      </c>
      <c r="V2" s="34" t="s">
        <v>21</v>
      </c>
      <c r="W2" s="34" t="s">
        <v>208</v>
      </c>
      <c r="X2" s="34" t="s">
        <v>23</v>
      </c>
      <c r="Y2" s="34" t="s">
        <v>22</v>
      </c>
      <c r="Z2" s="34" t="s">
        <v>24</v>
      </c>
      <c r="AA2" s="34" t="s">
        <v>25</v>
      </c>
      <c r="AB2" s="34" t="s">
        <v>26</v>
      </c>
      <c r="AC2" s="34" t="s">
        <v>27</v>
      </c>
      <c r="AD2" s="34" t="s">
        <v>28</v>
      </c>
      <c r="AE2" s="34" t="s">
        <v>263</v>
      </c>
      <c r="AF2" s="34" t="s">
        <v>29</v>
      </c>
      <c r="AG2" s="34" t="s">
        <v>30</v>
      </c>
      <c r="AH2" s="103" t="s">
        <v>31</v>
      </c>
    </row>
    <row r="3" spans="1:34" ht="106.8" customHeight="1" x14ac:dyDescent="0.3">
      <c r="A3" s="21">
        <v>1</v>
      </c>
      <c r="B3" s="4" t="s">
        <v>32</v>
      </c>
      <c r="C3" s="4" t="s">
        <v>33</v>
      </c>
      <c r="D3" s="6" t="s">
        <v>34</v>
      </c>
      <c r="E3" s="89" t="s">
        <v>227</v>
      </c>
      <c r="F3" s="7" t="s">
        <v>35</v>
      </c>
      <c r="G3" s="7" t="s">
        <v>36</v>
      </c>
      <c r="H3" s="74" t="s">
        <v>37</v>
      </c>
      <c r="I3" s="74">
        <v>9</v>
      </c>
      <c r="J3" s="74">
        <v>4</v>
      </c>
      <c r="K3" s="74">
        <v>5</v>
      </c>
      <c r="L3" s="83">
        <v>9</v>
      </c>
      <c r="M3" s="36" t="s">
        <v>38</v>
      </c>
      <c r="N3" s="7" t="s">
        <v>39</v>
      </c>
      <c r="O3" s="7" t="s">
        <v>40</v>
      </c>
      <c r="P3" s="7" t="s">
        <v>41</v>
      </c>
      <c r="Q3" s="7" t="s">
        <v>261</v>
      </c>
      <c r="R3" s="7" t="s">
        <v>42</v>
      </c>
      <c r="S3" s="9" t="s">
        <v>43</v>
      </c>
      <c r="T3" s="16" t="s">
        <v>44</v>
      </c>
      <c r="U3" s="53">
        <v>0</v>
      </c>
      <c r="V3" s="53">
        <f>220000*9</f>
        <v>1980000</v>
      </c>
      <c r="W3" s="53">
        <v>0</v>
      </c>
      <c r="X3" s="53">
        <v>0</v>
      </c>
      <c r="Y3" s="53">
        <v>0</v>
      </c>
      <c r="Z3" s="53">
        <v>0</v>
      </c>
      <c r="AA3" s="53">
        <v>0</v>
      </c>
      <c r="AB3" s="53">
        <f t="shared" ref="AB3:AB15" si="1">V3+X3+Z3+U3</f>
        <v>1980000</v>
      </c>
      <c r="AC3" s="54">
        <f>350000/2</f>
        <v>175000</v>
      </c>
      <c r="AD3" s="54">
        <v>0</v>
      </c>
      <c r="AE3" s="54">
        <v>0</v>
      </c>
      <c r="AF3" s="53">
        <f t="shared" ref="AF3:AF11" si="2">AB3+AC3+AD3+AE3</f>
        <v>2155000</v>
      </c>
      <c r="AG3" s="53">
        <f t="shared" ref="AG3:AG11" si="3">INT(AF3*13/100)</f>
        <v>280150</v>
      </c>
      <c r="AH3" s="104">
        <f>AF3+AG3</f>
        <v>2435150</v>
      </c>
    </row>
    <row r="4" spans="1:34" ht="138.6" customHeight="1" x14ac:dyDescent="0.3">
      <c r="A4" s="21">
        <v>2</v>
      </c>
      <c r="B4" s="4" t="s">
        <v>32</v>
      </c>
      <c r="C4" s="4" t="s">
        <v>33</v>
      </c>
      <c r="D4" s="6" t="s">
        <v>34</v>
      </c>
      <c r="E4" s="90" t="s">
        <v>228</v>
      </c>
      <c r="F4" s="7" t="s">
        <v>45</v>
      </c>
      <c r="G4" s="7" t="s">
        <v>46</v>
      </c>
      <c r="H4" s="74" t="s">
        <v>47</v>
      </c>
      <c r="I4" s="74">
        <v>2</v>
      </c>
      <c r="J4" s="74">
        <v>1</v>
      </c>
      <c r="K4" s="74">
        <v>1</v>
      </c>
      <c r="L4" s="83">
        <v>2</v>
      </c>
      <c r="M4" s="36" t="s">
        <v>38</v>
      </c>
      <c r="N4" s="7" t="s">
        <v>39</v>
      </c>
      <c r="O4" s="7" t="s">
        <v>48</v>
      </c>
      <c r="P4" s="7" t="s">
        <v>49</v>
      </c>
      <c r="Q4" s="7" t="s">
        <v>262</v>
      </c>
      <c r="R4" s="7" t="s">
        <v>50</v>
      </c>
      <c r="S4" s="9" t="s">
        <v>43</v>
      </c>
      <c r="T4" s="16" t="s">
        <v>44</v>
      </c>
      <c r="U4" s="53">
        <v>0</v>
      </c>
      <c r="V4" s="53">
        <f>200000*2</f>
        <v>400000</v>
      </c>
      <c r="W4" s="53">
        <v>0</v>
      </c>
      <c r="X4" s="53"/>
      <c r="Y4" s="53">
        <v>0</v>
      </c>
      <c r="Z4" s="53">
        <f>70000*2</f>
        <v>140000</v>
      </c>
      <c r="AA4" s="53">
        <v>0</v>
      </c>
      <c r="AB4" s="53">
        <f t="shared" si="1"/>
        <v>540000</v>
      </c>
      <c r="AC4" s="54">
        <v>100000</v>
      </c>
      <c r="AD4" s="54">
        <v>150000</v>
      </c>
      <c r="AE4" s="54">
        <v>0</v>
      </c>
      <c r="AF4" s="53">
        <f t="shared" si="2"/>
        <v>790000</v>
      </c>
      <c r="AG4" s="53">
        <f t="shared" si="3"/>
        <v>102700</v>
      </c>
      <c r="AH4" s="104">
        <f t="shared" ref="AH4:AH25" si="4">AF4+AG4</f>
        <v>892700</v>
      </c>
    </row>
    <row r="5" spans="1:34" ht="149.4" customHeight="1" x14ac:dyDescent="0.3">
      <c r="A5" s="21">
        <v>3</v>
      </c>
      <c r="B5" s="8" t="s">
        <v>51</v>
      </c>
      <c r="C5" s="4" t="s">
        <v>33</v>
      </c>
      <c r="D5" s="6" t="s">
        <v>34</v>
      </c>
      <c r="E5" s="91" t="s">
        <v>229</v>
      </c>
      <c r="F5" s="10" t="s">
        <v>45</v>
      </c>
      <c r="G5" s="10" t="s">
        <v>52</v>
      </c>
      <c r="H5" s="74" t="s">
        <v>53</v>
      </c>
      <c r="I5" s="75">
        <v>6</v>
      </c>
      <c r="J5" s="76">
        <v>3</v>
      </c>
      <c r="K5" s="75">
        <v>3</v>
      </c>
      <c r="L5" s="83">
        <v>6</v>
      </c>
      <c r="M5" s="36" t="s">
        <v>38</v>
      </c>
      <c r="N5" s="10" t="s">
        <v>54</v>
      </c>
      <c r="O5" s="10" t="s">
        <v>55</v>
      </c>
      <c r="P5" s="10" t="s">
        <v>56</v>
      </c>
      <c r="Q5" s="10" t="s">
        <v>57</v>
      </c>
      <c r="R5" s="9" t="s">
        <v>58</v>
      </c>
      <c r="S5" s="9" t="s">
        <v>43</v>
      </c>
      <c r="T5" s="16" t="s">
        <v>44</v>
      </c>
      <c r="U5" s="53">
        <v>0</v>
      </c>
      <c r="V5" s="53">
        <f>220000*6</f>
        <v>1320000</v>
      </c>
      <c r="W5" s="53">
        <v>0</v>
      </c>
      <c r="X5" s="53">
        <v>0</v>
      </c>
      <c r="Y5" s="53">
        <v>0</v>
      </c>
      <c r="Z5" s="53">
        <v>0</v>
      </c>
      <c r="AA5" s="53">
        <v>0</v>
      </c>
      <c r="AB5" s="53">
        <f t="shared" si="1"/>
        <v>1320000</v>
      </c>
      <c r="AC5" s="54">
        <v>180000</v>
      </c>
      <c r="AD5" s="54">
        <v>300000</v>
      </c>
      <c r="AE5" s="53">
        <f>Z5+AB5+AC5+AD5</f>
        <v>1800000</v>
      </c>
      <c r="AF5" s="53">
        <f t="shared" si="2"/>
        <v>3600000</v>
      </c>
      <c r="AG5" s="53">
        <f t="shared" si="3"/>
        <v>468000</v>
      </c>
      <c r="AH5" s="104">
        <f t="shared" si="4"/>
        <v>4068000</v>
      </c>
    </row>
    <row r="6" spans="1:34" ht="226.8" customHeight="1" x14ac:dyDescent="0.3">
      <c r="A6" s="21">
        <v>4</v>
      </c>
      <c r="B6" s="6" t="s">
        <v>51</v>
      </c>
      <c r="C6" s="4" t="s">
        <v>33</v>
      </c>
      <c r="D6" s="6" t="s">
        <v>34</v>
      </c>
      <c r="E6" s="91" t="s">
        <v>230</v>
      </c>
      <c r="F6" s="10" t="s">
        <v>59</v>
      </c>
      <c r="G6" s="10" t="s">
        <v>60</v>
      </c>
      <c r="H6" s="74"/>
      <c r="I6" s="75">
        <v>50</v>
      </c>
      <c r="J6" s="75">
        <v>30</v>
      </c>
      <c r="K6" s="75">
        <v>20</v>
      </c>
      <c r="L6" s="84">
        <v>50</v>
      </c>
      <c r="M6" s="36" t="s">
        <v>38</v>
      </c>
      <c r="N6" s="10" t="s">
        <v>61</v>
      </c>
      <c r="O6" s="8" t="s">
        <v>62</v>
      </c>
      <c r="P6" s="10" t="s">
        <v>63</v>
      </c>
      <c r="Q6" s="10" t="s">
        <v>64</v>
      </c>
      <c r="R6" s="9" t="s">
        <v>65</v>
      </c>
      <c r="S6" s="9" t="s">
        <v>43</v>
      </c>
      <c r="T6" s="16" t="s">
        <v>44</v>
      </c>
      <c r="U6" s="53">
        <v>0</v>
      </c>
      <c r="V6" s="53">
        <f>20000*60</f>
        <v>1200000</v>
      </c>
      <c r="W6" s="53">
        <v>0</v>
      </c>
      <c r="X6" s="53"/>
      <c r="Y6" s="53">
        <v>0</v>
      </c>
      <c r="Z6" s="53">
        <f>10000*60</f>
        <v>600000</v>
      </c>
      <c r="AA6" s="53">
        <v>0</v>
      </c>
      <c r="AB6" s="53">
        <f t="shared" si="1"/>
        <v>1800000</v>
      </c>
      <c r="AC6" s="54"/>
      <c r="AD6" s="54">
        <v>300000</v>
      </c>
      <c r="AE6" s="54">
        <v>0</v>
      </c>
      <c r="AF6" s="53">
        <f t="shared" si="2"/>
        <v>2100000</v>
      </c>
      <c r="AG6" s="53">
        <f t="shared" si="3"/>
        <v>273000</v>
      </c>
      <c r="AH6" s="104">
        <f t="shared" si="4"/>
        <v>2373000</v>
      </c>
    </row>
    <row r="7" spans="1:34" ht="107.4" customHeight="1" x14ac:dyDescent="0.3">
      <c r="A7" s="21">
        <v>5</v>
      </c>
      <c r="B7" s="6" t="s">
        <v>66</v>
      </c>
      <c r="C7" s="4" t="s">
        <v>33</v>
      </c>
      <c r="D7" s="6" t="s">
        <v>34</v>
      </c>
      <c r="E7" s="92" t="s">
        <v>231</v>
      </c>
      <c r="F7" s="9" t="s">
        <v>67</v>
      </c>
      <c r="G7" s="9" t="s">
        <v>68</v>
      </c>
      <c r="H7" s="74" t="s">
        <v>69</v>
      </c>
      <c r="I7" s="74">
        <v>20</v>
      </c>
      <c r="J7" s="74">
        <v>10</v>
      </c>
      <c r="K7" s="74">
        <v>10</v>
      </c>
      <c r="L7" s="83">
        <v>20</v>
      </c>
      <c r="M7" s="36" t="s">
        <v>70</v>
      </c>
      <c r="N7" s="8" t="s">
        <v>71</v>
      </c>
      <c r="O7" s="8" t="s">
        <v>72</v>
      </c>
      <c r="P7" s="8" t="s">
        <v>73</v>
      </c>
      <c r="Q7" s="9" t="s">
        <v>188</v>
      </c>
      <c r="R7" s="9" t="s">
        <v>75</v>
      </c>
      <c r="S7" s="9" t="s">
        <v>43</v>
      </c>
      <c r="T7" s="16" t="s">
        <v>44</v>
      </c>
      <c r="U7" s="53">
        <v>0</v>
      </c>
      <c r="V7" s="53">
        <v>0</v>
      </c>
      <c r="W7" s="53">
        <v>0</v>
      </c>
      <c r="X7" s="53">
        <f>30000*20</f>
        <v>600000</v>
      </c>
      <c r="Y7" s="53">
        <v>0</v>
      </c>
      <c r="Z7" s="53">
        <v>0</v>
      </c>
      <c r="AA7" s="53">
        <v>0</v>
      </c>
      <c r="AB7" s="53">
        <f t="shared" si="1"/>
        <v>600000</v>
      </c>
      <c r="AC7" s="54">
        <v>50000</v>
      </c>
      <c r="AD7" s="54">
        <v>150000</v>
      </c>
      <c r="AE7" s="54">
        <v>0</v>
      </c>
      <c r="AF7" s="53">
        <f t="shared" si="2"/>
        <v>800000</v>
      </c>
      <c r="AG7" s="53">
        <f t="shared" si="3"/>
        <v>104000</v>
      </c>
      <c r="AH7" s="104">
        <f t="shared" si="4"/>
        <v>904000</v>
      </c>
    </row>
    <row r="8" spans="1:34" ht="137.4" customHeight="1" x14ac:dyDescent="0.3">
      <c r="A8" s="21">
        <v>6</v>
      </c>
      <c r="B8" s="6" t="s">
        <v>66</v>
      </c>
      <c r="C8" s="4" t="s">
        <v>33</v>
      </c>
      <c r="D8" s="6" t="s">
        <v>34</v>
      </c>
      <c r="E8" s="93" t="s">
        <v>232</v>
      </c>
      <c r="F8" s="9" t="s">
        <v>67</v>
      </c>
      <c r="G8" s="8" t="s">
        <v>76</v>
      </c>
      <c r="H8" s="74" t="s">
        <v>77</v>
      </c>
      <c r="I8" s="74">
        <v>20</v>
      </c>
      <c r="J8" s="75">
        <v>10</v>
      </c>
      <c r="K8" s="75">
        <v>10</v>
      </c>
      <c r="L8" s="84">
        <v>20</v>
      </c>
      <c r="M8" s="36" t="s">
        <v>70</v>
      </c>
      <c r="N8" s="8" t="s">
        <v>71</v>
      </c>
      <c r="O8" s="8" t="s">
        <v>78</v>
      </c>
      <c r="P8" s="8" t="s">
        <v>79</v>
      </c>
      <c r="Q8" s="15" t="s">
        <v>74</v>
      </c>
      <c r="R8" s="11" t="s">
        <v>80</v>
      </c>
      <c r="S8" s="9" t="s">
        <v>43</v>
      </c>
      <c r="T8" s="16" t="s">
        <v>44</v>
      </c>
      <c r="U8" s="53">
        <v>0</v>
      </c>
      <c r="V8" s="53">
        <v>0</v>
      </c>
      <c r="W8" s="53">
        <v>0</v>
      </c>
      <c r="X8" s="53">
        <f>30000*20</f>
        <v>600000</v>
      </c>
      <c r="Y8" s="53">
        <v>0</v>
      </c>
      <c r="Z8" s="53">
        <v>0</v>
      </c>
      <c r="AA8" s="53">
        <v>0</v>
      </c>
      <c r="AB8" s="53">
        <f t="shared" si="1"/>
        <v>600000</v>
      </c>
      <c r="AC8" s="54">
        <v>50000</v>
      </c>
      <c r="AD8" s="54">
        <v>150000</v>
      </c>
      <c r="AE8" s="54">
        <v>0</v>
      </c>
      <c r="AF8" s="53">
        <f t="shared" si="2"/>
        <v>800000</v>
      </c>
      <c r="AG8" s="53">
        <f t="shared" si="3"/>
        <v>104000</v>
      </c>
      <c r="AH8" s="104">
        <f t="shared" si="4"/>
        <v>904000</v>
      </c>
    </row>
    <row r="9" spans="1:34" ht="149.4" customHeight="1" x14ac:dyDescent="0.3">
      <c r="A9" s="21">
        <v>7</v>
      </c>
      <c r="B9" s="6" t="s">
        <v>66</v>
      </c>
      <c r="C9" s="4" t="s">
        <v>33</v>
      </c>
      <c r="D9" s="6" t="s">
        <v>34</v>
      </c>
      <c r="E9" s="93" t="s">
        <v>233</v>
      </c>
      <c r="F9" s="9" t="s">
        <v>67</v>
      </c>
      <c r="G9" s="8" t="s">
        <v>76</v>
      </c>
      <c r="H9" s="74" t="s">
        <v>77</v>
      </c>
      <c r="I9" s="74">
        <v>20</v>
      </c>
      <c r="J9" s="75">
        <v>10</v>
      </c>
      <c r="K9" s="75">
        <v>10</v>
      </c>
      <c r="L9" s="84">
        <v>20</v>
      </c>
      <c r="M9" s="36" t="s">
        <v>70</v>
      </c>
      <c r="N9" s="8" t="s">
        <v>71</v>
      </c>
      <c r="O9" s="8" t="s">
        <v>78</v>
      </c>
      <c r="P9" s="8" t="s">
        <v>81</v>
      </c>
      <c r="Q9" s="15" t="s">
        <v>74</v>
      </c>
      <c r="R9" s="11" t="s">
        <v>82</v>
      </c>
      <c r="S9" s="9" t="s">
        <v>43</v>
      </c>
      <c r="T9" s="16" t="s">
        <v>44</v>
      </c>
      <c r="U9" s="53">
        <v>0</v>
      </c>
      <c r="V9" s="53">
        <v>0</v>
      </c>
      <c r="W9" s="53">
        <v>0</v>
      </c>
      <c r="X9" s="53">
        <f>30000*20</f>
        <v>600000</v>
      </c>
      <c r="Y9" s="53">
        <v>0</v>
      </c>
      <c r="Z9" s="53">
        <v>0</v>
      </c>
      <c r="AA9" s="53">
        <v>0</v>
      </c>
      <c r="AB9" s="53">
        <f t="shared" si="1"/>
        <v>600000</v>
      </c>
      <c r="AC9" s="54">
        <v>50000</v>
      </c>
      <c r="AD9" s="54">
        <v>150000</v>
      </c>
      <c r="AE9" s="54">
        <v>0</v>
      </c>
      <c r="AF9" s="53">
        <f t="shared" si="2"/>
        <v>800000</v>
      </c>
      <c r="AG9" s="53">
        <f t="shared" si="3"/>
        <v>104000</v>
      </c>
      <c r="AH9" s="104">
        <f t="shared" si="4"/>
        <v>904000</v>
      </c>
    </row>
    <row r="10" spans="1:34" ht="109.2" customHeight="1" x14ac:dyDescent="0.3">
      <c r="A10" s="21">
        <v>8</v>
      </c>
      <c r="B10" s="6" t="s">
        <v>66</v>
      </c>
      <c r="C10" s="4" t="s">
        <v>33</v>
      </c>
      <c r="D10" s="6" t="s">
        <v>34</v>
      </c>
      <c r="E10" s="94" t="s">
        <v>234</v>
      </c>
      <c r="F10" s="8" t="s">
        <v>83</v>
      </c>
      <c r="G10" s="8" t="s">
        <v>84</v>
      </c>
      <c r="H10" s="74" t="s">
        <v>53</v>
      </c>
      <c r="I10" s="74">
        <v>2</v>
      </c>
      <c r="J10" s="75">
        <v>1</v>
      </c>
      <c r="K10" s="75">
        <v>1</v>
      </c>
      <c r="L10" s="84">
        <v>2</v>
      </c>
      <c r="M10" s="36" t="s">
        <v>70</v>
      </c>
      <c r="N10" s="8" t="s">
        <v>85</v>
      </c>
      <c r="O10" s="8" t="s">
        <v>86</v>
      </c>
      <c r="P10" s="8" t="s">
        <v>87</v>
      </c>
      <c r="Q10" s="11" t="s">
        <v>88</v>
      </c>
      <c r="R10" s="11" t="s">
        <v>89</v>
      </c>
      <c r="S10" s="9" t="s">
        <v>43</v>
      </c>
      <c r="T10" s="16" t="s">
        <v>44</v>
      </c>
      <c r="U10" s="53">
        <v>0</v>
      </c>
      <c r="V10" s="53">
        <v>0</v>
      </c>
      <c r="W10" s="53">
        <v>0</v>
      </c>
      <c r="X10" s="53">
        <f>180000*2</f>
        <v>360000</v>
      </c>
      <c r="Y10" s="53">
        <v>0</v>
      </c>
      <c r="Z10" s="53">
        <v>0</v>
      </c>
      <c r="AA10" s="53">
        <v>0</v>
      </c>
      <c r="AB10" s="53">
        <f t="shared" si="1"/>
        <v>360000</v>
      </c>
      <c r="AC10" s="54">
        <f>8000*I10</f>
        <v>16000</v>
      </c>
      <c r="AD10" s="54">
        <v>0</v>
      </c>
      <c r="AE10" s="54">
        <v>0</v>
      </c>
      <c r="AF10" s="53">
        <f t="shared" si="2"/>
        <v>376000</v>
      </c>
      <c r="AG10" s="53">
        <f t="shared" si="3"/>
        <v>48880</v>
      </c>
      <c r="AH10" s="104">
        <f t="shared" si="4"/>
        <v>424880</v>
      </c>
    </row>
    <row r="11" spans="1:34" ht="124.2" customHeight="1" x14ac:dyDescent="0.3">
      <c r="A11" s="21">
        <v>9</v>
      </c>
      <c r="B11" s="6" t="s">
        <v>66</v>
      </c>
      <c r="C11" s="4" t="s">
        <v>33</v>
      </c>
      <c r="D11" s="6" t="s">
        <v>34</v>
      </c>
      <c r="E11" s="94" t="s">
        <v>235</v>
      </c>
      <c r="F11" s="8" t="s">
        <v>90</v>
      </c>
      <c r="G11" s="8" t="s">
        <v>91</v>
      </c>
      <c r="H11" s="74" t="s">
        <v>92</v>
      </c>
      <c r="I11" s="74">
        <v>10</v>
      </c>
      <c r="J11" s="75">
        <v>5</v>
      </c>
      <c r="K11" s="75">
        <v>5</v>
      </c>
      <c r="L11" s="84">
        <v>10</v>
      </c>
      <c r="M11" s="8" t="s">
        <v>93</v>
      </c>
      <c r="N11" s="5"/>
      <c r="O11" s="8" t="s">
        <v>94</v>
      </c>
      <c r="P11" s="8" t="s">
        <v>95</v>
      </c>
      <c r="Q11" s="11" t="s">
        <v>96</v>
      </c>
      <c r="R11" s="11" t="s">
        <v>97</v>
      </c>
      <c r="S11" s="9" t="s">
        <v>43</v>
      </c>
      <c r="T11" s="16" t="s">
        <v>44</v>
      </c>
      <c r="U11" s="53">
        <v>0</v>
      </c>
      <c r="V11" s="55">
        <v>0</v>
      </c>
      <c r="W11" s="53">
        <v>0</v>
      </c>
      <c r="X11" s="55">
        <v>400000</v>
      </c>
      <c r="Y11" s="53">
        <v>0</v>
      </c>
      <c r="Z11" s="55">
        <v>0</v>
      </c>
      <c r="AA11" s="53">
        <v>0</v>
      </c>
      <c r="AB11" s="53">
        <f t="shared" si="1"/>
        <v>400000</v>
      </c>
      <c r="AC11" s="54">
        <v>0</v>
      </c>
      <c r="AD11" s="54">
        <v>150000</v>
      </c>
      <c r="AE11" s="54">
        <f>15000*20</f>
        <v>300000</v>
      </c>
      <c r="AF11" s="53">
        <f t="shared" si="2"/>
        <v>850000</v>
      </c>
      <c r="AG11" s="53">
        <f t="shared" si="3"/>
        <v>110500</v>
      </c>
      <c r="AH11" s="104">
        <f t="shared" si="4"/>
        <v>960500</v>
      </c>
    </row>
    <row r="12" spans="1:34" ht="210" customHeight="1" x14ac:dyDescent="0.3">
      <c r="A12" s="21">
        <v>10</v>
      </c>
      <c r="B12" s="4" t="s">
        <v>98</v>
      </c>
      <c r="C12" s="4" t="s">
        <v>33</v>
      </c>
      <c r="D12" s="37" t="s">
        <v>34</v>
      </c>
      <c r="E12" s="95" t="s">
        <v>236</v>
      </c>
      <c r="F12" s="7" t="s">
        <v>99</v>
      </c>
      <c r="G12" s="7" t="s">
        <v>100</v>
      </c>
      <c r="H12" s="74" t="s">
        <v>101</v>
      </c>
      <c r="I12" s="74">
        <v>5</v>
      </c>
      <c r="J12" s="75">
        <v>3</v>
      </c>
      <c r="K12" s="75">
        <v>2</v>
      </c>
      <c r="L12" s="84">
        <v>5</v>
      </c>
      <c r="M12" s="36" t="s">
        <v>38</v>
      </c>
      <c r="N12" s="13" t="s">
        <v>102</v>
      </c>
      <c r="O12" s="7" t="s">
        <v>103</v>
      </c>
      <c r="P12" s="7" t="s">
        <v>104</v>
      </c>
      <c r="Q12" s="7" t="s">
        <v>105</v>
      </c>
      <c r="R12" s="7" t="s">
        <v>106</v>
      </c>
      <c r="S12" s="9" t="s">
        <v>43</v>
      </c>
      <c r="T12" s="16" t="s">
        <v>44</v>
      </c>
      <c r="U12" s="56"/>
      <c r="V12" s="53">
        <v>0</v>
      </c>
      <c r="W12" s="53">
        <v>0</v>
      </c>
      <c r="X12" s="53">
        <f>180000*I12</f>
        <v>900000</v>
      </c>
      <c r="Y12" s="53">
        <v>0</v>
      </c>
      <c r="Z12" s="53">
        <f>70000*I12</f>
        <v>350000</v>
      </c>
      <c r="AA12" s="53">
        <v>0</v>
      </c>
      <c r="AB12" s="53">
        <f t="shared" si="1"/>
        <v>1250000</v>
      </c>
      <c r="AC12" s="54">
        <f>20000*I12</f>
        <v>100000</v>
      </c>
      <c r="AD12" s="54">
        <v>0</v>
      </c>
      <c r="AE12" s="53">
        <v>0</v>
      </c>
      <c r="AF12" s="53">
        <f>AB12+AC12+AD12+AE12</f>
        <v>1350000</v>
      </c>
      <c r="AG12" s="53">
        <f>INT(AF12*13/100)</f>
        <v>175500</v>
      </c>
      <c r="AH12" s="104">
        <f t="shared" si="4"/>
        <v>1525500</v>
      </c>
    </row>
    <row r="13" spans="1:34" ht="223.8" customHeight="1" x14ac:dyDescent="0.3">
      <c r="A13" s="21">
        <v>11</v>
      </c>
      <c r="B13" s="6" t="s">
        <v>66</v>
      </c>
      <c r="C13" s="4" t="s">
        <v>33</v>
      </c>
      <c r="D13" s="6" t="s">
        <v>34</v>
      </c>
      <c r="E13" s="96" t="s">
        <v>237</v>
      </c>
      <c r="F13" s="8" t="s">
        <v>107</v>
      </c>
      <c r="G13" s="38" t="s">
        <v>108</v>
      </c>
      <c r="H13" s="77" t="s">
        <v>109</v>
      </c>
      <c r="I13" s="77">
        <v>4</v>
      </c>
      <c r="J13" s="78">
        <v>2</v>
      </c>
      <c r="K13" s="78">
        <v>2</v>
      </c>
      <c r="L13" s="85">
        <v>4</v>
      </c>
      <c r="M13" s="36" t="s">
        <v>38</v>
      </c>
      <c r="N13" s="8" t="s">
        <v>71</v>
      </c>
      <c r="O13" s="8" t="s">
        <v>110</v>
      </c>
      <c r="P13" s="12" t="s">
        <v>111</v>
      </c>
      <c r="Q13" s="12" t="s">
        <v>112</v>
      </c>
      <c r="R13" s="8" t="s">
        <v>113</v>
      </c>
      <c r="S13" s="9" t="s">
        <v>43</v>
      </c>
      <c r="T13" s="16" t="s">
        <v>44</v>
      </c>
      <c r="U13" s="56"/>
      <c r="V13" s="57">
        <f>250000*4</f>
        <v>1000000</v>
      </c>
      <c r="W13" s="58">
        <v>0</v>
      </c>
      <c r="X13" s="57">
        <f>180000*4</f>
        <v>720000</v>
      </c>
      <c r="Y13" s="58">
        <v>0</v>
      </c>
      <c r="Z13" s="58">
        <f>70000*4</f>
        <v>280000</v>
      </c>
      <c r="AA13" s="58">
        <v>0</v>
      </c>
      <c r="AB13" s="58">
        <f t="shared" si="1"/>
        <v>2000000</v>
      </c>
      <c r="AC13" s="59">
        <v>160000</v>
      </c>
      <c r="AD13" s="59">
        <f>500000*2</f>
        <v>1000000</v>
      </c>
      <c r="AE13" s="58">
        <f>150000*4</f>
        <v>600000</v>
      </c>
      <c r="AF13" s="58">
        <f t="shared" ref="AF13:AF25" si="5">AB13+AC13+AD13+AE13</f>
        <v>3760000</v>
      </c>
      <c r="AG13" s="58">
        <f>INT(AF13*13/100)</f>
        <v>488800</v>
      </c>
      <c r="AH13" s="104">
        <f t="shared" si="4"/>
        <v>4248800</v>
      </c>
    </row>
    <row r="14" spans="1:34" ht="126.6" customHeight="1" x14ac:dyDescent="0.3">
      <c r="A14" s="21">
        <v>12</v>
      </c>
      <c r="B14" s="4" t="s">
        <v>114</v>
      </c>
      <c r="C14" s="4" t="s">
        <v>33</v>
      </c>
      <c r="D14" s="37" t="s">
        <v>34</v>
      </c>
      <c r="E14" s="90" t="s">
        <v>238</v>
      </c>
      <c r="F14" s="7" t="s">
        <v>115</v>
      </c>
      <c r="G14" s="7" t="s">
        <v>116</v>
      </c>
      <c r="H14" s="74" t="s">
        <v>117</v>
      </c>
      <c r="I14" s="75">
        <v>30</v>
      </c>
      <c r="J14" s="75">
        <v>20</v>
      </c>
      <c r="K14" s="75">
        <v>10</v>
      </c>
      <c r="L14" s="84">
        <v>30</v>
      </c>
      <c r="M14" s="5"/>
      <c r="N14" s="39" t="s">
        <v>118</v>
      </c>
      <c r="O14" s="7" t="s">
        <v>119</v>
      </c>
      <c r="P14" s="7" t="s">
        <v>120</v>
      </c>
      <c r="Q14" s="7" t="s">
        <v>121</v>
      </c>
      <c r="R14" s="7" t="s">
        <v>122</v>
      </c>
      <c r="S14" s="9" t="s">
        <v>43</v>
      </c>
      <c r="T14" s="16" t="s">
        <v>44</v>
      </c>
      <c r="U14" s="56"/>
      <c r="V14" s="53">
        <f>50000*30</f>
        <v>1500000</v>
      </c>
      <c r="W14" s="53">
        <v>0</v>
      </c>
      <c r="X14" s="53">
        <v>0</v>
      </c>
      <c r="Y14" s="53">
        <v>0</v>
      </c>
      <c r="Z14" s="53">
        <f>25000*30</f>
        <v>750000</v>
      </c>
      <c r="AA14" s="53">
        <v>0</v>
      </c>
      <c r="AB14" s="53">
        <f t="shared" si="1"/>
        <v>2250000</v>
      </c>
      <c r="AC14" s="54">
        <v>150000</v>
      </c>
      <c r="AD14" s="54">
        <f>30000*30</f>
        <v>900000</v>
      </c>
      <c r="AE14" s="53">
        <v>0</v>
      </c>
      <c r="AF14" s="53">
        <f t="shared" si="5"/>
        <v>3300000</v>
      </c>
      <c r="AG14" s="53">
        <f>INT(AF14*13/100)</f>
        <v>429000</v>
      </c>
      <c r="AH14" s="104">
        <f t="shared" si="4"/>
        <v>3729000</v>
      </c>
    </row>
    <row r="15" spans="1:34" ht="309" customHeight="1" x14ac:dyDescent="0.3">
      <c r="A15" s="21">
        <v>13</v>
      </c>
      <c r="B15" s="6" t="s">
        <v>66</v>
      </c>
      <c r="C15" s="4" t="s">
        <v>33</v>
      </c>
      <c r="D15" s="6" t="s">
        <v>34</v>
      </c>
      <c r="E15" s="94" t="s">
        <v>239</v>
      </c>
      <c r="F15" s="8" t="s">
        <v>123</v>
      </c>
      <c r="G15" s="8" t="s">
        <v>124</v>
      </c>
      <c r="H15" s="74" t="s">
        <v>125</v>
      </c>
      <c r="I15" s="74">
        <v>2</v>
      </c>
      <c r="J15" s="75">
        <v>1</v>
      </c>
      <c r="K15" s="75">
        <v>1</v>
      </c>
      <c r="L15" s="84">
        <v>2</v>
      </c>
      <c r="M15" s="5"/>
      <c r="N15" s="8" t="s">
        <v>71</v>
      </c>
      <c r="O15" s="8" t="s">
        <v>126</v>
      </c>
      <c r="P15" s="8" t="s">
        <v>127</v>
      </c>
      <c r="Q15" s="15" t="s">
        <v>128</v>
      </c>
      <c r="R15" s="11" t="s">
        <v>129</v>
      </c>
      <c r="S15" s="9" t="s">
        <v>43</v>
      </c>
      <c r="T15" s="16" t="s">
        <v>44</v>
      </c>
      <c r="U15" s="56"/>
      <c r="V15" s="53">
        <f>550000*1</f>
        <v>550000</v>
      </c>
      <c r="W15" s="53">
        <v>0</v>
      </c>
      <c r="X15" s="53">
        <f>550000*1</f>
        <v>550000</v>
      </c>
      <c r="Y15" s="53">
        <v>0</v>
      </c>
      <c r="Z15" s="53">
        <f>100000*1</f>
        <v>100000</v>
      </c>
      <c r="AA15" s="53">
        <v>0</v>
      </c>
      <c r="AB15" s="53">
        <f t="shared" si="1"/>
        <v>1200000</v>
      </c>
      <c r="AC15" s="54">
        <v>100000</v>
      </c>
      <c r="AD15" s="54">
        <v>0</v>
      </c>
      <c r="AE15" s="54">
        <v>0</v>
      </c>
      <c r="AF15" s="53">
        <f t="shared" si="5"/>
        <v>1300000</v>
      </c>
      <c r="AG15" s="53">
        <f>INT(AF15*13/100)</f>
        <v>169000</v>
      </c>
      <c r="AH15" s="104">
        <f t="shared" si="4"/>
        <v>1469000</v>
      </c>
    </row>
    <row r="16" spans="1:34" ht="347.4" customHeight="1" x14ac:dyDescent="0.3">
      <c r="A16" s="21">
        <v>14</v>
      </c>
      <c r="B16" s="4" t="s">
        <v>98</v>
      </c>
      <c r="C16" s="4" t="s">
        <v>33</v>
      </c>
      <c r="D16" s="37" t="s">
        <v>34</v>
      </c>
      <c r="E16" s="97" t="s">
        <v>240</v>
      </c>
      <c r="F16" s="7" t="s">
        <v>115</v>
      </c>
      <c r="G16" s="7" t="s">
        <v>190</v>
      </c>
      <c r="H16" s="74" t="s">
        <v>130</v>
      </c>
      <c r="I16" s="123">
        <v>132</v>
      </c>
      <c r="J16" s="75">
        <v>66</v>
      </c>
      <c r="K16" s="75">
        <v>66</v>
      </c>
      <c r="L16" s="84">
        <v>132</v>
      </c>
      <c r="M16" s="5"/>
      <c r="N16" s="13"/>
      <c r="O16" s="7" t="s">
        <v>131</v>
      </c>
      <c r="P16" s="7"/>
      <c r="Q16" s="7" t="s">
        <v>189</v>
      </c>
      <c r="R16" s="7" t="s">
        <v>132</v>
      </c>
      <c r="S16" s="9" t="s">
        <v>43</v>
      </c>
      <c r="T16" s="16" t="s">
        <v>44</v>
      </c>
      <c r="U16" s="56"/>
      <c r="V16" s="60">
        <f>35000*132</f>
        <v>4620000</v>
      </c>
      <c r="W16" s="53">
        <f>112000*9</f>
        <v>1008000</v>
      </c>
      <c r="X16" s="60">
        <f>35000*132</f>
        <v>4620000</v>
      </c>
      <c r="Y16" s="53">
        <f>112000*9</f>
        <v>1008000</v>
      </c>
      <c r="Z16" s="60">
        <f>30000*132</f>
        <v>3960000</v>
      </c>
      <c r="AA16" s="53">
        <f>60000*6</f>
        <v>360000</v>
      </c>
      <c r="AB16" s="53">
        <f>V16+X16+W16+Z16+Y16+U16+AA16</f>
        <v>15576000</v>
      </c>
      <c r="AC16" s="54"/>
      <c r="AD16" s="54">
        <v>9606018.4000000004</v>
      </c>
      <c r="AE16" s="53">
        <v>0</v>
      </c>
      <c r="AF16" s="53">
        <f t="shared" si="5"/>
        <v>25182018.399999999</v>
      </c>
      <c r="AG16" s="53">
        <f>INT(AF16*14/100)</f>
        <v>3525482</v>
      </c>
      <c r="AH16" s="104">
        <f t="shared" si="4"/>
        <v>28707500.399999999</v>
      </c>
    </row>
    <row r="17" spans="1:34" ht="282.60000000000002" customHeight="1" x14ac:dyDescent="0.3">
      <c r="A17" s="21">
        <v>15</v>
      </c>
      <c r="B17" s="4" t="s">
        <v>98</v>
      </c>
      <c r="C17" s="4" t="s">
        <v>33</v>
      </c>
      <c r="D17" s="37" t="s">
        <v>34</v>
      </c>
      <c r="E17" s="97" t="s">
        <v>241</v>
      </c>
      <c r="F17" s="7" t="s">
        <v>115</v>
      </c>
      <c r="G17" s="7" t="s">
        <v>190</v>
      </c>
      <c r="H17" s="74" t="s">
        <v>130</v>
      </c>
      <c r="I17" s="74">
        <v>80</v>
      </c>
      <c r="J17" s="75">
        <v>40</v>
      </c>
      <c r="K17" s="75">
        <v>40</v>
      </c>
      <c r="L17" s="84">
        <v>80</v>
      </c>
      <c r="M17" s="5"/>
      <c r="N17" s="13"/>
      <c r="O17" s="7" t="s">
        <v>131</v>
      </c>
      <c r="P17" s="7"/>
      <c r="Q17" s="7" t="s">
        <v>189</v>
      </c>
      <c r="R17" s="7" t="s">
        <v>132</v>
      </c>
      <c r="S17" s="9" t="s">
        <v>43</v>
      </c>
      <c r="T17" s="16" t="s">
        <v>44</v>
      </c>
      <c r="U17" s="56"/>
      <c r="V17" s="60">
        <f>35000*40</f>
        <v>1400000</v>
      </c>
      <c r="W17" s="53">
        <f>120000*3</f>
        <v>360000</v>
      </c>
      <c r="X17" s="60">
        <f>35000*40</f>
        <v>1400000</v>
      </c>
      <c r="Y17" s="53">
        <f>120000*3</f>
        <v>360000</v>
      </c>
      <c r="Z17" s="60">
        <f>15000*80</f>
        <v>1200000</v>
      </c>
      <c r="AA17" s="53">
        <f>70000*2</f>
        <v>140000</v>
      </c>
      <c r="AB17" s="53">
        <f>V17+X17+W17+Z17+Y17+U17+AA17</f>
        <v>4860000</v>
      </c>
      <c r="AC17" s="54"/>
      <c r="AD17" s="54">
        <v>3000008</v>
      </c>
      <c r="AE17" s="53">
        <v>0</v>
      </c>
      <c r="AF17" s="53">
        <f t="shared" si="5"/>
        <v>7860008</v>
      </c>
      <c r="AG17" s="53">
        <f>INT(AF17*14/100)</f>
        <v>1100401</v>
      </c>
      <c r="AH17" s="104">
        <f t="shared" si="4"/>
        <v>8960409</v>
      </c>
    </row>
    <row r="18" spans="1:34" ht="235.2" customHeight="1" x14ac:dyDescent="0.3">
      <c r="A18" s="21">
        <v>16</v>
      </c>
      <c r="B18" s="40" t="s">
        <v>114</v>
      </c>
      <c r="C18" s="40" t="s">
        <v>33</v>
      </c>
      <c r="D18" s="37" t="s">
        <v>34</v>
      </c>
      <c r="E18" s="95" t="s">
        <v>242</v>
      </c>
      <c r="F18" s="13" t="s">
        <v>45</v>
      </c>
      <c r="G18" s="13" t="s">
        <v>133</v>
      </c>
      <c r="H18" s="74" t="s">
        <v>134</v>
      </c>
      <c r="I18" s="74">
        <v>6</v>
      </c>
      <c r="J18" s="75">
        <v>3</v>
      </c>
      <c r="K18" s="75">
        <v>3</v>
      </c>
      <c r="L18" s="84">
        <v>6</v>
      </c>
      <c r="M18" s="5"/>
      <c r="N18" s="13" t="s">
        <v>135</v>
      </c>
      <c r="O18" s="13" t="s">
        <v>136</v>
      </c>
      <c r="P18" s="13" t="s">
        <v>137</v>
      </c>
      <c r="Q18" s="13" t="s">
        <v>138</v>
      </c>
      <c r="R18" s="13" t="s">
        <v>139</v>
      </c>
      <c r="S18" s="9" t="s">
        <v>43</v>
      </c>
      <c r="T18" s="16" t="s">
        <v>44</v>
      </c>
      <c r="U18" s="56"/>
      <c r="V18" s="53">
        <f>180000*I18</f>
        <v>1080000</v>
      </c>
      <c r="W18" s="53">
        <v>0</v>
      </c>
      <c r="X18" s="53">
        <v>0</v>
      </c>
      <c r="Y18" s="53">
        <v>0</v>
      </c>
      <c r="Z18" s="53">
        <f>100000*10</f>
        <v>1000000</v>
      </c>
      <c r="AA18" s="53">
        <v>0</v>
      </c>
      <c r="AB18" s="53">
        <f>V18+X18+Z18</f>
        <v>2080000</v>
      </c>
      <c r="AC18" s="54">
        <f>40000*10</f>
        <v>400000</v>
      </c>
      <c r="AD18" s="54">
        <v>150000</v>
      </c>
      <c r="AE18" s="53">
        <f>+(350000*4)+(30000*6)</f>
        <v>1580000</v>
      </c>
      <c r="AF18" s="53">
        <f t="shared" si="5"/>
        <v>4210000</v>
      </c>
      <c r="AG18" s="53">
        <f>INT(AF18*13/100)</f>
        <v>547300</v>
      </c>
      <c r="AH18" s="104">
        <f t="shared" si="4"/>
        <v>4757300</v>
      </c>
    </row>
    <row r="19" spans="1:34" ht="194.4" customHeight="1" x14ac:dyDescent="0.3">
      <c r="A19" s="21">
        <v>17</v>
      </c>
      <c r="B19" s="4" t="s">
        <v>114</v>
      </c>
      <c r="C19" s="4" t="s">
        <v>33</v>
      </c>
      <c r="D19" s="6" t="s">
        <v>34</v>
      </c>
      <c r="E19" s="90" t="s">
        <v>243</v>
      </c>
      <c r="F19" s="7" t="s">
        <v>45</v>
      </c>
      <c r="G19" s="7" t="s">
        <v>45</v>
      </c>
      <c r="H19" s="74" t="s">
        <v>140</v>
      </c>
      <c r="I19" s="75">
        <v>2</v>
      </c>
      <c r="J19" s="75">
        <v>1</v>
      </c>
      <c r="K19" s="75">
        <v>1</v>
      </c>
      <c r="L19" s="84">
        <v>2</v>
      </c>
      <c r="M19" s="5"/>
      <c r="N19" s="7" t="s">
        <v>141</v>
      </c>
      <c r="O19" s="7" t="s">
        <v>192</v>
      </c>
      <c r="P19" s="7" t="s">
        <v>182</v>
      </c>
      <c r="Q19" s="7" t="s">
        <v>191</v>
      </c>
      <c r="R19" s="7" t="s">
        <v>147</v>
      </c>
      <c r="S19" s="9" t="s">
        <v>43</v>
      </c>
      <c r="T19" s="16" t="s">
        <v>44</v>
      </c>
      <c r="U19" s="60">
        <v>0</v>
      </c>
      <c r="V19" s="53">
        <f>290000*I19</f>
        <v>580000</v>
      </c>
      <c r="W19" s="53">
        <v>0</v>
      </c>
      <c r="X19" s="53">
        <v>0</v>
      </c>
      <c r="Y19" s="53">
        <v>0</v>
      </c>
      <c r="Z19" s="53">
        <f>100000*I19</f>
        <v>200000</v>
      </c>
      <c r="AA19" s="53">
        <v>0</v>
      </c>
      <c r="AB19" s="53">
        <f>V19+X19+Z19+U19</f>
        <v>780000</v>
      </c>
      <c r="AC19" s="54">
        <f>80000*4</f>
        <v>320000</v>
      </c>
      <c r="AD19" s="54">
        <v>0</v>
      </c>
      <c r="AE19" s="53">
        <f>1200000*1</f>
        <v>1200000</v>
      </c>
      <c r="AF19" s="53">
        <f t="shared" si="5"/>
        <v>2300000</v>
      </c>
      <c r="AG19" s="53">
        <f>INT(AF19*13/100)</f>
        <v>299000</v>
      </c>
      <c r="AH19" s="104">
        <f>AF19+AG19</f>
        <v>2599000</v>
      </c>
    </row>
    <row r="20" spans="1:34" s="3" customFormat="1" ht="230.4" customHeight="1" x14ac:dyDescent="0.55000000000000004">
      <c r="A20" s="21">
        <v>18</v>
      </c>
      <c r="B20" s="4" t="s">
        <v>114</v>
      </c>
      <c r="C20" s="4" t="s">
        <v>33</v>
      </c>
      <c r="D20" s="6" t="s">
        <v>34</v>
      </c>
      <c r="E20" s="90" t="s">
        <v>244</v>
      </c>
      <c r="F20" s="7" t="s">
        <v>142</v>
      </c>
      <c r="G20" s="7" t="s">
        <v>143</v>
      </c>
      <c r="H20" s="74" t="s">
        <v>47</v>
      </c>
      <c r="I20" s="75">
        <v>2</v>
      </c>
      <c r="J20" s="75">
        <v>1</v>
      </c>
      <c r="K20" s="75">
        <v>1</v>
      </c>
      <c r="L20" s="84">
        <v>2</v>
      </c>
      <c r="M20" s="5"/>
      <c r="N20" s="7" t="s">
        <v>141</v>
      </c>
      <c r="O20" s="7" t="s">
        <v>144</v>
      </c>
      <c r="P20" s="7" t="s">
        <v>145</v>
      </c>
      <c r="Q20" s="7" t="s">
        <v>146</v>
      </c>
      <c r="R20" s="7" t="s">
        <v>147</v>
      </c>
      <c r="S20" s="9" t="s">
        <v>43</v>
      </c>
      <c r="T20" s="16" t="s">
        <v>44</v>
      </c>
      <c r="U20" s="60">
        <v>0</v>
      </c>
      <c r="V20" s="53">
        <f>250000*I20</f>
        <v>500000</v>
      </c>
      <c r="W20" s="53">
        <v>0</v>
      </c>
      <c r="X20" s="53">
        <v>0</v>
      </c>
      <c r="Y20" s="53">
        <v>0</v>
      </c>
      <c r="Z20" s="53">
        <f>100000*I20</f>
        <v>200000</v>
      </c>
      <c r="AA20" s="53">
        <v>0</v>
      </c>
      <c r="AB20" s="53">
        <f>V20+X20+Z20+U20</f>
        <v>700000</v>
      </c>
      <c r="AC20" s="54">
        <f>80000*1</f>
        <v>80000</v>
      </c>
      <c r="AD20" s="54">
        <v>0</v>
      </c>
      <c r="AE20" s="53"/>
      <c r="AF20" s="53">
        <f t="shared" si="5"/>
        <v>780000</v>
      </c>
      <c r="AG20" s="53">
        <f>INT(AF20*13/100)</f>
        <v>101400</v>
      </c>
      <c r="AH20" s="104">
        <f t="shared" si="4"/>
        <v>881400</v>
      </c>
    </row>
    <row r="21" spans="1:34" ht="311.39999999999998" customHeight="1" x14ac:dyDescent="0.3">
      <c r="A21" s="21">
        <v>19</v>
      </c>
      <c r="B21" s="4" t="s">
        <v>148</v>
      </c>
      <c r="C21" s="4" t="s">
        <v>33</v>
      </c>
      <c r="D21" s="6" t="s">
        <v>34</v>
      </c>
      <c r="E21" s="90" t="s">
        <v>245</v>
      </c>
      <c r="F21" s="7" t="s">
        <v>149</v>
      </c>
      <c r="G21" s="7" t="s">
        <v>150</v>
      </c>
      <c r="H21" s="74" t="s">
        <v>151</v>
      </c>
      <c r="I21" s="74">
        <v>9</v>
      </c>
      <c r="J21" s="75">
        <v>4</v>
      </c>
      <c r="K21" s="75">
        <v>5</v>
      </c>
      <c r="L21" s="84">
        <v>9</v>
      </c>
      <c r="M21" s="5"/>
      <c r="N21" s="17" t="s">
        <v>152</v>
      </c>
      <c r="O21" s="7" t="s">
        <v>153</v>
      </c>
      <c r="P21" s="7" t="s">
        <v>154</v>
      </c>
      <c r="Q21" s="7" t="s">
        <v>155</v>
      </c>
      <c r="R21" s="7" t="s">
        <v>156</v>
      </c>
      <c r="S21" s="9" t="s">
        <v>43</v>
      </c>
      <c r="T21" s="16" t="s">
        <v>44</v>
      </c>
      <c r="U21" s="60">
        <v>0</v>
      </c>
      <c r="V21" s="53">
        <f>220000*4</f>
        <v>880000</v>
      </c>
      <c r="W21" s="53">
        <v>0</v>
      </c>
      <c r="X21" s="53">
        <v>0</v>
      </c>
      <c r="Y21" s="53">
        <v>0</v>
      </c>
      <c r="Z21" s="53">
        <f>70000*I21</f>
        <v>630000</v>
      </c>
      <c r="AA21" s="53">
        <v>0</v>
      </c>
      <c r="AB21" s="53">
        <f>V21+X21+Z21+U21</f>
        <v>1510000</v>
      </c>
      <c r="AC21" s="54">
        <f>80000*I21</f>
        <v>720000</v>
      </c>
      <c r="AD21" s="54">
        <v>0</v>
      </c>
      <c r="AE21" s="53">
        <v>0</v>
      </c>
      <c r="AF21" s="53">
        <f t="shared" si="5"/>
        <v>2230000</v>
      </c>
      <c r="AG21" s="53">
        <f>INT(AF21*13/100)</f>
        <v>289900</v>
      </c>
      <c r="AH21" s="104">
        <f t="shared" si="4"/>
        <v>2519900</v>
      </c>
    </row>
    <row r="22" spans="1:34" ht="349.95" customHeight="1" x14ac:dyDescent="0.3">
      <c r="A22" s="21">
        <v>20</v>
      </c>
      <c r="B22" s="6" t="s">
        <v>66</v>
      </c>
      <c r="C22" s="4" t="s">
        <v>33</v>
      </c>
      <c r="D22" s="6" t="s">
        <v>34</v>
      </c>
      <c r="E22" s="94" t="s">
        <v>246</v>
      </c>
      <c r="F22" s="9" t="s">
        <v>157</v>
      </c>
      <c r="G22" s="8" t="s">
        <v>158</v>
      </c>
      <c r="H22" s="74" t="s">
        <v>159</v>
      </c>
      <c r="I22" s="75">
        <v>5</v>
      </c>
      <c r="J22" s="75">
        <v>2</v>
      </c>
      <c r="K22" s="75">
        <v>3</v>
      </c>
      <c r="L22" s="84">
        <v>5</v>
      </c>
      <c r="M22" s="8"/>
      <c r="N22" s="8" t="s">
        <v>71</v>
      </c>
      <c r="O22" s="8" t="s">
        <v>110</v>
      </c>
      <c r="P22" s="8" t="s">
        <v>160</v>
      </c>
      <c r="Q22" s="15" t="s">
        <v>128</v>
      </c>
      <c r="R22" s="11" t="s">
        <v>129</v>
      </c>
      <c r="S22" s="9" t="s">
        <v>43</v>
      </c>
      <c r="T22" s="16" t="s">
        <v>44</v>
      </c>
      <c r="U22" s="61">
        <v>0</v>
      </c>
      <c r="V22" s="61">
        <v>0</v>
      </c>
      <c r="W22" s="53">
        <v>0</v>
      </c>
      <c r="X22" s="61">
        <f>80000*20</f>
        <v>1600000</v>
      </c>
      <c r="Y22" s="53">
        <v>0</v>
      </c>
      <c r="Z22" s="61">
        <f>30000*20</f>
        <v>600000</v>
      </c>
      <c r="AA22" s="53">
        <v>0</v>
      </c>
      <c r="AB22" s="61">
        <f>U22+V22+X22+Z22</f>
        <v>2200000</v>
      </c>
      <c r="AC22" s="62">
        <v>100000</v>
      </c>
      <c r="AD22" s="62">
        <v>300000</v>
      </c>
      <c r="AE22" s="62">
        <v>0</v>
      </c>
      <c r="AF22" s="61">
        <f t="shared" si="5"/>
        <v>2600000</v>
      </c>
      <c r="AG22" s="61">
        <f>INT(AF22*13/100)</f>
        <v>338000</v>
      </c>
      <c r="AH22" s="105">
        <f t="shared" si="4"/>
        <v>2938000</v>
      </c>
    </row>
    <row r="23" spans="1:34" ht="270.60000000000002" customHeight="1" x14ac:dyDescent="0.3">
      <c r="A23" s="21">
        <v>21</v>
      </c>
      <c r="B23" s="6" t="s">
        <v>51</v>
      </c>
      <c r="C23" s="4" t="s">
        <v>33</v>
      </c>
      <c r="D23" s="6" t="s">
        <v>34</v>
      </c>
      <c r="E23" s="91" t="s">
        <v>247</v>
      </c>
      <c r="F23" s="10" t="s">
        <v>161</v>
      </c>
      <c r="G23" s="10" t="s">
        <v>162</v>
      </c>
      <c r="H23" s="74" t="s">
        <v>163</v>
      </c>
      <c r="I23" s="75">
        <v>7</v>
      </c>
      <c r="J23" s="75">
        <v>4</v>
      </c>
      <c r="K23" s="75">
        <v>3</v>
      </c>
      <c r="L23" s="84">
        <v>7</v>
      </c>
      <c r="M23" s="5"/>
      <c r="N23" s="10" t="s">
        <v>226</v>
      </c>
      <c r="O23" s="10" t="s">
        <v>164</v>
      </c>
      <c r="P23" s="10" t="s">
        <v>165</v>
      </c>
      <c r="Q23" s="10" t="s">
        <v>166</v>
      </c>
      <c r="R23" s="9" t="s">
        <v>167</v>
      </c>
      <c r="S23" s="9" t="s">
        <v>43</v>
      </c>
      <c r="T23" s="16" t="s">
        <v>44</v>
      </c>
      <c r="U23" s="63">
        <v>0</v>
      </c>
      <c r="V23" s="64">
        <f>240000*7</f>
        <v>1680000</v>
      </c>
      <c r="W23" s="53">
        <v>0</v>
      </c>
      <c r="X23" s="64"/>
      <c r="Y23" s="53">
        <v>0</v>
      </c>
      <c r="Z23" s="64">
        <f>60000*7</f>
        <v>420000</v>
      </c>
      <c r="AA23" s="53">
        <v>0</v>
      </c>
      <c r="AB23" s="64">
        <f>V23+X23+Z23</f>
        <v>2100000</v>
      </c>
      <c r="AC23" s="65">
        <v>0</v>
      </c>
      <c r="AD23" s="65">
        <v>0</v>
      </c>
      <c r="AE23" s="64">
        <v>0</v>
      </c>
      <c r="AF23" s="64">
        <f t="shared" si="5"/>
        <v>2100000</v>
      </c>
      <c r="AG23" s="64">
        <f t="shared" ref="AG23:AG25" si="6">INT(AF23*13/100)</f>
        <v>273000</v>
      </c>
      <c r="AH23" s="106">
        <f t="shared" si="4"/>
        <v>2373000</v>
      </c>
    </row>
    <row r="24" spans="1:34" ht="194.4" customHeight="1" x14ac:dyDescent="0.3">
      <c r="A24" s="21">
        <v>22</v>
      </c>
      <c r="B24" s="6" t="s">
        <v>51</v>
      </c>
      <c r="C24" s="4" t="s">
        <v>33</v>
      </c>
      <c r="D24" s="6" t="s">
        <v>34</v>
      </c>
      <c r="E24" s="98" t="s">
        <v>248</v>
      </c>
      <c r="F24" s="18" t="s">
        <v>45</v>
      </c>
      <c r="G24" s="18" t="s">
        <v>168</v>
      </c>
      <c r="H24" s="74" t="s">
        <v>140</v>
      </c>
      <c r="I24" s="75">
        <v>1</v>
      </c>
      <c r="J24" s="75">
        <v>1</v>
      </c>
      <c r="K24" s="75">
        <v>0</v>
      </c>
      <c r="L24" s="84">
        <v>1</v>
      </c>
      <c r="M24" s="5"/>
      <c r="N24" s="18" t="s">
        <v>169</v>
      </c>
      <c r="O24" s="18" t="s">
        <v>170</v>
      </c>
      <c r="P24" s="18" t="s">
        <v>165</v>
      </c>
      <c r="Q24" s="18" t="s">
        <v>171</v>
      </c>
      <c r="R24" s="9" t="s">
        <v>172</v>
      </c>
      <c r="S24" s="9" t="s">
        <v>43</v>
      </c>
      <c r="T24" s="16" t="s">
        <v>44</v>
      </c>
      <c r="U24" s="63">
        <v>0</v>
      </c>
      <c r="V24" s="64">
        <f>300000*1</f>
        <v>300000</v>
      </c>
      <c r="W24" s="53">
        <v>0</v>
      </c>
      <c r="X24" s="64">
        <f>300000*1</f>
        <v>300000</v>
      </c>
      <c r="Y24" s="53">
        <v>0</v>
      </c>
      <c r="Z24" s="64">
        <v>0</v>
      </c>
      <c r="AA24" s="53">
        <v>0</v>
      </c>
      <c r="AB24" s="64">
        <f>V24+X24+Z24</f>
        <v>600000</v>
      </c>
      <c r="AC24" s="65">
        <v>100000</v>
      </c>
      <c r="AD24" s="65">
        <v>0</v>
      </c>
      <c r="AE24" s="64">
        <v>0</v>
      </c>
      <c r="AF24" s="64">
        <f t="shared" si="5"/>
        <v>700000</v>
      </c>
      <c r="AG24" s="64">
        <f t="shared" si="6"/>
        <v>91000</v>
      </c>
      <c r="AH24" s="106">
        <f t="shared" si="4"/>
        <v>791000</v>
      </c>
    </row>
    <row r="25" spans="1:34" ht="231.6" customHeight="1" x14ac:dyDescent="0.3">
      <c r="A25" s="21">
        <v>23</v>
      </c>
      <c r="B25" s="8" t="s">
        <v>66</v>
      </c>
      <c r="C25" s="7" t="s">
        <v>33</v>
      </c>
      <c r="D25" s="8" t="s">
        <v>34</v>
      </c>
      <c r="E25" s="93" t="s">
        <v>249</v>
      </c>
      <c r="F25" s="8" t="s">
        <v>90</v>
      </c>
      <c r="G25" s="8" t="s">
        <v>91</v>
      </c>
      <c r="H25" s="74" t="s">
        <v>173</v>
      </c>
      <c r="I25" s="75">
        <v>8</v>
      </c>
      <c r="J25" s="75">
        <v>4</v>
      </c>
      <c r="K25" s="75">
        <v>4</v>
      </c>
      <c r="L25" s="84">
        <v>8</v>
      </c>
      <c r="M25" s="5"/>
      <c r="N25" s="8" t="s">
        <v>93</v>
      </c>
      <c r="O25" s="8" t="s">
        <v>94</v>
      </c>
      <c r="P25" s="8" t="s">
        <v>95</v>
      </c>
      <c r="Q25" s="11" t="s">
        <v>174</v>
      </c>
      <c r="R25" s="11" t="s">
        <v>89</v>
      </c>
      <c r="S25" s="9" t="s">
        <v>43</v>
      </c>
      <c r="T25" s="16" t="s">
        <v>44</v>
      </c>
      <c r="U25" s="63">
        <v>0</v>
      </c>
      <c r="V25" s="64">
        <f>70000*8</f>
        <v>560000</v>
      </c>
      <c r="W25" s="64">
        <v>0</v>
      </c>
      <c r="X25" s="64">
        <v>0</v>
      </c>
      <c r="Y25" s="64">
        <v>0</v>
      </c>
      <c r="Z25" s="64">
        <v>0</v>
      </c>
      <c r="AA25" s="53">
        <v>0</v>
      </c>
      <c r="AB25" s="64">
        <f>V25+X25+Z25</f>
        <v>560000</v>
      </c>
      <c r="AC25" s="65"/>
      <c r="AD25" s="65">
        <f>20000*8</f>
        <v>160000</v>
      </c>
      <c r="AE25" s="64">
        <v>800000</v>
      </c>
      <c r="AF25" s="64">
        <f t="shared" si="5"/>
        <v>1520000</v>
      </c>
      <c r="AG25" s="64">
        <f t="shared" si="6"/>
        <v>197600</v>
      </c>
      <c r="AH25" s="107">
        <f t="shared" si="4"/>
        <v>1717600</v>
      </c>
    </row>
    <row r="26" spans="1:34" s="122" customFormat="1" ht="215.4" customHeight="1" x14ac:dyDescent="0.3">
      <c r="A26" s="21">
        <v>24</v>
      </c>
      <c r="B26" s="7" t="s">
        <v>98</v>
      </c>
      <c r="C26" s="4" t="s">
        <v>33</v>
      </c>
      <c r="D26" s="6" t="s">
        <v>34</v>
      </c>
      <c r="E26" s="90" t="s">
        <v>250</v>
      </c>
      <c r="F26" s="7" t="s">
        <v>161</v>
      </c>
      <c r="G26" s="7" t="s">
        <v>185</v>
      </c>
      <c r="H26" s="74" t="s">
        <v>193</v>
      </c>
      <c r="I26" s="75">
        <v>10</v>
      </c>
      <c r="J26" s="75">
        <v>5</v>
      </c>
      <c r="K26" s="75">
        <v>5</v>
      </c>
      <c r="L26" s="84">
        <v>10</v>
      </c>
      <c r="M26" s="5"/>
      <c r="N26" s="13" t="s">
        <v>102</v>
      </c>
      <c r="O26" s="7" t="s">
        <v>186</v>
      </c>
      <c r="P26" s="7" t="s">
        <v>104</v>
      </c>
      <c r="Q26" s="7" t="s">
        <v>187</v>
      </c>
      <c r="R26" s="7" t="s">
        <v>106</v>
      </c>
      <c r="S26" s="9" t="s">
        <v>43</v>
      </c>
      <c r="T26" s="16" t="s">
        <v>44</v>
      </c>
      <c r="U26" s="63">
        <v>0</v>
      </c>
      <c r="V26" s="66">
        <f>180000*10</f>
        <v>1800000</v>
      </c>
      <c r="W26" s="64">
        <v>0</v>
      </c>
      <c r="X26" s="66">
        <f>180000*10</f>
        <v>1800000</v>
      </c>
      <c r="Y26" s="64">
        <v>0</v>
      </c>
      <c r="Z26" s="64">
        <v>0</v>
      </c>
      <c r="AA26" s="66"/>
      <c r="AB26" s="64">
        <f>V26+X26+Z26</f>
        <v>3600000</v>
      </c>
      <c r="AC26" s="61">
        <v>0</v>
      </c>
      <c r="AD26" s="61">
        <v>0</v>
      </c>
      <c r="AE26" s="61">
        <v>0</v>
      </c>
      <c r="AF26" s="61">
        <f>AB26+AC26+AD26+AE26</f>
        <v>3600000</v>
      </c>
      <c r="AG26" s="61">
        <f>INT(AF26*13/100)</f>
        <v>468000</v>
      </c>
      <c r="AH26" s="108">
        <f>AF26+AG26</f>
        <v>4068000</v>
      </c>
    </row>
    <row r="27" spans="1:34" s="2" customFormat="1" ht="312" customHeight="1" x14ac:dyDescent="0.3">
      <c r="A27" s="22">
        <v>25</v>
      </c>
      <c r="B27" s="20" t="s">
        <v>114</v>
      </c>
      <c r="C27" s="20" t="s">
        <v>33</v>
      </c>
      <c r="D27" s="112" t="s">
        <v>34</v>
      </c>
      <c r="E27" s="113" t="s">
        <v>251</v>
      </c>
      <c r="F27" s="20" t="s">
        <v>179</v>
      </c>
      <c r="G27" s="20" t="s">
        <v>180</v>
      </c>
      <c r="H27" s="114" t="s">
        <v>194</v>
      </c>
      <c r="I27" s="115">
        <v>2</v>
      </c>
      <c r="J27" s="115">
        <v>1</v>
      </c>
      <c r="K27" s="115">
        <v>1</v>
      </c>
      <c r="L27" s="116">
        <v>2</v>
      </c>
      <c r="M27" s="19"/>
      <c r="N27" s="20" t="s">
        <v>141</v>
      </c>
      <c r="O27" s="20" t="s">
        <v>181</v>
      </c>
      <c r="P27" s="20" t="s">
        <v>182</v>
      </c>
      <c r="Q27" s="20" t="s">
        <v>183</v>
      </c>
      <c r="R27" s="20" t="s">
        <v>184</v>
      </c>
      <c r="S27" s="14" t="s">
        <v>43</v>
      </c>
      <c r="T27" s="117" t="s">
        <v>44</v>
      </c>
      <c r="U27" s="118">
        <v>0</v>
      </c>
      <c r="V27" s="118">
        <f>160000*3</f>
        <v>480000</v>
      </c>
      <c r="W27" s="119">
        <v>0</v>
      </c>
      <c r="X27" s="120">
        <f>60000*3</f>
        <v>180000</v>
      </c>
      <c r="Y27" s="119">
        <v>0</v>
      </c>
      <c r="Z27" s="119">
        <v>0</v>
      </c>
      <c r="AA27" s="120">
        <v>0</v>
      </c>
      <c r="AB27" s="120">
        <f>U27+V27+X27+AA27</f>
        <v>660000</v>
      </c>
      <c r="AC27" s="120">
        <v>0</v>
      </c>
      <c r="AD27" s="120">
        <v>150000</v>
      </c>
      <c r="AE27" s="120">
        <v>0</v>
      </c>
      <c r="AF27" s="120">
        <f>AB27+AC27+AD27+AE27</f>
        <v>810000</v>
      </c>
      <c r="AG27" s="120">
        <f>INT(AF27*13/100)</f>
        <v>105300</v>
      </c>
      <c r="AH27" s="121">
        <f>AF27+AG27</f>
        <v>915300</v>
      </c>
    </row>
    <row r="28" spans="1:34" ht="236.4" customHeight="1" x14ac:dyDescent="0.3">
      <c r="A28" s="21">
        <v>26</v>
      </c>
      <c r="B28" s="7" t="s">
        <v>114</v>
      </c>
      <c r="C28" s="7" t="s">
        <v>33</v>
      </c>
      <c r="D28" s="8" t="s">
        <v>34</v>
      </c>
      <c r="E28" s="90" t="s">
        <v>252</v>
      </c>
      <c r="F28" s="7" t="s">
        <v>45</v>
      </c>
      <c r="G28" s="7" t="s">
        <v>200</v>
      </c>
      <c r="H28" s="75"/>
      <c r="I28" s="75">
        <v>4</v>
      </c>
      <c r="J28" s="75">
        <v>0</v>
      </c>
      <c r="K28" s="75">
        <v>2</v>
      </c>
      <c r="L28" s="84">
        <v>4</v>
      </c>
      <c r="M28" s="5"/>
      <c r="N28" s="7" t="s">
        <v>199</v>
      </c>
      <c r="O28" s="7" t="s">
        <v>197</v>
      </c>
      <c r="P28" s="7" t="s">
        <v>198</v>
      </c>
      <c r="Q28" s="7" t="s">
        <v>196</v>
      </c>
      <c r="R28" s="7" t="s">
        <v>195</v>
      </c>
      <c r="S28" s="9" t="s">
        <v>43</v>
      </c>
      <c r="T28" s="16" t="s">
        <v>44</v>
      </c>
      <c r="U28" s="66">
        <v>0</v>
      </c>
      <c r="V28" s="66">
        <f>160000*4</f>
        <v>640000</v>
      </c>
      <c r="W28" s="64">
        <v>0</v>
      </c>
      <c r="X28" s="61">
        <f>60000*4</f>
        <v>240000</v>
      </c>
      <c r="Y28" s="64">
        <v>0</v>
      </c>
      <c r="Z28" s="64">
        <v>0</v>
      </c>
      <c r="AA28" s="61">
        <v>0</v>
      </c>
      <c r="AB28" s="61">
        <f>U28+V28+X28+AA28</f>
        <v>880000</v>
      </c>
      <c r="AC28" s="61">
        <v>120000</v>
      </c>
      <c r="AD28" s="61">
        <v>200000</v>
      </c>
      <c r="AE28" s="61">
        <v>0</v>
      </c>
      <c r="AF28" s="61">
        <f>AB28+AC28+AD28+AE28</f>
        <v>1200000</v>
      </c>
      <c r="AG28" s="61">
        <f>INT(AF28*13/100)</f>
        <v>156000</v>
      </c>
      <c r="AH28" s="108">
        <f>AF28+AG28</f>
        <v>1356000</v>
      </c>
    </row>
    <row r="29" spans="1:34" ht="217.2" customHeight="1" x14ac:dyDescent="0.3">
      <c r="A29" s="21">
        <v>27</v>
      </c>
      <c r="B29" s="4" t="s">
        <v>32</v>
      </c>
      <c r="C29" s="4" t="s">
        <v>33</v>
      </c>
      <c r="D29" s="6" t="s">
        <v>34</v>
      </c>
      <c r="E29" s="99" t="s">
        <v>253</v>
      </c>
      <c r="F29" s="4" t="s">
        <v>45</v>
      </c>
      <c r="G29" s="4" t="s">
        <v>175</v>
      </c>
      <c r="H29" s="74"/>
      <c r="I29" s="75">
        <v>1</v>
      </c>
      <c r="J29" s="75">
        <v>0</v>
      </c>
      <c r="K29" s="75">
        <v>1</v>
      </c>
      <c r="L29" s="84">
        <v>0</v>
      </c>
      <c r="M29" s="5"/>
      <c r="N29" s="4" t="s">
        <v>176</v>
      </c>
      <c r="O29" s="4" t="s">
        <v>177</v>
      </c>
      <c r="P29" s="4" t="s">
        <v>178</v>
      </c>
      <c r="Q29" s="4" t="s">
        <v>202</v>
      </c>
      <c r="R29" s="4" t="s">
        <v>203</v>
      </c>
      <c r="S29" s="9" t="s">
        <v>43</v>
      </c>
      <c r="T29" s="16" t="s">
        <v>44</v>
      </c>
      <c r="U29" s="66">
        <v>160000</v>
      </c>
      <c r="V29" s="66">
        <v>0</v>
      </c>
      <c r="W29" s="66">
        <v>0</v>
      </c>
      <c r="X29" s="66">
        <v>0</v>
      </c>
      <c r="Y29" s="66">
        <v>0</v>
      </c>
      <c r="Z29" s="66">
        <v>0</v>
      </c>
      <c r="AA29" s="66">
        <v>0</v>
      </c>
      <c r="AB29" s="61">
        <f>U29+Y29+Z29+AA29</f>
        <v>160000</v>
      </c>
      <c r="AC29" s="61">
        <v>0</v>
      </c>
      <c r="AD29" s="61">
        <v>0</v>
      </c>
      <c r="AE29" s="67">
        <v>550000</v>
      </c>
      <c r="AF29" s="61">
        <f t="shared" ref="AF29:AF32" si="7">AB29+AC29+AD29+AE29</f>
        <v>710000</v>
      </c>
      <c r="AG29" s="61">
        <f t="shared" ref="AG29:AG35" si="8">INT(AF29*13/100)</f>
        <v>92300</v>
      </c>
      <c r="AH29" s="108">
        <f t="shared" ref="AH29:AH35" si="9">AF29+AG29</f>
        <v>802300</v>
      </c>
    </row>
    <row r="30" spans="1:34" ht="220.2" customHeight="1" x14ac:dyDescent="0.3">
      <c r="A30" s="21">
        <v>28</v>
      </c>
      <c r="B30" s="5"/>
      <c r="C30" s="4" t="s">
        <v>33</v>
      </c>
      <c r="D30" s="6" t="s">
        <v>34</v>
      </c>
      <c r="E30" s="97" t="s">
        <v>254</v>
      </c>
      <c r="F30" s="4" t="s">
        <v>45</v>
      </c>
      <c r="G30" s="4" t="s">
        <v>204</v>
      </c>
      <c r="H30" s="74"/>
      <c r="I30" s="75">
        <v>2</v>
      </c>
      <c r="J30" s="75">
        <v>1</v>
      </c>
      <c r="K30" s="75">
        <v>1</v>
      </c>
      <c r="L30" s="84">
        <v>2</v>
      </c>
      <c r="M30" s="5"/>
      <c r="N30" s="4" t="s">
        <v>176</v>
      </c>
      <c r="O30" s="4" t="s">
        <v>177</v>
      </c>
      <c r="P30" s="4" t="s">
        <v>178</v>
      </c>
      <c r="Q30" s="4" t="s">
        <v>205</v>
      </c>
      <c r="R30" s="4" t="s">
        <v>203</v>
      </c>
      <c r="S30" s="9" t="s">
        <v>43</v>
      </c>
      <c r="T30" s="16" t="s">
        <v>44</v>
      </c>
      <c r="U30" s="66">
        <f>160000*2</f>
        <v>320000</v>
      </c>
      <c r="V30" s="66">
        <v>0</v>
      </c>
      <c r="W30" s="66">
        <v>0</v>
      </c>
      <c r="X30" s="66">
        <v>0</v>
      </c>
      <c r="Y30" s="66">
        <v>0</v>
      </c>
      <c r="Z30" s="66">
        <v>0</v>
      </c>
      <c r="AA30" s="66">
        <v>0</v>
      </c>
      <c r="AB30" s="61">
        <f>U30+Y30+Z30+AA30</f>
        <v>320000</v>
      </c>
      <c r="AC30" s="61">
        <v>0</v>
      </c>
      <c r="AD30" s="61">
        <v>100000</v>
      </c>
      <c r="AE30" s="67">
        <f>500000*2</f>
        <v>1000000</v>
      </c>
      <c r="AF30" s="61">
        <f t="shared" si="7"/>
        <v>1420000</v>
      </c>
      <c r="AG30" s="61">
        <f t="shared" si="8"/>
        <v>184600</v>
      </c>
      <c r="AH30" s="108">
        <f t="shared" si="9"/>
        <v>1604600</v>
      </c>
    </row>
    <row r="31" spans="1:34" ht="229.2" customHeight="1" x14ac:dyDescent="0.3">
      <c r="A31" s="21">
        <v>29</v>
      </c>
      <c r="B31" s="4" t="s">
        <v>32</v>
      </c>
      <c r="C31" s="4" t="s">
        <v>33</v>
      </c>
      <c r="D31" s="6" t="s">
        <v>34</v>
      </c>
      <c r="E31" s="90" t="s">
        <v>255</v>
      </c>
      <c r="F31" s="4" t="s">
        <v>45</v>
      </c>
      <c r="G31" s="4" t="s">
        <v>201</v>
      </c>
      <c r="H31" s="74"/>
      <c r="I31" s="75">
        <v>2</v>
      </c>
      <c r="J31" s="75">
        <v>1</v>
      </c>
      <c r="K31" s="75">
        <v>1</v>
      </c>
      <c r="L31" s="84">
        <v>2</v>
      </c>
      <c r="M31" s="5"/>
      <c r="N31" s="4" t="s">
        <v>176</v>
      </c>
      <c r="O31" s="4" t="s">
        <v>177</v>
      </c>
      <c r="P31" s="4" t="s">
        <v>178</v>
      </c>
      <c r="Q31" s="4" t="s">
        <v>206</v>
      </c>
      <c r="R31" s="4" t="s">
        <v>203</v>
      </c>
      <c r="S31" s="9" t="s">
        <v>43</v>
      </c>
      <c r="T31" s="16" t="s">
        <v>44</v>
      </c>
      <c r="U31" s="66">
        <f>160000*2</f>
        <v>320000</v>
      </c>
      <c r="V31" s="66">
        <v>0</v>
      </c>
      <c r="W31" s="66">
        <v>0</v>
      </c>
      <c r="X31" s="66">
        <v>0</v>
      </c>
      <c r="Y31" s="66">
        <v>0</v>
      </c>
      <c r="Z31" s="66">
        <v>0</v>
      </c>
      <c r="AA31" s="66">
        <v>0</v>
      </c>
      <c r="AB31" s="61">
        <f>U31+Y31+Z31+AA31</f>
        <v>320000</v>
      </c>
      <c r="AC31" s="61">
        <v>0</v>
      </c>
      <c r="AD31" s="61">
        <v>100000</v>
      </c>
      <c r="AE31" s="67">
        <f>500000*2</f>
        <v>1000000</v>
      </c>
      <c r="AF31" s="61">
        <f t="shared" si="7"/>
        <v>1420000</v>
      </c>
      <c r="AG31" s="61">
        <f t="shared" si="8"/>
        <v>184600</v>
      </c>
      <c r="AH31" s="108">
        <f t="shared" si="9"/>
        <v>1604600</v>
      </c>
    </row>
    <row r="32" spans="1:34" ht="241.2" customHeight="1" x14ac:dyDescent="0.3">
      <c r="A32" s="21">
        <v>30</v>
      </c>
      <c r="B32" s="4" t="s">
        <v>32</v>
      </c>
      <c r="C32" s="4" t="s">
        <v>33</v>
      </c>
      <c r="D32" s="6" t="s">
        <v>34</v>
      </c>
      <c r="E32" s="90" t="s">
        <v>256</v>
      </c>
      <c r="F32" s="4" t="s">
        <v>45</v>
      </c>
      <c r="G32" s="4" t="s">
        <v>201</v>
      </c>
      <c r="H32" s="79"/>
      <c r="I32" s="79">
        <v>2</v>
      </c>
      <c r="J32" s="75">
        <v>1</v>
      </c>
      <c r="K32" s="75">
        <v>1</v>
      </c>
      <c r="L32" s="84">
        <v>2</v>
      </c>
      <c r="M32" s="5"/>
      <c r="N32" s="4" t="s">
        <v>176</v>
      </c>
      <c r="O32" s="4" t="s">
        <v>177</v>
      </c>
      <c r="P32" s="4" t="s">
        <v>178</v>
      </c>
      <c r="Q32" s="4" t="s">
        <v>207</v>
      </c>
      <c r="R32" s="4" t="s">
        <v>203</v>
      </c>
      <c r="S32" s="9" t="s">
        <v>43</v>
      </c>
      <c r="T32" s="16" t="s">
        <v>44</v>
      </c>
      <c r="U32" s="66">
        <f>160000*2</f>
        <v>320000</v>
      </c>
      <c r="V32" s="66">
        <v>0</v>
      </c>
      <c r="W32" s="66">
        <v>0</v>
      </c>
      <c r="X32" s="66">
        <v>0</v>
      </c>
      <c r="Y32" s="66">
        <v>0</v>
      </c>
      <c r="Z32" s="66">
        <v>0</v>
      </c>
      <c r="AA32" s="66">
        <v>0</v>
      </c>
      <c r="AB32" s="61">
        <f>U32+Y32+Z32+AA32</f>
        <v>320000</v>
      </c>
      <c r="AC32" s="61">
        <v>0</v>
      </c>
      <c r="AD32" s="66">
        <v>0</v>
      </c>
      <c r="AE32" s="66">
        <v>0</v>
      </c>
      <c r="AF32" s="61">
        <f t="shared" si="7"/>
        <v>320000</v>
      </c>
      <c r="AG32" s="61">
        <f t="shared" si="8"/>
        <v>41600</v>
      </c>
      <c r="AH32" s="108">
        <f t="shared" si="9"/>
        <v>361600</v>
      </c>
    </row>
    <row r="33" spans="1:34" ht="255" customHeight="1" x14ac:dyDescent="0.3">
      <c r="A33" s="21">
        <v>31</v>
      </c>
      <c r="B33" s="8" t="s">
        <v>66</v>
      </c>
      <c r="C33" s="7" t="s">
        <v>33</v>
      </c>
      <c r="D33" s="8" t="s">
        <v>34</v>
      </c>
      <c r="E33" s="100" t="s">
        <v>257</v>
      </c>
      <c r="F33" s="8" t="s">
        <v>161</v>
      </c>
      <c r="G33" s="8" t="s">
        <v>209</v>
      </c>
      <c r="H33" s="75"/>
      <c r="I33" s="75">
        <v>6</v>
      </c>
      <c r="J33" s="75">
        <v>3</v>
      </c>
      <c r="K33" s="75">
        <v>3</v>
      </c>
      <c r="L33" s="84">
        <v>6</v>
      </c>
      <c r="M33" s="5"/>
      <c r="N33" s="8" t="s">
        <v>71</v>
      </c>
      <c r="O33" s="8" t="s">
        <v>210</v>
      </c>
      <c r="P33" s="8" t="s">
        <v>211</v>
      </c>
      <c r="Q33" s="11" t="s">
        <v>96</v>
      </c>
      <c r="R33" s="11" t="s">
        <v>212</v>
      </c>
      <c r="S33" s="9" t="s">
        <v>43</v>
      </c>
      <c r="T33" s="16" t="s">
        <v>44</v>
      </c>
      <c r="U33" s="53">
        <v>0</v>
      </c>
      <c r="V33" s="53">
        <v>0</v>
      </c>
      <c r="W33" s="53">
        <v>0</v>
      </c>
      <c r="X33" s="53">
        <f>220000*9</f>
        <v>1980000</v>
      </c>
      <c r="Y33" s="66">
        <v>0</v>
      </c>
      <c r="Z33" s="66">
        <v>0</v>
      </c>
      <c r="AA33" s="66">
        <v>0</v>
      </c>
      <c r="AB33" s="61">
        <f>U33+V33+W33+X33+Y33+Z33+AA33</f>
        <v>1980000</v>
      </c>
      <c r="AC33" s="54">
        <v>100000</v>
      </c>
      <c r="AD33" s="54">
        <v>0</v>
      </c>
      <c r="AE33" s="66">
        <v>0</v>
      </c>
      <c r="AF33" s="53">
        <f>AB33+AC33+AD33+AE33</f>
        <v>2080000</v>
      </c>
      <c r="AG33" s="53">
        <f t="shared" si="8"/>
        <v>270400</v>
      </c>
      <c r="AH33" s="104">
        <f t="shared" si="9"/>
        <v>2350400</v>
      </c>
    </row>
    <row r="34" spans="1:34" ht="252" customHeight="1" x14ac:dyDescent="0.3">
      <c r="A34" s="21">
        <v>32</v>
      </c>
      <c r="B34" s="5" t="s">
        <v>213</v>
      </c>
      <c r="C34" s="7" t="s">
        <v>33</v>
      </c>
      <c r="D34" s="9" t="s">
        <v>34</v>
      </c>
      <c r="E34" s="89" t="s">
        <v>258</v>
      </c>
      <c r="F34" s="5" t="s">
        <v>214</v>
      </c>
      <c r="G34" s="7" t="s">
        <v>215</v>
      </c>
      <c r="H34" s="75"/>
      <c r="I34" s="75">
        <v>4</v>
      </c>
      <c r="J34" s="75">
        <v>2</v>
      </c>
      <c r="K34" s="75">
        <v>2</v>
      </c>
      <c r="L34" s="84">
        <v>4</v>
      </c>
      <c r="M34" s="5"/>
      <c r="N34" s="7" t="s">
        <v>216</v>
      </c>
      <c r="O34" s="7" t="s">
        <v>217</v>
      </c>
      <c r="P34" s="7" t="s">
        <v>218</v>
      </c>
      <c r="Q34" s="7" t="s">
        <v>219</v>
      </c>
      <c r="R34" s="7" t="s">
        <v>220</v>
      </c>
      <c r="S34" s="9" t="s">
        <v>43</v>
      </c>
      <c r="T34" s="16" t="s">
        <v>44</v>
      </c>
      <c r="U34" s="53">
        <v>0</v>
      </c>
      <c r="V34" s="53">
        <v>0</v>
      </c>
      <c r="W34" s="53">
        <v>0</v>
      </c>
      <c r="X34" s="53">
        <f>200000*4</f>
        <v>800000</v>
      </c>
      <c r="Y34" s="53">
        <v>0</v>
      </c>
      <c r="Z34" s="53">
        <f>70000*4</f>
        <v>280000</v>
      </c>
      <c r="AA34" s="53">
        <v>0</v>
      </c>
      <c r="AB34" s="61">
        <f>U34+V34+W34+X34+Y34+Z34+AA34</f>
        <v>1080000</v>
      </c>
      <c r="AC34" s="54">
        <v>100000</v>
      </c>
      <c r="AD34" s="54">
        <f>150000*2</f>
        <v>300000</v>
      </c>
      <c r="AE34" s="54">
        <v>0</v>
      </c>
      <c r="AF34" s="53">
        <f t="shared" ref="AF34:AF35" si="10">AB34+AC34+AD34+AE34</f>
        <v>1480000</v>
      </c>
      <c r="AG34" s="53">
        <f t="shared" si="8"/>
        <v>192400</v>
      </c>
      <c r="AH34" s="104">
        <f t="shared" si="9"/>
        <v>1672400</v>
      </c>
    </row>
    <row r="35" spans="1:34" ht="181.95" customHeight="1" x14ac:dyDescent="0.3">
      <c r="A35" s="21">
        <v>33</v>
      </c>
      <c r="B35" s="8" t="s">
        <v>66</v>
      </c>
      <c r="C35" s="7" t="s">
        <v>33</v>
      </c>
      <c r="D35" s="8" t="s">
        <v>34</v>
      </c>
      <c r="E35" s="96" t="s">
        <v>259</v>
      </c>
      <c r="F35" s="8" t="s">
        <v>161</v>
      </c>
      <c r="G35" s="8" t="s">
        <v>225</v>
      </c>
      <c r="H35" s="75" t="s">
        <v>224</v>
      </c>
      <c r="I35" s="75">
        <v>6</v>
      </c>
      <c r="J35" s="75">
        <v>6</v>
      </c>
      <c r="K35" s="75">
        <v>0</v>
      </c>
      <c r="L35" s="84">
        <v>6</v>
      </c>
      <c r="M35" s="5"/>
      <c r="N35" s="8" t="s">
        <v>71</v>
      </c>
      <c r="O35" s="8" t="s">
        <v>222</v>
      </c>
      <c r="P35" s="8" t="s">
        <v>223</v>
      </c>
      <c r="Q35" s="11" t="s">
        <v>96</v>
      </c>
      <c r="R35" s="11" t="s">
        <v>221</v>
      </c>
      <c r="S35" s="9" t="s">
        <v>43</v>
      </c>
      <c r="T35" s="16" t="s">
        <v>44</v>
      </c>
      <c r="U35" s="68">
        <v>0</v>
      </c>
      <c r="V35" s="68">
        <v>0</v>
      </c>
      <c r="W35" s="68">
        <v>0</v>
      </c>
      <c r="X35" s="69">
        <f>250000*6</f>
        <v>1500000</v>
      </c>
      <c r="Y35" s="53">
        <v>0</v>
      </c>
      <c r="Z35" s="69">
        <f>60000*6</f>
        <v>360000</v>
      </c>
      <c r="AA35" s="53">
        <v>0</v>
      </c>
      <c r="AB35" s="61">
        <f>U35+V35+W35+X35+Y35+Z35+AA35</f>
        <v>1860000</v>
      </c>
      <c r="AC35" s="53">
        <v>0</v>
      </c>
      <c r="AD35" s="70">
        <v>0</v>
      </c>
      <c r="AE35" s="70">
        <v>0</v>
      </c>
      <c r="AF35" s="69">
        <f t="shared" si="10"/>
        <v>1860000</v>
      </c>
      <c r="AG35" s="69">
        <f t="shared" si="8"/>
        <v>241800</v>
      </c>
      <c r="AH35" s="109">
        <f t="shared" si="9"/>
        <v>2101800</v>
      </c>
    </row>
    <row r="36" spans="1:34" ht="216" customHeight="1" x14ac:dyDescent="0.3">
      <c r="A36" s="21">
        <v>34</v>
      </c>
      <c r="B36" s="8" t="s">
        <v>66</v>
      </c>
      <c r="C36" s="7" t="s">
        <v>33</v>
      </c>
      <c r="D36" s="8" t="s">
        <v>34</v>
      </c>
      <c r="E36" s="96" t="s">
        <v>260</v>
      </c>
      <c r="F36" s="8" t="s">
        <v>161</v>
      </c>
      <c r="G36" s="8" t="s">
        <v>225</v>
      </c>
      <c r="H36" s="75" t="s">
        <v>224</v>
      </c>
      <c r="I36" s="75">
        <v>6</v>
      </c>
      <c r="J36" s="75">
        <v>6</v>
      </c>
      <c r="K36" s="75">
        <v>0</v>
      </c>
      <c r="L36" s="84">
        <v>6</v>
      </c>
      <c r="M36" s="5"/>
      <c r="N36" s="8" t="s">
        <v>71</v>
      </c>
      <c r="O36" s="8" t="s">
        <v>222</v>
      </c>
      <c r="P36" s="8" t="s">
        <v>223</v>
      </c>
      <c r="Q36" s="11" t="s">
        <v>96</v>
      </c>
      <c r="R36" s="11" t="s">
        <v>221</v>
      </c>
      <c r="S36" s="9" t="s">
        <v>43</v>
      </c>
      <c r="T36" s="16" t="s">
        <v>44</v>
      </c>
      <c r="U36" s="68">
        <v>0</v>
      </c>
      <c r="V36" s="68">
        <v>0</v>
      </c>
      <c r="W36" s="68">
        <v>0</v>
      </c>
      <c r="X36" s="69">
        <f>250000*6</f>
        <v>1500000</v>
      </c>
      <c r="Y36" s="53">
        <v>0</v>
      </c>
      <c r="Z36" s="69">
        <f>60000*6</f>
        <v>360000</v>
      </c>
      <c r="AA36" s="53">
        <v>0</v>
      </c>
      <c r="AB36" s="61">
        <f>U36+V36+W36+X36+Y36+Z36+AA36</f>
        <v>1860000</v>
      </c>
      <c r="AC36" s="53">
        <v>0</v>
      </c>
      <c r="AD36" s="70">
        <v>0</v>
      </c>
      <c r="AE36" s="70">
        <v>0</v>
      </c>
      <c r="AF36" s="69">
        <f t="shared" ref="AF36" si="11">AB36+AC36+AD36+AE36</f>
        <v>1860000</v>
      </c>
      <c r="AG36" s="69">
        <f t="shared" ref="AG36" si="12">INT(AF36*13/100)</f>
        <v>241800</v>
      </c>
      <c r="AH36" s="109">
        <f t="shared" ref="AH36" si="13">AF36+AG36</f>
        <v>2101800</v>
      </c>
    </row>
    <row r="37" spans="1:34" ht="25.8" x14ac:dyDescent="0.45">
      <c r="U37" s="71">
        <v>1120000</v>
      </c>
      <c r="V37" s="71">
        <v>22470000</v>
      </c>
      <c r="W37" s="71">
        <v>1368000</v>
      </c>
      <c r="X37" s="71">
        <v>20650000</v>
      </c>
      <c r="Y37" s="71">
        <v>1368000</v>
      </c>
      <c r="Z37" s="71">
        <v>11430000</v>
      </c>
      <c r="AA37" s="71">
        <v>500000</v>
      </c>
      <c r="AB37" s="71">
        <v>58906000</v>
      </c>
      <c r="AC37" s="71">
        <v>3171000</v>
      </c>
      <c r="AD37" s="71">
        <v>17316026.399999999</v>
      </c>
      <c r="AE37" s="71">
        <v>8830000</v>
      </c>
      <c r="AF37" s="71">
        <v>88223026.400000006</v>
      </c>
      <c r="AG37" s="71">
        <v>11799413</v>
      </c>
      <c r="AH37" s="110">
        <v>100022439.40000001</v>
      </c>
    </row>
    <row r="38" spans="1:34" ht="25.8" x14ac:dyDescent="0.5">
      <c r="AB38" s="43"/>
      <c r="AD38" s="44"/>
      <c r="AE38" s="45"/>
    </row>
    <row r="39" spans="1:34" x14ac:dyDescent="0.45">
      <c r="AD39" s="45"/>
    </row>
    <row r="40" spans="1:34" x14ac:dyDescent="0.45">
      <c r="AD40" s="46"/>
    </row>
    <row r="41" spans="1:34" x14ac:dyDescent="0.45">
      <c r="AD41" s="47"/>
    </row>
    <row r="42" spans="1:34" x14ac:dyDescent="0.45">
      <c r="AD42" s="29"/>
    </row>
    <row r="43" spans="1:34" x14ac:dyDescent="0.45">
      <c r="AD43" s="48"/>
    </row>
    <row r="44" spans="1:34" x14ac:dyDescent="0.45">
      <c r="AD44" s="45"/>
    </row>
    <row r="45" spans="1:34" x14ac:dyDescent="0.45">
      <c r="AD45" s="49"/>
    </row>
    <row r="46" spans="1:34" x14ac:dyDescent="0.45">
      <c r="AD46" s="50"/>
    </row>
    <row r="47" spans="1:34" ht="31.2" x14ac:dyDescent="0.6">
      <c r="AD47" s="51"/>
    </row>
    <row r="48" spans="1:34" x14ac:dyDescent="0.45">
      <c r="AD48" s="45"/>
    </row>
    <row r="49" spans="30:30" ht="25.8" x14ac:dyDescent="0.5">
      <c r="AD49" s="44"/>
    </row>
    <row r="51" spans="30:30" ht="36.6" x14ac:dyDescent="0.7">
      <c r="AD51" s="52"/>
    </row>
  </sheetData>
  <protectedRanges>
    <protectedRange sqref="R13" name="Rango1_2_5_1_1_3"/>
    <protectedRange sqref="E13" name="Rango1_1_9_1_1_3_2_1"/>
  </protectedRanges>
  <autoFilter ref="A2:AH36" xr:uid="{00000000-0009-0000-0000-000000000000}"/>
  <dataValidations count="4">
    <dataValidation type="decimal" operator="greaterThanOrEqual" allowBlank="1" showInputMessage="1" showErrorMessage="1" sqref="AE29:AE31" xr:uid="{00000000-0002-0000-0000-000000000000}">
      <formula1>0</formula1>
    </dataValidation>
    <dataValidation type="list" allowBlank="1" showInputMessage="1" showErrorMessage="1" sqref="R13" xr:uid="{00000000-0002-0000-0000-000001000000}">
      <formula1>DIMENSION</formula1>
    </dataValidation>
    <dataValidation type="list" allowBlank="1" showInputMessage="1" showErrorMessage="1" sqref="F5:F6 B6:B11 B22:B24 B15 F23:F24" xr:uid="{00000000-0002-0000-0000-000002000000}">
      <formula1>#REF!</formula1>
    </dataValidation>
    <dataValidation type="textLength" allowBlank="1" showInputMessage="1" showErrorMessage="1" sqref="E5 E23:E30" xr:uid="{E4C72738-2877-4869-9FFA-797E67BE6388}">
      <formula1>10</formula1>
      <formula2>4000</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ACTIVIDADES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NATHALYA SANTISTEBAN</dc:creator>
  <cp:lastModifiedBy>NATHALYA SANTISTEBAN</cp:lastModifiedBy>
  <dcterms:created xsi:type="dcterms:W3CDTF">2026-07-21T14:40:45Z</dcterms:created>
  <dcterms:modified xsi:type="dcterms:W3CDTF">2026-09-15T20:09:32Z</dcterms:modified>
</cp:coreProperties>
</file>