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marcel\2026\DIRECCION_CONTRATACION\SOLICITUD_CONTRATACIÓN_VIGILANCIA\SOPORTES PROCESO VIGILANCIA 19-08\"/>
    </mc:Choice>
  </mc:AlternateContent>
  <xr:revisionPtr revIDLastSave="0" documentId="13_ncr:1_{08B3DBEC-4762-4EFE-97FA-1B23E176193F}" xr6:coauthVersionLast="47" xr6:coauthVersionMax="47" xr10:uidLastSave="{00000000-0000-0000-0000-000000000000}"/>
  <bookViews>
    <workbookView xWindow="-108" yWindow="-108" windowWidth="23256" windowHeight="12456" xr2:uid="{00000000-000D-0000-FFFF-FFFF00000000}"/>
  </bookViews>
  <sheets>
    <sheet name="RECURSO_HUMANO_2026" sheetId="12" r:id="rId1"/>
    <sheet name="RECURSO_HUMANO_VIGENCIA 2027" sheetId="2" r:id="rId2"/>
  </sheets>
  <definedNames>
    <definedName name="_xlnm._FilterDatabase" localSheetId="0" hidden="1">RECURSO_HUMANO_2026!$D$13:$N$31</definedName>
    <definedName name="_xlnm._FilterDatabase" localSheetId="1" hidden="1">'RECURSO_HUMANO_VIGENCIA 2027'!$A$15:$O$35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1" i="2" l="1"/>
  <c r="B17" i="2"/>
  <c r="B18" i="2" s="1"/>
  <c r="B19" i="2" s="1"/>
  <c r="B20" i="2" s="1"/>
  <c r="B21" i="2" s="1"/>
  <c r="B22" i="2" s="1"/>
  <c r="B23" i="2" s="1"/>
  <c r="B24" i="2" s="1"/>
  <c r="B25" i="2" s="1"/>
  <c r="B26" i="2" s="1"/>
  <c r="B27" i="2" s="1"/>
  <c r="B28" i="2" s="1"/>
  <c r="B29" i="2" s="1"/>
  <c r="B30" i="2" s="1"/>
  <c r="B31" i="2" s="1"/>
  <c r="B41" i="12"/>
  <c r="B42" i="12" s="1"/>
  <c r="B43" i="12" s="1"/>
  <c r="B44" i="12" s="1"/>
  <c r="B45" i="12" s="1"/>
  <c r="B46" i="12" s="1"/>
  <c r="B47" i="12" s="1"/>
  <c r="B48" i="12" s="1"/>
  <c r="B49" i="12" s="1"/>
  <c r="B50" i="12" s="1"/>
  <c r="B51" i="12" s="1"/>
  <c r="B52" i="12" s="1"/>
  <c r="B53" i="12" s="1"/>
  <c r="B54" i="12" s="1"/>
  <c r="B55" i="12" s="1"/>
  <c r="B15" i="12" l="1"/>
  <c r="B16" i="12" s="1"/>
  <c r="B17" i="12" s="1"/>
  <c r="B18" i="12" s="1"/>
  <c r="B19" i="12" s="1"/>
  <c r="B20" i="12" s="1"/>
  <c r="B21" i="12" s="1"/>
  <c r="B22" i="12" s="1"/>
  <c r="B23" i="12" s="1"/>
  <c r="B24" i="12" s="1"/>
  <c r="B25" i="12" s="1"/>
  <c r="B26" i="12" s="1"/>
  <c r="B27" i="12" s="1"/>
  <c r="B28" i="12" s="1"/>
  <c r="B29" i="12" s="1"/>
  <c r="H14" i="12"/>
  <c r="H15" i="12"/>
  <c r="H16" i="12"/>
  <c r="H17" i="12"/>
  <c r="H18" i="12"/>
  <c r="H19" i="12"/>
  <c r="H20" i="12"/>
  <c r="H21" i="12"/>
  <c r="H22" i="12"/>
  <c r="H23" i="12"/>
  <c r="H24" i="12"/>
  <c r="H25" i="12"/>
  <c r="H26" i="12"/>
  <c r="H27" i="12"/>
  <c r="H28" i="12"/>
  <c r="H29" i="12"/>
  <c r="H41" i="12"/>
  <c r="H40" i="12" l="1"/>
  <c r="I14" i="12" l="1"/>
  <c r="J14" i="12" s="1"/>
  <c r="K14" i="12" s="1"/>
  <c r="L14" i="12" s="1"/>
  <c r="M14" i="12" s="1"/>
  <c r="I20" i="12" l="1"/>
  <c r="H55" i="12" l="1"/>
  <c r="I55" i="12" s="1"/>
  <c r="J55" i="12" s="1"/>
  <c r="K55" i="12" s="1"/>
  <c r="H54" i="12"/>
  <c r="I54" i="12" s="1"/>
  <c r="J54" i="12" s="1"/>
  <c r="K54" i="12" s="1"/>
  <c r="H53" i="12"/>
  <c r="I53" i="12" s="1"/>
  <c r="J53" i="12" s="1"/>
  <c r="K53" i="12" s="1"/>
  <c r="H52" i="12"/>
  <c r="I52" i="12" s="1"/>
  <c r="J52" i="12" s="1"/>
  <c r="K52" i="12" s="1"/>
  <c r="H51" i="12"/>
  <c r="I51" i="12" s="1"/>
  <c r="J51" i="12" s="1"/>
  <c r="K51" i="12" s="1"/>
  <c r="H50" i="12"/>
  <c r="I50" i="12" s="1"/>
  <c r="J50" i="12" s="1"/>
  <c r="K50" i="12" s="1"/>
  <c r="H49" i="12"/>
  <c r="I49" i="12" s="1"/>
  <c r="J49" i="12" s="1"/>
  <c r="K49" i="12" s="1"/>
  <c r="H48" i="12"/>
  <c r="I48" i="12" s="1"/>
  <c r="J48" i="12" s="1"/>
  <c r="K48" i="12" s="1"/>
  <c r="H47" i="12"/>
  <c r="I47" i="12" s="1"/>
  <c r="J47" i="12" s="1"/>
  <c r="K47" i="12" s="1"/>
  <c r="H46" i="12"/>
  <c r="I46" i="12" s="1"/>
  <c r="J46" i="12" s="1"/>
  <c r="K46" i="12" s="1"/>
  <c r="H45" i="12"/>
  <c r="I45" i="12" s="1"/>
  <c r="J45" i="12" s="1"/>
  <c r="K45" i="12" s="1"/>
  <c r="L45" i="12" s="1"/>
  <c r="M45" i="12" s="1"/>
  <c r="H44" i="12"/>
  <c r="I44" i="12" s="1"/>
  <c r="J44" i="12" s="1"/>
  <c r="K44" i="12" s="1"/>
  <c r="H43" i="12"/>
  <c r="I43" i="12" s="1"/>
  <c r="J43" i="12" s="1"/>
  <c r="K43" i="12" s="1"/>
  <c r="H42" i="12"/>
  <c r="I42" i="12" s="1"/>
  <c r="I41" i="12"/>
  <c r="J41" i="12" s="1"/>
  <c r="K41" i="12" s="1"/>
  <c r="I40" i="12"/>
  <c r="J40" i="12" s="1"/>
  <c r="K40" i="12" s="1"/>
  <c r="I29" i="12"/>
  <c r="J29" i="12" s="1"/>
  <c r="K29" i="12" s="1"/>
  <c r="I28" i="12"/>
  <c r="J28" i="12" s="1"/>
  <c r="K28" i="12" s="1"/>
  <c r="I27" i="12"/>
  <c r="J27" i="12" s="1"/>
  <c r="K27" i="12" s="1"/>
  <c r="L27" i="12" s="1"/>
  <c r="M27" i="12" s="1"/>
  <c r="I26" i="12"/>
  <c r="J26" i="12" s="1"/>
  <c r="K26" i="12" s="1"/>
  <c r="I25" i="12"/>
  <c r="J25" i="12" s="1"/>
  <c r="K25" i="12" s="1"/>
  <c r="I24" i="12"/>
  <c r="J24" i="12" s="1"/>
  <c r="K24" i="12" s="1"/>
  <c r="I23" i="12"/>
  <c r="J23" i="12" s="1"/>
  <c r="K23" i="12" s="1"/>
  <c r="I22" i="12"/>
  <c r="J22" i="12" s="1"/>
  <c r="K22" i="12" s="1"/>
  <c r="I21" i="12"/>
  <c r="J21" i="12" s="1"/>
  <c r="K21" i="12" s="1"/>
  <c r="J20" i="12"/>
  <c r="K20" i="12" s="1"/>
  <c r="I19" i="12"/>
  <c r="J19" i="12" s="1"/>
  <c r="K19" i="12" s="1"/>
  <c r="I18" i="12"/>
  <c r="J18" i="12" s="1"/>
  <c r="K18" i="12" s="1"/>
  <c r="I17" i="12"/>
  <c r="J17" i="12" s="1"/>
  <c r="K17" i="12" s="1"/>
  <c r="I16" i="12"/>
  <c r="I15" i="12"/>
  <c r="J15" i="12" s="1"/>
  <c r="K15" i="12" s="1"/>
  <c r="J42" i="12" l="1"/>
  <c r="K42" i="12" s="1"/>
  <c r="J16" i="12"/>
  <c r="K16" i="12" s="1"/>
  <c r="L16" i="12" s="1"/>
  <c r="M16" i="12" s="1"/>
  <c r="N16" i="12" s="1"/>
  <c r="L43" i="12"/>
  <c r="M43" i="12" s="1"/>
  <c r="N43" i="12" s="1"/>
  <c r="L28" i="12"/>
  <c r="M28" i="12" s="1"/>
  <c r="N28" i="12" s="1"/>
  <c r="L17" i="12"/>
  <c r="M17" i="12" s="1"/>
  <c r="N17" i="12" s="1"/>
  <c r="L19" i="12"/>
  <c r="M19" i="12" s="1"/>
  <c r="N19" i="12" s="1"/>
  <c r="L40" i="12"/>
  <c r="L46" i="12"/>
  <c r="M46" i="12" s="1"/>
  <c r="N46" i="12" s="1"/>
  <c r="L48" i="12"/>
  <c r="M48" i="12" s="1"/>
  <c r="N48" i="12" s="1"/>
  <c r="L22" i="12"/>
  <c r="M22" i="12" s="1"/>
  <c r="N22" i="12" s="1"/>
  <c r="L51" i="12"/>
  <c r="M51" i="12" s="1"/>
  <c r="N51" i="12" s="1"/>
  <c r="L25" i="12"/>
  <c r="M25" i="12" s="1"/>
  <c r="N25" i="12" s="1"/>
  <c r="L54" i="12"/>
  <c r="M54" i="12" s="1"/>
  <c r="N54" i="12" s="1"/>
  <c r="L49" i="12"/>
  <c r="M49" i="12" s="1"/>
  <c r="N49" i="12" s="1"/>
  <c r="L44" i="12"/>
  <c r="M44" i="12" s="1"/>
  <c r="N44" i="12" s="1"/>
  <c r="L41" i="12"/>
  <c r="M41" i="12" s="1"/>
  <c r="N41" i="12" s="1"/>
  <c r="L50" i="12"/>
  <c r="M50" i="12" s="1"/>
  <c r="N50" i="12" s="1"/>
  <c r="L29" i="12"/>
  <c r="M29" i="12" s="1"/>
  <c r="N29" i="12" s="1"/>
  <c r="L26" i="12"/>
  <c r="M26" i="12" s="1"/>
  <c r="N26" i="12" s="1"/>
  <c r="N27" i="12"/>
  <c r="L52" i="12"/>
  <c r="M52" i="12" s="1"/>
  <c r="N52" i="12" s="1"/>
  <c r="L15" i="12"/>
  <c r="M15" i="12" s="1"/>
  <c r="N15" i="12" s="1"/>
  <c r="L53" i="12"/>
  <c r="M53" i="12" s="1"/>
  <c r="N53" i="12" s="1"/>
  <c r="N45" i="12"/>
  <c r="L18" i="12"/>
  <c r="M18" i="12" s="1"/>
  <c r="N18" i="12" s="1"/>
  <c r="L20" i="12"/>
  <c r="M20" i="12" s="1"/>
  <c r="N20" i="12" s="1"/>
  <c r="L21" i="12"/>
  <c r="M21" i="12" s="1"/>
  <c r="N21" i="12" s="1"/>
  <c r="L47" i="12"/>
  <c r="M47" i="12" s="1"/>
  <c r="N47" i="12" s="1"/>
  <c r="L23" i="12"/>
  <c r="M23" i="12" s="1"/>
  <c r="N23" i="12" s="1"/>
  <c r="L24" i="12"/>
  <c r="M24" i="12" s="1"/>
  <c r="N24" i="12" s="1"/>
  <c r="L55" i="12"/>
  <c r="M55" i="12" s="1"/>
  <c r="N55" i="12" s="1"/>
  <c r="L42" i="12" l="1"/>
  <c r="M42" i="12" s="1"/>
  <c r="N42" i="12"/>
  <c r="M40" i="12"/>
  <c r="M30" i="12" l="1"/>
  <c r="N14" i="12"/>
  <c r="N30" i="12" s="1"/>
  <c r="M56" i="12"/>
  <c r="N40" i="12"/>
  <c r="N56" i="12" s="1"/>
  <c r="N31" i="12" l="1"/>
  <c r="E12" i="2" l="1"/>
  <c r="H16" i="2" s="1"/>
  <c r="I16" i="2" s="1"/>
  <c r="H18" i="2" l="1"/>
  <c r="H17" i="2"/>
  <c r="H19" i="2" l="1"/>
  <c r="H20" i="2"/>
  <c r="J16" i="2" l="1"/>
  <c r="K16" i="2" s="1"/>
  <c r="I17" i="2"/>
  <c r="J17" i="2" s="1"/>
  <c r="K17" i="2" s="1"/>
  <c r="L17" i="2" s="1"/>
  <c r="M17" i="2" s="1"/>
  <c r="N17" i="2" s="1"/>
  <c r="H31" i="2"/>
  <c r="I31" i="2" s="1"/>
  <c r="J31" i="2" s="1"/>
  <c r="K31" i="2" s="1"/>
  <c r="L31" i="2" s="1"/>
  <c r="M31" i="2" s="1"/>
  <c r="N31" i="2" s="1"/>
  <c r="H23" i="2"/>
  <c r="I23" i="2" s="1"/>
  <c r="H26" i="2"/>
  <c r="I26" i="2" s="1"/>
  <c r="H30" i="2"/>
  <c r="I30" i="2" s="1"/>
  <c r="J30" i="2" s="1"/>
  <c r="K30" i="2" s="1"/>
  <c r="L30" i="2" s="1"/>
  <c r="M30" i="2" s="1"/>
  <c r="N30" i="2" s="1"/>
  <c r="H22" i="2"/>
  <c r="I22" i="2" s="1"/>
  <c r="J22" i="2" s="1"/>
  <c r="K22" i="2" s="1"/>
  <c r="L22" i="2" s="1"/>
  <c r="M22" i="2" s="1"/>
  <c r="N22" i="2" s="1"/>
  <c r="I20" i="2"/>
  <c r="J20" i="2" s="1"/>
  <c r="K20" i="2" s="1"/>
  <c r="L20" i="2" s="1"/>
  <c r="M20" i="2" s="1"/>
  <c r="N20" i="2" s="1"/>
  <c r="H29" i="2"/>
  <c r="I29" i="2" s="1"/>
  <c r="J29" i="2" s="1"/>
  <c r="K29" i="2" s="1"/>
  <c r="L29" i="2" s="1"/>
  <c r="M29" i="2" s="1"/>
  <c r="N29" i="2" s="1"/>
  <c r="H21" i="2"/>
  <c r="I21" i="2" s="1"/>
  <c r="J21" i="2" s="1"/>
  <c r="K21" i="2" s="1"/>
  <c r="L21" i="2" s="1"/>
  <c r="M21" i="2" s="1"/>
  <c r="N21" i="2" s="1"/>
  <c r="I18" i="2"/>
  <c r="H28" i="2"/>
  <c r="I28" i="2" s="1"/>
  <c r="H25" i="2"/>
  <c r="I25" i="2" s="1"/>
  <c r="J25" i="2" s="1"/>
  <c r="K25" i="2" s="1"/>
  <c r="L25" i="2" s="1"/>
  <c r="M25" i="2" s="1"/>
  <c r="N25" i="2" s="1"/>
  <c r="H27" i="2"/>
  <c r="I27" i="2" s="1"/>
  <c r="J27" i="2" s="1"/>
  <c r="K27" i="2" s="1"/>
  <c r="L27" i="2" s="1"/>
  <c r="M27" i="2" s="1"/>
  <c r="N27" i="2" s="1"/>
  <c r="I19" i="2"/>
  <c r="J19" i="2" s="1"/>
  <c r="K19" i="2" s="1"/>
  <c r="L19" i="2" s="1"/>
  <c r="M19" i="2" s="1"/>
  <c r="N19" i="2" s="1"/>
  <c r="H24" i="2"/>
  <c r="I24" i="2" s="1"/>
  <c r="J24" i="2" s="1"/>
  <c r="K24" i="2" s="1"/>
  <c r="L24" i="2" s="1"/>
  <c r="M24" i="2" s="1"/>
  <c r="N24" i="2" s="1"/>
  <c r="L16" i="2" l="1"/>
  <c r="M16" i="2" s="1"/>
  <c r="N16" i="2" s="1"/>
  <c r="J26" i="2"/>
  <c r="K26" i="2" s="1"/>
  <c r="L26" i="2" s="1"/>
  <c r="M26" i="2" s="1"/>
  <c r="N26" i="2" s="1"/>
  <c r="J28" i="2"/>
  <c r="K28" i="2" s="1"/>
  <c r="L28" i="2" s="1"/>
  <c r="M28" i="2" s="1"/>
  <c r="N28" i="2" s="1"/>
  <c r="J23" i="2"/>
  <c r="K23" i="2" s="1"/>
  <c r="L23" i="2" s="1"/>
  <c r="M23" i="2" s="1"/>
  <c r="N23" i="2" s="1"/>
  <c r="J18" i="2"/>
  <c r="K18" i="2" s="1"/>
  <c r="L18" i="2" l="1"/>
  <c r="M18" i="2" s="1"/>
  <c r="N18" i="2" s="1"/>
  <c r="N32" i="2" s="1"/>
  <c r="N34" i="2" s="1"/>
  <c r="N35" i="2" s="1"/>
  <c r="M32" i="2"/>
  <c r="H32" i="2"/>
</calcChain>
</file>

<file path=xl/sharedStrings.xml><?xml version="1.0" encoding="utf-8"?>
<sst xmlns="http://schemas.openxmlformats.org/spreadsheetml/2006/main" count="177" uniqueCount="55">
  <si>
    <t>SMMLV 2026</t>
  </si>
  <si>
    <t>EQUIVALENTE</t>
  </si>
  <si>
    <t>SVC</t>
  </si>
  <si>
    <t>4 DE NOVIEMBRE AL 30 DE NOVIEMBRE DE 2026</t>
  </si>
  <si>
    <t>UBICACIÓN</t>
  </si>
  <si>
    <t>Modalidad</t>
  </si>
  <si>
    <t>%AYS</t>
  </si>
  <si>
    <t>Horario Horas</t>
  </si>
  <si>
    <t>Valor base</t>
  </si>
  <si>
    <t>Valor total + prima de seguro de vida</t>
  </si>
  <si>
    <t>AYS</t>
  </si>
  <si>
    <t>Valor + AYS</t>
  </si>
  <si>
    <t>AIU</t>
  </si>
  <si>
    <t xml:space="preserve">IVA </t>
  </si>
  <si>
    <t>Valor total (27 dias)</t>
  </si>
  <si>
    <t>Piso 8 Oriental</t>
  </si>
  <si>
    <t>Fija sin arma</t>
  </si>
  <si>
    <t>Supercade Torre B(Segundo Piso)</t>
  </si>
  <si>
    <t>Archivo Central – Calle 21 No 69 B 80</t>
  </si>
  <si>
    <t>Fija con arma</t>
  </si>
  <si>
    <t>Supercade Torre B(Segundo Piso) Centro de Monitoreo</t>
  </si>
  <si>
    <t>Piso 13° Oriental</t>
  </si>
  <si>
    <t>Piso 5° Recepción Oriental</t>
  </si>
  <si>
    <t>Piso 5° Occidental</t>
  </si>
  <si>
    <t>Piso 8° Occidental</t>
  </si>
  <si>
    <t>Piso 13°Occidental</t>
  </si>
  <si>
    <t>Supercade módulo E (Sala de consulta)</t>
  </si>
  <si>
    <t>Sótano Torre A CAD</t>
  </si>
  <si>
    <t>Recorredor</t>
  </si>
  <si>
    <t>Supervisor</t>
  </si>
  <si>
    <t>Supercade módulo E (Planoteca)</t>
  </si>
  <si>
    <t>Archivo central- Calle 21 N.º 69 B-88, bodega 2</t>
  </si>
  <si>
    <t xml:space="preserve">VALOR  TOTAL </t>
  </si>
  <si>
    <t>1 DE DICIEMBRE  AL 31 DE DICIEMBRE DE 2026</t>
  </si>
  <si>
    <t>Valor total (1 mes)</t>
  </si>
  <si>
    <t>SMMLV 2026:</t>
  </si>
  <si>
    <t>Incremento (14,13 %):</t>
  </si>
  <si>
    <t>SMMLV 2027 (indexado 14,13%)</t>
  </si>
  <si>
    <t>Tarifa aplicable del primero (1) de enero al treinta y uno (31) de diciembre de 2027.</t>
  </si>
  <si>
    <t>Valor Unitario</t>
  </si>
  <si>
    <t>Total (x mes)</t>
  </si>
  <si>
    <t>VALOR TOTAL</t>
  </si>
  <si>
    <t>VALOR MES 2027</t>
  </si>
  <si>
    <t>Valor del 01 de enero al 31 de diciembre de 2027.</t>
  </si>
  <si>
    <t>ALCALDÍA MAYOR DE BOGOTÁ, D.C.
SECRETARÍA DISTRITAL DE PLANEACIÓN
FORMATO DE COTIZACIÓN
Prestar el servicio de vigilancia y seguridad privada en la modalidad de vigilancia fija, para la protección de las instalaciones y bienes muebles de la Secretaría Distrital de Planeación (SDP), así como de aquellos bienes por los cuales sea o llegare a ser legalmente responsable, garantizando su custodia, control y salvaguarda durante la ejecución del contrato</t>
  </si>
  <si>
    <t>Nombre o razón social cotizante:</t>
  </si>
  <si>
    <t>Nit:</t>
  </si>
  <si>
    <t>Nombre Contacto:</t>
  </si>
  <si>
    <t>E-Mail:</t>
  </si>
  <si>
    <t>Teléfono celular:</t>
  </si>
  <si>
    <t>Teléfono fijo:</t>
  </si>
  <si>
    <t>Instrucciones para el diligenciamiento de la cotización:</t>
  </si>
  <si>
    <t>•	Revisar todos los requerimientos que se exponen en los documentos técnico y formular su cotización en concordancia con este, de tal forma que cumplan con la necesidad de la SDP.
•	Los precios unitarios deberán ser expresado en pesos colombiano. 
•	Los valores unitarios deben incluir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Tenga en cuenta que la Secretaría Distrital de Planeación contempla gravámenes adicionales como lo son: 1) Estampilla Universidad Francisco José de Caldas del 1,10%. 2) Estampilla Pro-Cultura del 0,50%. 3) Estampilla Pro-Personas Mayores del 2%.
•	Los precios deberán aproximarse por exceso o por defecto al entero más cercano así: (i) si es igual o superior a 50 centavos, se aproxima al entero siguiente; (ii) si es inferior a 50 centavos se baja al entero anterior.
•	En el campo "Tarifa IVA”, registrar el porcentaje correspondiente para cada Ítem de este impuesto, lo anterior conforme a las normas tributarias vigentes..</t>
  </si>
  <si>
    <t>Ref. Artículo</t>
  </si>
  <si>
    <t>Código UNSPSC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</si>
</sst>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 #,##0_-;\-&quot;$&quot;\ * #,##0_-;_-&quot;$&quot;\ * &quot;-&quot;??_-;_-@_-"/>
    <numFmt numFmtId="166" formatCode="_-* #,##0.00\ _€_-;\-* #,##0.00\ _€_-;_-* &quot;-&quot;??\ _€_-;_-@_-"/>
    <numFmt numFmtId="167" formatCode="_-[$$-409]* #,##0.00_ ;_-[$$-409]* \-#,##0.00\ ;_-[$$-409]* &quot;-&quot;??_ ;_-@_ "/>
    <numFmt numFmtId="168" formatCode="_-[$$-409]* #,##0_ ;_-[$$-409]* \-#,##0\ ;_-[$$-409]* &quot;-&quot;??_ ;_-@_ "/>
  </numFmts>
  <fonts count="13">
    <font>
      <sz val="12"/>
      <color theme="1"/>
      <name val="Aptos Narrow"/>
      <family val="2"/>
      <scheme val="minor"/>
    </font>
    <font>
      <sz val="11"/>
      <color theme="1"/>
      <name val="Aptos Narrow"/>
      <family val="2"/>
      <scheme val="minor"/>
    </font>
    <font>
      <sz val="12"/>
      <color theme="1"/>
      <name val="Aptos Narrow"/>
      <family val="2"/>
      <scheme val="minor"/>
    </font>
    <font>
      <b/>
      <sz val="12"/>
      <color theme="1"/>
      <name val="Aptos Narrow"/>
      <family val="2"/>
      <scheme val="minor"/>
    </font>
    <font>
      <sz val="10"/>
      <name val="Arial"/>
      <family val="2"/>
    </font>
    <font>
      <b/>
      <sz val="10"/>
      <color theme="1"/>
      <name val="Arial"/>
      <family val="2"/>
    </font>
    <font>
      <sz val="10"/>
      <color theme="1"/>
      <name val="Arial"/>
      <family val="2"/>
    </font>
    <font>
      <b/>
      <sz val="10"/>
      <color rgb="FF000000"/>
      <name val="Arial"/>
      <family val="2"/>
    </font>
    <font>
      <b/>
      <sz val="10"/>
      <name val="Arial"/>
      <family val="2"/>
    </font>
    <font>
      <sz val="10"/>
      <name val="Univers"/>
      <family val="2"/>
    </font>
    <font>
      <b/>
      <sz val="10"/>
      <color theme="1"/>
      <name val="Verdana"/>
      <family val="2"/>
    </font>
    <font>
      <sz val="10"/>
      <color rgb="FF000000"/>
      <name val="Arial"/>
      <family val="2"/>
    </font>
    <font>
      <sz val="10"/>
      <color theme="1"/>
      <name val="Verdana"/>
      <family val="2"/>
    </font>
  </fonts>
  <fills count="6">
    <fill>
      <patternFill patternType="none"/>
    </fill>
    <fill>
      <patternFill patternType="gray125"/>
    </fill>
    <fill>
      <patternFill patternType="solid">
        <fgColor rgb="FFFFFFFF"/>
        <bgColor rgb="FFFFFFFF"/>
      </patternFill>
    </fill>
    <fill>
      <patternFill patternType="solid">
        <fgColor theme="4" tint="0.79998168889431442"/>
        <bgColor indexed="64"/>
      </patternFill>
    </fill>
    <fill>
      <patternFill patternType="solid">
        <fgColor rgb="FFDBE5F1"/>
        <bgColor indexed="64"/>
      </patternFill>
    </fill>
    <fill>
      <patternFill patternType="solid">
        <fgColor theme="3" tint="0.74999237037263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0">
    <xf numFmtId="0" fontId="0" fillId="0" borderId="0"/>
    <xf numFmtId="164" fontId="2" fillId="0" borderId="0" applyFont="0" applyFill="0" applyBorder="0" applyAlignment="0" applyProtection="0"/>
    <xf numFmtId="0" fontId="2" fillId="0" borderId="0"/>
    <xf numFmtId="0" fontId="1" fillId="0" borderId="0"/>
    <xf numFmtId="0" fontId="4" fillId="0" borderId="0"/>
    <xf numFmtId="0" fontId="4" fillId="0" borderId="0"/>
    <xf numFmtId="0" fontId="9" fillId="0" borderId="0"/>
    <xf numFmtId="0" fontId="1" fillId="0" borderId="0"/>
    <xf numFmtId="0" fontId="10" fillId="4" borderId="0" applyNumberFormat="0" applyBorder="0" applyProtection="0">
      <alignment horizontal="center" vertical="center"/>
    </xf>
    <xf numFmtId="49" fontId="12" fillId="0" borderId="0" applyFill="0" applyBorder="0" applyProtection="0">
      <alignment horizontal="left" vertical="center"/>
    </xf>
  </cellStyleXfs>
  <cellXfs count="87">
    <xf numFmtId="0" fontId="0" fillId="0" borderId="0" xfId="0"/>
    <xf numFmtId="0" fontId="5" fillId="3" borderId="1" xfId="4" applyFont="1" applyFill="1" applyBorder="1" applyAlignment="1" applyProtection="1">
      <alignment horizontal="center" vertical="center" wrapText="1"/>
      <protection locked="0"/>
    </xf>
    <xf numFmtId="0" fontId="5" fillId="0" borderId="1" xfId="6" applyFont="1" applyBorder="1" applyAlignment="1" applyProtection="1">
      <alignment horizontal="right" vertical="center" wrapText="1"/>
      <protection locked="0"/>
    </xf>
    <xf numFmtId="0" fontId="11" fillId="0" borderId="1" xfId="0" applyFont="1" applyBorder="1" applyAlignment="1" applyProtection="1">
      <alignment horizontal="center" vertical="center"/>
      <protection locked="0"/>
    </xf>
    <xf numFmtId="0" fontId="6" fillId="0" borderId="0" xfId="0" applyFont="1"/>
    <xf numFmtId="0" fontId="6" fillId="0" borderId="10" xfId="0" applyFont="1" applyBorder="1"/>
    <xf numFmtId="0" fontId="6" fillId="0" borderId="8" xfId="0" applyFont="1" applyBorder="1"/>
    <xf numFmtId="164" fontId="5" fillId="0" borderId="8" xfId="1" applyFont="1" applyFill="1" applyBorder="1"/>
    <xf numFmtId="0" fontId="6" fillId="0" borderId="9" xfId="0" applyFont="1" applyBorder="1"/>
    <xf numFmtId="0" fontId="6" fillId="0" borderId="11" xfId="0" applyFont="1" applyBorder="1"/>
    <xf numFmtId="165" fontId="5" fillId="0" borderId="1" xfId="1" applyNumberFormat="1" applyFont="1" applyFill="1" applyBorder="1"/>
    <xf numFmtId="0" fontId="6" fillId="0" borderId="12" xfId="0" applyFont="1" applyBorder="1"/>
    <xf numFmtId="0" fontId="5" fillId="0" borderId="1" xfId="1" applyNumberFormat="1" applyFont="1" applyFill="1" applyBorder="1"/>
    <xf numFmtId="168" fontId="5" fillId="0" borderId="3" xfId="1" applyNumberFormat="1" applyFont="1" applyFill="1" applyBorder="1"/>
    <xf numFmtId="0" fontId="11" fillId="0" borderId="1" xfId="0" applyFont="1" applyBorder="1" applyAlignment="1">
      <alignment vertical="center"/>
    </xf>
    <xf numFmtId="9"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165" fontId="6" fillId="0" borderId="1" xfId="0" applyNumberFormat="1" applyFont="1" applyBorder="1" applyAlignment="1">
      <alignment vertical="center"/>
    </xf>
    <xf numFmtId="0" fontId="11" fillId="0" borderId="1" xfId="0" applyFont="1" applyBorder="1" applyAlignment="1">
      <alignment vertical="center" wrapText="1"/>
    </xf>
    <xf numFmtId="0" fontId="11" fillId="0" borderId="0" xfId="0" applyFont="1" applyAlignment="1">
      <alignment vertical="center" wrapText="1"/>
    </xf>
    <xf numFmtId="0" fontId="11" fillId="0" borderId="0" xfId="0" applyFont="1" applyAlignment="1">
      <alignment vertical="center"/>
    </xf>
    <xf numFmtId="9" fontId="11" fillId="0" borderId="0" xfId="0" applyNumberFormat="1" applyFont="1" applyAlignment="1">
      <alignment horizontal="center" vertical="center"/>
    </xf>
    <xf numFmtId="0" fontId="11" fillId="0" borderId="0" xfId="0" applyFont="1" applyAlignment="1">
      <alignment horizontal="center" vertical="center"/>
    </xf>
    <xf numFmtId="165" fontId="6" fillId="0" borderId="0" xfId="0" applyNumberFormat="1" applyFont="1" applyAlignment="1">
      <alignment vertical="center"/>
    </xf>
    <xf numFmtId="165" fontId="5" fillId="0" borderId="1" xfId="0" applyNumberFormat="1" applyFont="1" applyBorder="1" applyAlignment="1">
      <alignment vertical="center"/>
    </xf>
    <xf numFmtId="44" fontId="6" fillId="0" borderId="0" xfId="0" applyNumberFormat="1" applyFont="1"/>
    <xf numFmtId="44" fontId="5" fillId="0" borderId="1" xfId="0" applyNumberFormat="1" applyFont="1" applyBorder="1"/>
    <xf numFmtId="165" fontId="5" fillId="0" borderId="1" xfId="0" applyNumberFormat="1" applyFont="1" applyBorder="1"/>
    <xf numFmtId="0" fontId="6" fillId="0" borderId="13" xfId="0" applyFont="1" applyBorder="1"/>
    <xf numFmtId="0" fontId="6" fillId="0" borderId="5" xfId="0" applyFont="1" applyBorder="1"/>
    <xf numFmtId="44" fontId="6" fillId="0" borderId="5" xfId="0" applyNumberFormat="1" applyFont="1" applyBorder="1"/>
    <xf numFmtId="0" fontId="6" fillId="0" borderId="14" xfId="0" applyFont="1" applyBorder="1"/>
    <xf numFmtId="165" fontId="5" fillId="0" borderId="0" xfId="0" applyNumberFormat="1" applyFont="1" applyAlignment="1">
      <alignment horizontal="center"/>
    </xf>
    <xf numFmtId="164" fontId="5" fillId="0" borderId="0" xfId="1" applyFont="1" applyBorder="1" applyAlignment="1">
      <alignment horizontal="center"/>
    </xf>
    <xf numFmtId="167" fontId="5" fillId="0" borderId="1" xfId="1" applyNumberFormat="1" applyFont="1" applyFill="1" applyBorder="1"/>
    <xf numFmtId="165" fontId="6" fillId="0" borderId="5" xfId="0" applyNumberFormat="1" applyFont="1" applyBorder="1"/>
    <xf numFmtId="165" fontId="6" fillId="0" borderId="5" xfId="0" applyNumberFormat="1" applyFont="1" applyBorder="1" applyAlignment="1">
      <alignment vertical="center"/>
    </xf>
    <xf numFmtId="165" fontId="5" fillId="0" borderId="2" xfId="0" applyNumberFormat="1" applyFont="1" applyBorder="1"/>
    <xf numFmtId="43" fontId="6" fillId="0" borderId="0" xfId="0" applyNumberFormat="1" applyFont="1"/>
    <xf numFmtId="0" fontId="5" fillId="0" borderId="0" xfId="0" applyFont="1"/>
    <xf numFmtId="0" fontId="8" fillId="3" borderId="6" xfId="5" applyFont="1" applyFill="1" applyBorder="1" applyAlignment="1" applyProtection="1">
      <alignment horizontal="left" vertical="center"/>
      <protection locked="0"/>
    </xf>
    <xf numFmtId="0" fontId="8" fillId="3" borderId="7" xfId="5" applyFont="1" applyFill="1" applyBorder="1" applyAlignment="1" applyProtection="1">
      <alignment horizontal="left" vertical="center"/>
      <protection locked="0"/>
    </xf>
    <xf numFmtId="165" fontId="6" fillId="0" borderId="1" xfId="0" applyNumberFormat="1" applyFont="1" applyBorder="1" applyAlignment="1" applyProtection="1">
      <alignment vertical="center"/>
      <protection hidden="1"/>
    </xf>
    <xf numFmtId="44" fontId="6" fillId="0" borderId="1" xfId="0" applyNumberFormat="1" applyFont="1" applyBorder="1" applyAlignment="1" applyProtection="1">
      <alignment vertical="center"/>
      <protection hidden="1"/>
    </xf>
    <xf numFmtId="0" fontId="5" fillId="0" borderId="0" xfId="0" applyFont="1" applyAlignment="1">
      <alignment horizontal="left"/>
    </xf>
    <xf numFmtId="6" fontId="6" fillId="0" borderId="0" xfId="0" applyNumberFormat="1" applyFont="1" applyAlignment="1">
      <alignment horizontal="center"/>
    </xf>
    <xf numFmtId="0" fontId="5" fillId="0" borderId="1" xfId="0" applyFont="1" applyBorder="1"/>
    <xf numFmtId="0" fontId="5" fillId="0" borderId="1" xfId="0" applyFont="1" applyBorder="1" applyAlignment="1">
      <alignment horizontal="left"/>
    </xf>
    <xf numFmtId="8" fontId="6" fillId="0" borderId="0" xfId="0" applyNumberFormat="1" applyFont="1" applyAlignment="1">
      <alignment horizontal="center"/>
    </xf>
    <xf numFmtId="166" fontId="6" fillId="0" borderId="0" xfId="0" applyNumberFormat="1" applyFont="1"/>
    <xf numFmtId="10" fontId="5" fillId="0" borderId="1" xfId="1" applyNumberFormat="1" applyFont="1" applyFill="1" applyBorder="1"/>
    <xf numFmtId="9" fontId="6" fillId="0" borderId="1" xfId="0" applyNumberFormat="1" applyFont="1" applyBorder="1" applyAlignment="1">
      <alignment horizontal="center" vertical="center" wrapText="1"/>
    </xf>
    <xf numFmtId="3" fontId="6" fillId="0" borderId="0" xfId="0" applyNumberFormat="1" applyFont="1"/>
    <xf numFmtId="44" fontId="5" fillId="0" borderId="0" xfId="0" applyNumberFormat="1" applyFont="1"/>
    <xf numFmtId="165" fontId="5" fillId="0" borderId="0" xfId="0" applyNumberFormat="1" applyFont="1"/>
    <xf numFmtId="44" fontId="5" fillId="0" borderId="12" xfId="0" applyNumberFormat="1" applyFont="1" applyBorder="1"/>
    <xf numFmtId="165" fontId="8" fillId="5" borderId="1" xfId="0" applyNumberFormat="1" applyFont="1" applyFill="1" applyBorder="1" applyAlignment="1">
      <alignment horizontal="center" vertical="center"/>
    </xf>
    <xf numFmtId="165" fontId="6" fillId="0" borderId="0" xfId="0" applyNumberFormat="1" applyFont="1"/>
    <xf numFmtId="0" fontId="5" fillId="0" borderId="13" xfId="0" applyFont="1" applyBorder="1" applyAlignment="1">
      <alignment horizontal="center" wrapText="1"/>
    </xf>
    <xf numFmtId="0" fontId="3" fillId="0" borderId="5" xfId="0" applyFont="1" applyBorder="1" applyAlignment="1">
      <alignment horizontal="center" wrapText="1"/>
    </xf>
    <xf numFmtId="0" fontId="3" fillId="0" borderId="14" xfId="0" applyFont="1" applyBorder="1" applyAlignment="1">
      <alignment horizontal="center" wrapText="1"/>
    </xf>
    <xf numFmtId="0" fontId="6" fillId="0" borderId="6" xfId="7" applyFont="1" applyBorder="1" applyAlignment="1" applyProtection="1">
      <alignment horizontal="justify" vertical="center" wrapText="1"/>
      <protection hidden="1"/>
    </xf>
    <xf numFmtId="0" fontId="6" fillId="0" borderId="7" xfId="7" applyFont="1" applyBorder="1" applyAlignment="1" applyProtection="1">
      <alignment horizontal="justify" vertical="center" wrapText="1"/>
      <protection hidden="1"/>
    </xf>
    <xf numFmtId="0" fontId="6" fillId="0" borderId="4" xfId="7" applyFont="1" applyBorder="1" applyAlignment="1" applyProtection="1">
      <alignment horizontal="justify" vertical="center" wrapText="1"/>
      <protection hidden="1"/>
    </xf>
    <xf numFmtId="0" fontId="8" fillId="3" borderId="6" xfId="5" applyFont="1" applyFill="1" applyBorder="1" applyAlignment="1" applyProtection="1">
      <alignment horizontal="left" vertical="center" wrapText="1"/>
      <protection locked="0"/>
    </xf>
    <xf numFmtId="0" fontId="0" fillId="0" borderId="7" xfId="0" applyBorder="1" applyAlignment="1">
      <alignment horizontal="left" vertical="center" wrapText="1"/>
    </xf>
    <xf numFmtId="0" fontId="0" fillId="0" borderId="4" xfId="0" applyBorder="1" applyAlignment="1">
      <alignment horizontal="left" vertical="center" wrapText="1"/>
    </xf>
    <xf numFmtId="0" fontId="6" fillId="0" borderId="6" xfId="6" applyFont="1" applyBorder="1" applyAlignment="1" applyProtection="1">
      <alignment horizontal="center" vertical="center" wrapText="1"/>
      <protection locked="0"/>
    </xf>
    <xf numFmtId="0" fontId="6" fillId="0" borderId="7" xfId="6" applyFont="1" applyBorder="1" applyAlignment="1" applyProtection="1">
      <alignment horizontal="center" vertical="center" wrapText="1"/>
      <protection locked="0"/>
    </xf>
    <xf numFmtId="0" fontId="6" fillId="0" borderId="4" xfId="6" applyFont="1" applyBorder="1" applyAlignment="1" applyProtection="1">
      <alignment horizontal="center" vertical="center" wrapText="1"/>
      <protection locked="0"/>
    </xf>
    <xf numFmtId="0" fontId="5" fillId="0" borderId="1" xfId="7" applyFont="1" applyBorder="1" applyAlignment="1" applyProtection="1">
      <alignment horizontal="left" vertical="center" wrapText="1"/>
      <protection locked="0"/>
    </xf>
    <xf numFmtId="0" fontId="8" fillId="0" borderId="1" xfId="5"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4" xfId="0" applyFont="1" applyBorder="1" applyAlignment="1">
      <alignment horizontal="center"/>
    </xf>
    <xf numFmtId="0" fontId="7" fillId="2" borderId="1" xfId="3" applyFont="1" applyFill="1" applyBorder="1" applyAlignment="1" applyProtection="1">
      <alignment horizontal="center" vertical="center" wrapText="1"/>
      <protection locked="0"/>
    </xf>
    <xf numFmtId="0" fontId="8" fillId="2" borderId="1" xfId="3" applyFont="1" applyFill="1" applyBorder="1" applyAlignment="1" applyProtection="1">
      <alignment horizontal="center" vertical="center" wrapText="1"/>
      <protection locked="0"/>
    </xf>
    <xf numFmtId="0" fontId="5" fillId="0" borderId="10" xfId="0" applyFont="1" applyBorder="1" applyAlignment="1">
      <alignment horizontal="center"/>
    </xf>
    <xf numFmtId="0" fontId="5" fillId="0" borderId="9" xfId="0" applyFont="1" applyBorder="1" applyAlignment="1">
      <alignment horizontal="center"/>
    </xf>
    <xf numFmtId="167" fontId="5" fillId="0" borderId="13" xfId="0" applyNumberFormat="1" applyFont="1" applyBorder="1" applyAlignment="1" applyProtection="1">
      <alignment horizontal="center" wrapText="1"/>
      <protection locked="0"/>
    </xf>
    <xf numFmtId="0" fontId="5" fillId="0" borderId="11" xfId="0" applyFont="1" applyBorder="1" applyAlignment="1">
      <alignment horizontal="center" wrapText="1"/>
    </xf>
    <xf numFmtId="0" fontId="5" fillId="0" borderId="0" xfId="0" applyFont="1" applyAlignment="1">
      <alignment horizontal="center" wrapText="1"/>
    </xf>
    <xf numFmtId="0" fontId="5" fillId="0" borderId="12" xfId="0" applyFont="1" applyBorder="1" applyAlignment="1">
      <alignment horizontal="center" wrapText="1"/>
    </xf>
    <xf numFmtId="0" fontId="5" fillId="0" borderId="1" xfId="0" applyFont="1" applyBorder="1" applyAlignment="1">
      <alignment horizontal="center" vertical="center"/>
    </xf>
    <xf numFmtId="0" fontId="7" fillId="5" borderId="1" xfId="0" applyFont="1" applyFill="1" applyBorder="1" applyAlignment="1">
      <alignment horizontal="center" vertical="center" wrapText="1"/>
    </xf>
    <xf numFmtId="0" fontId="6" fillId="0" borderId="7" xfId="0" applyFont="1" applyBorder="1" applyAlignment="1">
      <alignment horizontal="left" vertical="center" wrapText="1"/>
    </xf>
    <xf numFmtId="0" fontId="6" fillId="0" borderId="4" xfId="0" applyFont="1" applyBorder="1" applyAlignment="1">
      <alignment horizontal="left" vertical="center" wrapText="1"/>
    </xf>
    <xf numFmtId="0" fontId="5" fillId="0" borderId="0" xfId="0" applyFont="1" applyAlignment="1">
      <alignment horizontal="center"/>
    </xf>
  </cellXfs>
  <cellStyles count="10">
    <cellStyle name="BodyStyle" xfId="9" xr:uid="{6C9A9E95-9BFB-4FB0-BCCC-58FFAF1DDA57}"/>
    <cellStyle name="HeaderStyle" xfId="8" xr:uid="{C82C74B6-DE04-41AD-A457-D565A0D8E414}"/>
    <cellStyle name="Moneda" xfId="1" builtinId="4"/>
    <cellStyle name="Normal" xfId="0" builtinId="0"/>
    <cellStyle name="Normal 2" xfId="2" xr:uid="{00000000-0005-0000-0000-000003000000}"/>
    <cellStyle name="Normal 3 2" xfId="3" xr:uid="{AD6422A6-CC9D-4F50-8F19-02C5B92D5F7F}"/>
    <cellStyle name="Normal 4 2" xfId="5" xr:uid="{743EFA78-033D-4831-8D7E-57ADDBCAF9A2}"/>
    <cellStyle name="Normal 5" xfId="6" xr:uid="{81D81BCB-7985-43B6-81A9-02EEEBE24602}"/>
    <cellStyle name="Normal 6" xfId="7" xr:uid="{1C473977-C995-4B5D-A74E-0320B740A57F}"/>
    <cellStyle name="Normal 8" xfId="4" xr:uid="{95AC8147-2913-43FE-831E-B43D3B449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xdr:row>
      <xdr:rowOff>203200</xdr:rowOff>
    </xdr:from>
    <xdr:to>
      <xdr:col>3</xdr:col>
      <xdr:colOff>798011</xdr:colOff>
      <xdr:row>1</xdr:row>
      <xdr:rowOff>696622</xdr:rowOff>
    </xdr:to>
    <xdr:pic>
      <xdr:nvPicPr>
        <xdr:cNvPr id="3" name="Imagen 2" descr="Logo de la Secretaría Distrital de Planeación">
          <a:extLst>
            <a:ext uri="{FF2B5EF4-FFF2-40B4-BE49-F238E27FC236}">
              <a16:creationId xmlns:a16="http://schemas.microsoft.com/office/drawing/2014/main" id="{85A40D50-52EC-4C76-B2D5-2A21B58E68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03200"/>
          <a:ext cx="2310104" cy="4862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124691</xdr:colOff>
      <xdr:row>1</xdr:row>
      <xdr:rowOff>127433</xdr:rowOff>
    </xdr:from>
    <xdr:to>
      <xdr:col>3</xdr:col>
      <xdr:colOff>1027477</xdr:colOff>
      <xdr:row>1</xdr:row>
      <xdr:rowOff>605268</xdr:rowOff>
    </xdr:to>
    <xdr:pic>
      <xdr:nvPicPr>
        <xdr:cNvPr id="3" name="Imagen 2" descr="Logo de la Secretaría Distrital de Planeación">
          <a:extLst>
            <a:ext uri="{FF2B5EF4-FFF2-40B4-BE49-F238E27FC236}">
              <a16:creationId xmlns:a16="http://schemas.microsoft.com/office/drawing/2014/main" id="{6798E6FC-50C2-441A-9A9E-ECD5BD66F4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293" y="322263"/>
          <a:ext cx="2309889" cy="477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N61"/>
  <sheetViews>
    <sheetView showGridLines="0" tabSelected="1" topLeftCell="E1" zoomScale="80" zoomScaleNormal="80" workbookViewId="0">
      <selection activeCell="K22" sqref="K22"/>
    </sheetView>
  </sheetViews>
  <sheetFormatPr baseColWidth="10" defaultColWidth="11" defaultRowHeight="15"/>
  <cols>
    <col min="1" max="1" width="11" style="4"/>
    <col min="2" max="2" width="11.7265625" style="4" customWidth="1"/>
    <col min="3" max="3" width="8.6328125" style="4" bestFit="1" customWidth="1"/>
    <col min="4" max="4" width="25" style="4" customWidth="1"/>
    <col min="5" max="5" width="19.90625" style="4" customWidth="1"/>
    <col min="6" max="6" width="12.08984375" style="4" customWidth="1"/>
    <col min="7" max="7" width="15" style="4" customWidth="1"/>
    <col min="8" max="8" width="16.90625" style="4" customWidth="1"/>
    <col min="9" max="9" width="20.453125" style="4" customWidth="1"/>
    <col min="10" max="10" width="15.6328125" style="4" bestFit="1" customWidth="1"/>
    <col min="11" max="11" width="16.36328125" style="4" bestFit="1" customWidth="1"/>
    <col min="12" max="12" width="15.36328125" style="4" bestFit="1" customWidth="1"/>
    <col min="13" max="13" width="18.90625" style="4" customWidth="1"/>
    <col min="14" max="14" width="24.36328125" style="4" customWidth="1"/>
  </cols>
  <sheetData>
    <row r="2" spans="2:14" ht="99.75" customHeight="1">
      <c r="B2" s="74"/>
      <c r="C2" s="74"/>
      <c r="D2" s="74"/>
      <c r="E2" s="74"/>
      <c r="F2" s="74"/>
      <c r="G2" s="75" t="s">
        <v>44</v>
      </c>
      <c r="H2" s="75"/>
      <c r="I2" s="75"/>
      <c r="J2" s="75"/>
      <c r="K2" s="75"/>
      <c r="L2" s="75"/>
      <c r="M2" s="75"/>
      <c r="N2" s="75"/>
    </row>
    <row r="3" spans="2:14">
      <c r="B3" s="71" t="s">
        <v>45</v>
      </c>
      <c r="C3" s="71"/>
      <c r="D3" s="71"/>
      <c r="E3" s="71"/>
      <c r="F3" s="71"/>
      <c r="G3" s="64"/>
      <c r="H3" s="65"/>
      <c r="I3" s="65"/>
      <c r="J3" s="66"/>
      <c r="K3" s="2" t="s">
        <v>46</v>
      </c>
      <c r="L3" s="64"/>
      <c r="M3" s="65" t="s">
        <v>46</v>
      </c>
      <c r="N3" s="65"/>
    </row>
    <row r="4" spans="2:14">
      <c r="B4" s="71" t="s">
        <v>47</v>
      </c>
      <c r="C4" s="71"/>
      <c r="D4" s="71"/>
      <c r="E4" s="71"/>
      <c r="F4" s="71"/>
      <c r="G4" s="40"/>
      <c r="H4" s="41"/>
      <c r="I4" s="41"/>
      <c r="J4" s="41"/>
      <c r="K4" s="2" t="s">
        <v>48</v>
      </c>
      <c r="L4" s="64"/>
      <c r="M4" s="65" t="s">
        <v>46</v>
      </c>
      <c r="N4" s="65"/>
    </row>
    <row r="5" spans="2:14">
      <c r="B5" s="71" t="s">
        <v>49</v>
      </c>
      <c r="C5" s="71"/>
      <c r="D5" s="71"/>
      <c r="E5" s="71"/>
      <c r="F5" s="71"/>
      <c r="G5" s="40"/>
      <c r="H5" s="41"/>
      <c r="I5" s="41"/>
      <c r="J5" s="41"/>
      <c r="K5" s="2" t="s">
        <v>50</v>
      </c>
      <c r="L5" s="64"/>
      <c r="M5" s="65" t="s">
        <v>46</v>
      </c>
      <c r="N5" s="65"/>
    </row>
    <row r="6" spans="2:14">
      <c r="B6" s="67"/>
      <c r="C6" s="68"/>
      <c r="D6" s="68"/>
      <c r="E6" s="68"/>
      <c r="F6" s="68"/>
      <c r="G6" s="68"/>
      <c r="H6" s="68"/>
      <c r="I6" s="68"/>
      <c r="J6" s="68"/>
      <c r="K6" s="68"/>
      <c r="L6" s="68"/>
      <c r="M6" s="68"/>
      <c r="N6" s="69"/>
    </row>
    <row r="7" spans="2:14" ht="15.75" customHeight="1">
      <c r="B7" s="70" t="s">
        <v>51</v>
      </c>
      <c r="C7" s="70"/>
      <c r="D7" s="70"/>
      <c r="E7" s="70"/>
      <c r="F7" s="70"/>
      <c r="G7" s="70"/>
      <c r="H7" s="70"/>
      <c r="I7" s="70"/>
      <c r="J7" s="70"/>
      <c r="K7" s="70"/>
      <c r="L7" s="70"/>
      <c r="M7" s="70"/>
      <c r="N7" s="70"/>
    </row>
    <row r="8" spans="2:14" ht="112.5" customHeight="1">
      <c r="B8" s="61" t="s">
        <v>52</v>
      </c>
      <c r="C8" s="62"/>
      <c r="D8" s="62"/>
      <c r="E8" s="62"/>
      <c r="F8" s="62"/>
      <c r="G8" s="62"/>
      <c r="H8" s="62"/>
      <c r="I8" s="62"/>
      <c r="J8" s="62"/>
      <c r="K8" s="62"/>
      <c r="L8" s="62"/>
      <c r="M8" s="62"/>
      <c r="N8" s="63"/>
    </row>
    <row r="9" spans="2:14">
      <c r="B9" s="5"/>
      <c r="C9" s="6"/>
      <c r="D9" s="6"/>
      <c r="E9" s="6"/>
      <c r="F9" s="6"/>
      <c r="G9" s="6"/>
      <c r="H9" s="6"/>
      <c r="I9" s="6"/>
      <c r="J9" s="7"/>
      <c r="K9" s="6"/>
      <c r="L9" s="6"/>
      <c r="M9" s="6"/>
      <c r="N9" s="8"/>
    </row>
    <row r="10" spans="2:14" ht="15.75" customHeight="1">
      <c r="B10" s="9"/>
      <c r="E10" s="72" t="s">
        <v>0</v>
      </c>
      <c r="F10" s="73"/>
      <c r="G10" s="10">
        <v>1750905</v>
      </c>
      <c r="N10" s="11"/>
    </row>
    <row r="11" spans="2:14">
      <c r="B11" s="9"/>
      <c r="E11" s="72" t="s">
        <v>1</v>
      </c>
      <c r="F11" s="73"/>
      <c r="G11" s="12">
        <v>10.210000000000001</v>
      </c>
      <c r="N11" s="11"/>
    </row>
    <row r="12" spans="2:14" ht="15.75" customHeight="1">
      <c r="B12" s="9"/>
      <c r="E12" s="76" t="s">
        <v>2</v>
      </c>
      <c r="F12" s="77"/>
      <c r="G12" s="13">
        <v>3238</v>
      </c>
      <c r="H12" s="78" t="s">
        <v>3</v>
      </c>
      <c r="I12" s="59"/>
      <c r="J12" s="59"/>
      <c r="K12" s="59"/>
      <c r="L12" s="59"/>
      <c r="M12" s="59"/>
      <c r="N12" s="60"/>
    </row>
    <row r="13" spans="2:14" ht="26.4">
      <c r="B13" s="1" t="s">
        <v>53</v>
      </c>
      <c r="C13" s="1" t="s">
        <v>54</v>
      </c>
      <c r="D13" s="1" t="s">
        <v>4</v>
      </c>
      <c r="E13" s="1" t="s">
        <v>5</v>
      </c>
      <c r="F13" s="1" t="s">
        <v>6</v>
      </c>
      <c r="G13" s="1" t="s">
        <v>7</v>
      </c>
      <c r="H13" s="1" t="s">
        <v>8</v>
      </c>
      <c r="I13" s="1" t="s">
        <v>9</v>
      </c>
      <c r="J13" s="1" t="s">
        <v>10</v>
      </c>
      <c r="K13" s="1" t="s">
        <v>11</v>
      </c>
      <c r="L13" s="1" t="s">
        <v>12</v>
      </c>
      <c r="M13" s="1" t="s">
        <v>13</v>
      </c>
      <c r="N13" s="1" t="s">
        <v>14</v>
      </c>
    </row>
    <row r="14" spans="2:14">
      <c r="B14" s="3">
        <v>1</v>
      </c>
      <c r="C14" s="3">
        <v>92121504</v>
      </c>
      <c r="D14" s="14" t="s">
        <v>15</v>
      </c>
      <c r="E14" s="14" t="s">
        <v>16</v>
      </c>
      <c r="F14" s="15">
        <v>0.08</v>
      </c>
      <c r="G14" s="16">
        <v>24</v>
      </c>
      <c r="H14" s="42">
        <f>(1750905*10.21)*47.59%/13*13/30*18+(1750905*10.21)*52.41%/11*11/30*18+(1750905*10.21)*47.59%/13*13/30*4+(1750905*10.21)*52.41%/11*11/30*4+(1750905*10.21)*47.59%/13*13/30*5+(1750905*10.21)*52.41%/11*11/30*5</f>
        <v>16089066.045000002</v>
      </c>
      <c r="I14" s="42">
        <f>H14+$G$12</f>
        <v>16092304.045000002</v>
      </c>
      <c r="J14" s="42">
        <f>I14*8%</f>
        <v>1287384.3236000002</v>
      </c>
      <c r="K14" s="42">
        <f>J14+I14</f>
        <v>17379688.368600003</v>
      </c>
      <c r="L14" s="42">
        <f>K14*10%</f>
        <v>1737968.8368600004</v>
      </c>
      <c r="M14" s="42">
        <f>L14*19%</f>
        <v>330214.07900340005</v>
      </c>
      <c r="N14" s="42">
        <f>ROUND((K14+M14),0)</f>
        <v>17709902</v>
      </c>
    </row>
    <row r="15" spans="2:14">
      <c r="B15" s="3">
        <f>B14+1</f>
        <v>2</v>
      </c>
      <c r="C15" s="3">
        <v>92121504</v>
      </c>
      <c r="D15" s="18" t="s">
        <v>17</v>
      </c>
      <c r="E15" s="14" t="s">
        <v>16</v>
      </c>
      <c r="F15" s="15">
        <v>0.08</v>
      </c>
      <c r="G15" s="16">
        <v>16</v>
      </c>
      <c r="H15" s="42">
        <f>((1750905*10.21)*47.59%/13*13/30*18)+((1750905*10.21)*52.41%/11*3/30*18)</f>
        <v>6637666.0837287279</v>
      </c>
      <c r="I15" s="42">
        <f t="shared" ref="I15:I29" si="0">H15+$G$12</f>
        <v>6640904.0837287279</v>
      </c>
      <c r="J15" s="42">
        <f>I15*8%</f>
        <v>531272.32669829822</v>
      </c>
      <c r="K15" s="42">
        <f>J15+I15</f>
        <v>7172176.4104270265</v>
      </c>
      <c r="L15" s="43">
        <f t="shared" ref="L15:L29" si="1">K15*10%</f>
        <v>717217.64104270271</v>
      </c>
      <c r="M15" s="43">
        <f t="shared" ref="M15:M29" si="2">L15*19%</f>
        <v>136271.35179811352</v>
      </c>
      <c r="N15" s="42">
        <f>ROUND((K15+M15),0)</f>
        <v>7308448</v>
      </c>
    </row>
    <row r="16" spans="2:14" ht="26.4">
      <c r="B16" s="3">
        <f t="shared" ref="B16:B29" si="3">B15+1</f>
        <v>3</v>
      </c>
      <c r="C16" s="3">
        <v>92121504</v>
      </c>
      <c r="D16" s="18" t="s">
        <v>18</v>
      </c>
      <c r="E16" s="14" t="s">
        <v>19</v>
      </c>
      <c r="F16" s="15">
        <v>0.1</v>
      </c>
      <c r="G16" s="16">
        <v>24</v>
      </c>
      <c r="H16" s="42">
        <f>(1750905*10.21)*47.59%/13*13/30*18+(1750905*10.21)*52.41%/11*11/30*18+(1750905*10.21)*47.59%/13*13/30*4+(1750905*10.21)*52.41%/11*11/30*4+(1750905*10.21)*47.59%/13*13/30*5+(1750905*10.21)*52.41%/11*11/30*5</f>
        <v>16089066.045000002</v>
      </c>
      <c r="I16" s="42">
        <f t="shared" si="0"/>
        <v>16092304.045000002</v>
      </c>
      <c r="J16" s="42">
        <f>I16*10%</f>
        <v>1609230.4045000002</v>
      </c>
      <c r="K16" s="42">
        <f>J16+I16</f>
        <v>17701534.449500002</v>
      </c>
      <c r="L16" s="42">
        <f t="shared" si="1"/>
        <v>1770153.4449500004</v>
      </c>
      <c r="M16" s="42">
        <f t="shared" si="2"/>
        <v>336329.15454050008</v>
      </c>
      <c r="N16" s="42">
        <f t="shared" ref="N16:N29" si="4">ROUND((K16+M16),0)</f>
        <v>18037864</v>
      </c>
    </row>
    <row r="17" spans="2:14" ht="26.4">
      <c r="B17" s="3">
        <f t="shared" si="3"/>
        <v>4</v>
      </c>
      <c r="C17" s="3">
        <v>92121504</v>
      </c>
      <c r="D17" s="18" t="s">
        <v>20</v>
      </c>
      <c r="E17" s="14" t="s">
        <v>16</v>
      </c>
      <c r="F17" s="15">
        <v>0.08</v>
      </c>
      <c r="G17" s="16">
        <v>24</v>
      </c>
      <c r="H17" s="42">
        <f>(1750905*10.21)*47.59%/13*13/30*18+(1750905*10.21)*52.41%/11*11/30*18+(1750905*10.21)*47.59%/13*13/30*4+(1750905*10.21)*52.41%/11*11/30*4+(1750905*10.21)*47.59%/13*13/30*5+(1750905*10.21)*52.41%/11*11/30*5</f>
        <v>16089066.045000002</v>
      </c>
      <c r="I17" s="42">
        <f t="shared" si="0"/>
        <v>16092304.045000002</v>
      </c>
      <c r="J17" s="42">
        <f t="shared" ref="J17:J29" si="5">I17*8%</f>
        <v>1287384.3236000002</v>
      </c>
      <c r="K17" s="42">
        <f t="shared" ref="K17:K29" si="6">J17+I17</f>
        <v>17379688.368600003</v>
      </c>
      <c r="L17" s="42">
        <f t="shared" si="1"/>
        <v>1737968.8368600004</v>
      </c>
      <c r="M17" s="42">
        <f t="shared" si="2"/>
        <v>330214.07900340005</v>
      </c>
      <c r="N17" s="42">
        <f t="shared" si="4"/>
        <v>17709902</v>
      </c>
    </row>
    <row r="18" spans="2:14">
      <c r="B18" s="3">
        <f t="shared" si="3"/>
        <v>5</v>
      </c>
      <c r="C18" s="3">
        <v>92121504</v>
      </c>
      <c r="D18" s="18" t="s">
        <v>21</v>
      </c>
      <c r="E18" s="14" t="s">
        <v>16</v>
      </c>
      <c r="F18" s="15">
        <v>0.08</v>
      </c>
      <c r="G18" s="16">
        <v>16</v>
      </c>
      <c r="H18" s="42">
        <f>((1750905*10.21)*47.59%/13*13/30*18)+((1750905*10.21)*52.41%/11*3/30*18)</f>
        <v>6637666.0837287279</v>
      </c>
      <c r="I18" s="42">
        <f t="shared" si="0"/>
        <v>6640904.0837287279</v>
      </c>
      <c r="J18" s="42">
        <f t="shared" si="5"/>
        <v>531272.32669829822</v>
      </c>
      <c r="K18" s="42">
        <f t="shared" si="6"/>
        <v>7172176.4104270265</v>
      </c>
      <c r="L18" s="43">
        <f t="shared" si="1"/>
        <v>717217.64104270271</v>
      </c>
      <c r="M18" s="43">
        <f t="shared" si="2"/>
        <v>136271.35179811352</v>
      </c>
      <c r="N18" s="42">
        <f t="shared" si="4"/>
        <v>7308448</v>
      </c>
    </row>
    <row r="19" spans="2:14">
      <c r="B19" s="3">
        <f t="shared" si="3"/>
        <v>6</v>
      </c>
      <c r="C19" s="3">
        <v>92121504</v>
      </c>
      <c r="D19" s="18" t="s">
        <v>22</v>
      </c>
      <c r="E19" s="14" t="s">
        <v>16</v>
      </c>
      <c r="F19" s="15">
        <v>0.08</v>
      </c>
      <c r="G19" s="16">
        <v>16</v>
      </c>
      <c r="H19" s="42">
        <f>((1750905*10.21)*47.59%/13*13/30*18)+((1750905*10.21)*52.41%/11*3/30*18)</f>
        <v>6637666.0837287279</v>
      </c>
      <c r="I19" s="42">
        <f t="shared" si="0"/>
        <v>6640904.0837287279</v>
      </c>
      <c r="J19" s="42">
        <f t="shared" si="5"/>
        <v>531272.32669829822</v>
      </c>
      <c r="K19" s="42">
        <f t="shared" si="6"/>
        <v>7172176.4104270265</v>
      </c>
      <c r="L19" s="43">
        <f t="shared" si="1"/>
        <v>717217.64104270271</v>
      </c>
      <c r="M19" s="43">
        <f t="shared" si="2"/>
        <v>136271.35179811352</v>
      </c>
      <c r="N19" s="42">
        <f t="shared" si="4"/>
        <v>7308448</v>
      </c>
    </row>
    <row r="20" spans="2:14">
      <c r="B20" s="3">
        <f t="shared" si="3"/>
        <v>7</v>
      </c>
      <c r="C20" s="3">
        <v>92121504</v>
      </c>
      <c r="D20" s="18" t="s">
        <v>23</v>
      </c>
      <c r="E20" s="14" t="s">
        <v>16</v>
      </c>
      <c r="F20" s="15">
        <v>0.08</v>
      </c>
      <c r="G20" s="16">
        <v>12</v>
      </c>
      <c r="H20" s="42">
        <f t="shared" ref="H20:H27" si="7">(1750905*10.21)*47.59%/13*12/30*18</f>
        <v>4711868.6343480004</v>
      </c>
      <c r="I20" s="42">
        <f>H20+$G$12</f>
        <v>4715106.6343480004</v>
      </c>
      <c r="J20" s="42">
        <f t="shared" si="5"/>
        <v>377208.53074784006</v>
      </c>
      <c r="K20" s="42">
        <f t="shared" si="6"/>
        <v>5092315.1650958406</v>
      </c>
      <c r="L20" s="42">
        <f t="shared" si="1"/>
        <v>509231.51650958409</v>
      </c>
      <c r="M20" s="42">
        <f t="shared" si="2"/>
        <v>96753.988136820975</v>
      </c>
      <c r="N20" s="42">
        <f t="shared" si="4"/>
        <v>5189069</v>
      </c>
    </row>
    <row r="21" spans="2:14">
      <c r="B21" s="3">
        <f t="shared" si="3"/>
        <v>8</v>
      </c>
      <c r="C21" s="3">
        <v>92121504</v>
      </c>
      <c r="D21" s="18" t="s">
        <v>24</v>
      </c>
      <c r="E21" s="14" t="s">
        <v>16</v>
      </c>
      <c r="F21" s="15">
        <v>0.08</v>
      </c>
      <c r="G21" s="16">
        <v>12</v>
      </c>
      <c r="H21" s="42">
        <f t="shared" si="7"/>
        <v>4711868.6343480004</v>
      </c>
      <c r="I21" s="42">
        <f t="shared" si="0"/>
        <v>4715106.6343480004</v>
      </c>
      <c r="J21" s="42">
        <f t="shared" si="5"/>
        <v>377208.53074784006</v>
      </c>
      <c r="K21" s="42">
        <f t="shared" si="6"/>
        <v>5092315.1650958406</v>
      </c>
      <c r="L21" s="42">
        <f t="shared" si="1"/>
        <v>509231.51650958409</v>
      </c>
      <c r="M21" s="42">
        <f t="shared" si="2"/>
        <v>96753.988136820975</v>
      </c>
      <c r="N21" s="42">
        <f t="shared" si="4"/>
        <v>5189069</v>
      </c>
    </row>
    <row r="22" spans="2:14">
      <c r="B22" s="3">
        <f t="shared" si="3"/>
        <v>9</v>
      </c>
      <c r="C22" s="3">
        <v>92121504</v>
      </c>
      <c r="D22" s="18" t="s">
        <v>25</v>
      </c>
      <c r="E22" s="14" t="s">
        <v>16</v>
      </c>
      <c r="F22" s="15">
        <v>0.08</v>
      </c>
      <c r="G22" s="16">
        <v>12</v>
      </c>
      <c r="H22" s="42">
        <f t="shared" si="7"/>
        <v>4711868.6343480004</v>
      </c>
      <c r="I22" s="42">
        <f t="shared" si="0"/>
        <v>4715106.6343480004</v>
      </c>
      <c r="J22" s="42">
        <f t="shared" si="5"/>
        <v>377208.53074784006</v>
      </c>
      <c r="K22" s="42">
        <f t="shared" si="6"/>
        <v>5092315.1650958406</v>
      </c>
      <c r="L22" s="42">
        <f t="shared" si="1"/>
        <v>509231.51650958409</v>
      </c>
      <c r="M22" s="42">
        <f t="shared" si="2"/>
        <v>96753.988136820975</v>
      </c>
      <c r="N22" s="42">
        <f t="shared" si="4"/>
        <v>5189069</v>
      </c>
    </row>
    <row r="23" spans="2:14" ht="26.4">
      <c r="B23" s="3">
        <f t="shared" si="3"/>
        <v>10</v>
      </c>
      <c r="C23" s="3">
        <v>92121504</v>
      </c>
      <c r="D23" s="18" t="s">
        <v>26</v>
      </c>
      <c r="E23" s="14" t="s">
        <v>16</v>
      </c>
      <c r="F23" s="15">
        <v>0.08</v>
      </c>
      <c r="G23" s="16">
        <v>12</v>
      </c>
      <c r="H23" s="42">
        <f t="shared" si="7"/>
        <v>4711868.6343480004</v>
      </c>
      <c r="I23" s="42">
        <f t="shared" si="0"/>
        <v>4715106.6343480004</v>
      </c>
      <c r="J23" s="42">
        <f t="shared" si="5"/>
        <v>377208.53074784006</v>
      </c>
      <c r="K23" s="42">
        <f t="shared" si="6"/>
        <v>5092315.1650958406</v>
      </c>
      <c r="L23" s="42">
        <f t="shared" si="1"/>
        <v>509231.51650958409</v>
      </c>
      <c r="M23" s="42">
        <f t="shared" si="2"/>
        <v>96753.988136820975</v>
      </c>
      <c r="N23" s="42">
        <f t="shared" si="4"/>
        <v>5189069</v>
      </c>
    </row>
    <row r="24" spans="2:14">
      <c r="B24" s="3">
        <f t="shared" si="3"/>
        <v>11</v>
      </c>
      <c r="C24" s="3">
        <v>92121504</v>
      </c>
      <c r="D24" s="18" t="s">
        <v>27</v>
      </c>
      <c r="E24" s="14" t="s">
        <v>16</v>
      </c>
      <c r="F24" s="15">
        <v>0.08</v>
      </c>
      <c r="G24" s="16">
        <v>12</v>
      </c>
      <c r="H24" s="42">
        <f t="shared" si="7"/>
        <v>4711868.6343480004</v>
      </c>
      <c r="I24" s="42">
        <f t="shared" si="0"/>
        <v>4715106.6343480004</v>
      </c>
      <c r="J24" s="42">
        <f t="shared" si="5"/>
        <v>377208.53074784006</v>
      </c>
      <c r="K24" s="42">
        <f t="shared" si="6"/>
        <v>5092315.1650958406</v>
      </c>
      <c r="L24" s="42">
        <f t="shared" si="1"/>
        <v>509231.51650958409</v>
      </c>
      <c r="M24" s="42">
        <f t="shared" si="2"/>
        <v>96753.988136820975</v>
      </c>
      <c r="N24" s="42">
        <f t="shared" si="4"/>
        <v>5189069</v>
      </c>
    </row>
    <row r="25" spans="2:14">
      <c r="B25" s="3">
        <f t="shared" si="3"/>
        <v>12</v>
      </c>
      <c r="C25" s="3">
        <v>92121504</v>
      </c>
      <c r="D25" s="18" t="s">
        <v>28</v>
      </c>
      <c r="E25" s="14" t="s">
        <v>16</v>
      </c>
      <c r="F25" s="15">
        <v>0.08</v>
      </c>
      <c r="G25" s="16">
        <v>12</v>
      </c>
      <c r="H25" s="42">
        <f t="shared" si="7"/>
        <v>4711868.6343480004</v>
      </c>
      <c r="I25" s="42">
        <f t="shared" si="0"/>
        <v>4715106.6343480004</v>
      </c>
      <c r="J25" s="42">
        <f t="shared" si="5"/>
        <v>377208.53074784006</v>
      </c>
      <c r="K25" s="42">
        <f t="shared" si="6"/>
        <v>5092315.1650958406</v>
      </c>
      <c r="L25" s="42">
        <f t="shared" si="1"/>
        <v>509231.51650958409</v>
      </c>
      <c r="M25" s="42">
        <f t="shared" si="2"/>
        <v>96753.988136820975</v>
      </c>
      <c r="N25" s="42">
        <f t="shared" si="4"/>
        <v>5189069</v>
      </c>
    </row>
    <row r="26" spans="2:14">
      <c r="B26" s="3">
        <f t="shared" si="3"/>
        <v>13</v>
      </c>
      <c r="C26" s="3">
        <v>92121504</v>
      </c>
      <c r="D26" s="18" t="s">
        <v>29</v>
      </c>
      <c r="E26" s="14" t="s">
        <v>16</v>
      </c>
      <c r="F26" s="15">
        <v>0.08</v>
      </c>
      <c r="G26" s="16">
        <v>12</v>
      </c>
      <c r="H26" s="42">
        <f t="shared" si="7"/>
        <v>4711868.6343480004</v>
      </c>
      <c r="I26" s="42">
        <f t="shared" si="0"/>
        <v>4715106.6343480004</v>
      </c>
      <c r="J26" s="42">
        <f t="shared" si="5"/>
        <v>377208.53074784006</v>
      </c>
      <c r="K26" s="42">
        <f t="shared" si="6"/>
        <v>5092315.1650958406</v>
      </c>
      <c r="L26" s="42">
        <f t="shared" si="1"/>
        <v>509231.51650958409</v>
      </c>
      <c r="M26" s="42">
        <f t="shared" si="2"/>
        <v>96753.988136820975</v>
      </c>
      <c r="N26" s="42">
        <f t="shared" si="4"/>
        <v>5189069</v>
      </c>
    </row>
    <row r="27" spans="2:14">
      <c r="B27" s="3">
        <f t="shared" si="3"/>
        <v>14</v>
      </c>
      <c r="C27" s="3">
        <v>92121504</v>
      </c>
      <c r="D27" s="18" t="s">
        <v>30</v>
      </c>
      <c r="E27" s="14" t="s">
        <v>16</v>
      </c>
      <c r="F27" s="15">
        <v>0.08</v>
      </c>
      <c r="G27" s="16">
        <v>12</v>
      </c>
      <c r="H27" s="42">
        <f t="shared" si="7"/>
        <v>4711868.6343480004</v>
      </c>
      <c r="I27" s="42">
        <f t="shared" si="0"/>
        <v>4715106.6343480004</v>
      </c>
      <c r="J27" s="42">
        <f t="shared" si="5"/>
        <v>377208.53074784006</v>
      </c>
      <c r="K27" s="42">
        <f t="shared" si="6"/>
        <v>5092315.1650958406</v>
      </c>
      <c r="L27" s="42">
        <f t="shared" si="1"/>
        <v>509231.51650958409</v>
      </c>
      <c r="M27" s="42">
        <f>L27*19%</f>
        <v>96753.988136820975</v>
      </c>
      <c r="N27" s="42">
        <f t="shared" si="4"/>
        <v>5189069</v>
      </c>
    </row>
    <row r="28" spans="2:14" ht="26.4">
      <c r="B28" s="3">
        <f t="shared" si="3"/>
        <v>15</v>
      </c>
      <c r="C28" s="3">
        <v>92121504</v>
      </c>
      <c r="D28" s="18" t="s">
        <v>18</v>
      </c>
      <c r="E28" s="14" t="s">
        <v>16</v>
      </c>
      <c r="F28" s="15">
        <v>0.08</v>
      </c>
      <c r="G28" s="16">
        <v>10</v>
      </c>
      <c r="H28" s="42">
        <f>(1750905*10.21)*47.59%/13*10/30*18</f>
        <v>3926557.1952900002</v>
      </c>
      <c r="I28" s="42">
        <f t="shared" si="0"/>
        <v>3929795.1952900002</v>
      </c>
      <c r="J28" s="42">
        <f t="shared" si="5"/>
        <v>314383.61562320002</v>
      </c>
      <c r="K28" s="42">
        <f t="shared" si="6"/>
        <v>4244178.8109132005</v>
      </c>
      <c r="L28" s="42">
        <f t="shared" si="1"/>
        <v>424417.88109132007</v>
      </c>
      <c r="M28" s="42">
        <f t="shared" si="2"/>
        <v>80639.397407350814</v>
      </c>
      <c r="N28" s="42">
        <f t="shared" si="4"/>
        <v>4324818</v>
      </c>
    </row>
    <row r="29" spans="2:14" ht="26.4">
      <c r="B29" s="3">
        <f t="shared" si="3"/>
        <v>16</v>
      </c>
      <c r="C29" s="3">
        <v>92121504</v>
      </c>
      <c r="D29" s="18" t="s">
        <v>31</v>
      </c>
      <c r="E29" s="14" t="s">
        <v>16</v>
      </c>
      <c r="F29" s="15">
        <v>0.08</v>
      </c>
      <c r="G29" s="16">
        <v>12</v>
      </c>
      <c r="H29" s="42">
        <f>(1750905*10.21)*47.59%/13*12/30*18</f>
        <v>4711868.6343480004</v>
      </c>
      <c r="I29" s="42">
        <f t="shared" si="0"/>
        <v>4715106.6343480004</v>
      </c>
      <c r="J29" s="42">
        <f t="shared" si="5"/>
        <v>377208.53074784006</v>
      </c>
      <c r="K29" s="42">
        <f t="shared" si="6"/>
        <v>5092315.1650958406</v>
      </c>
      <c r="L29" s="42">
        <f t="shared" si="1"/>
        <v>509231.51650958409</v>
      </c>
      <c r="M29" s="42">
        <f t="shared" si="2"/>
        <v>96753.988136820975</v>
      </c>
      <c r="N29" s="42">
        <f t="shared" si="4"/>
        <v>5189069</v>
      </c>
    </row>
    <row r="30" spans="2:14">
      <c r="B30" s="9"/>
      <c r="D30" s="19"/>
      <c r="E30" s="20"/>
      <c r="F30" s="21"/>
      <c r="G30" s="22"/>
      <c r="H30" s="23"/>
      <c r="I30" s="23"/>
      <c r="J30" s="23"/>
      <c r="K30" s="23"/>
      <c r="L30" s="23"/>
      <c r="M30" s="24">
        <f>SUM(M14:M29)</f>
        <v>2356996.65858038</v>
      </c>
      <c r="N30" s="24">
        <f>SUM(N14:N29)</f>
        <v>126409451</v>
      </c>
    </row>
    <row r="31" spans="2:14">
      <c r="B31" s="9"/>
      <c r="I31" s="25"/>
      <c r="J31" s="25"/>
      <c r="K31" s="25"/>
      <c r="M31" s="26" t="s">
        <v>32</v>
      </c>
      <c r="N31" s="27">
        <f>SUM(N14:N29)</f>
        <v>126409451</v>
      </c>
    </row>
    <row r="32" spans="2:14">
      <c r="B32" s="28"/>
      <c r="C32" s="29"/>
      <c r="D32" s="29"/>
      <c r="E32" s="29"/>
      <c r="F32" s="29"/>
      <c r="G32" s="29"/>
      <c r="H32" s="30"/>
      <c r="I32" s="30"/>
      <c r="J32" s="30"/>
      <c r="K32" s="30"/>
      <c r="L32" s="29"/>
      <c r="M32" s="29"/>
      <c r="N32" s="31"/>
    </row>
    <row r="33" spans="2:14">
      <c r="M33" s="32"/>
      <c r="N33" s="33"/>
    </row>
    <row r="35" spans="2:14">
      <c r="B35" s="5"/>
      <c r="C35" s="6"/>
      <c r="D35" s="6"/>
      <c r="E35" s="6"/>
      <c r="F35" s="6"/>
      <c r="G35" s="6"/>
      <c r="H35" s="6"/>
      <c r="I35" s="6"/>
      <c r="J35" s="7"/>
      <c r="K35" s="6"/>
      <c r="L35" s="6"/>
      <c r="M35" s="6"/>
      <c r="N35" s="8"/>
    </row>
    <row r="36" spans="2:14">
      <c r="B36" s="9"/>
      <c r="E36" s="72" t="s">
        <v>0</v>
      </c>
      <c r="F36" s="73"/>
      <c r="G36" s="10">
        <v>1750905</v>
      </c>
      <c r="N36" s="11"/>
    </row>
    <row r="37" spans="2:14">
      <c r="B37" s="9"/>
      <c r="E37" s="72" t="s">
        <v>1</v>
      </c>
      <c r="F37" s="73"/>
      <c r="G37" s="12">
        <v>10.210000000000001</v>
      </c>
      <c r="N37" s="11"/>
    </row>
    <row r="38" spans="2:14" ht="15.75" customHeight="1">
      <c r="B38" s="9"/>
      <c r="E38" s="72" t="s">
        <v>2</v>
      </c>
      <c r="F38" s="73"/>
      <c r="G38" s="34">
        <v>3238</v>
      </c>
      <c r="H38" s="58" t="s">
        <v>33</v>
      </c>
      <c r="I38" s="59"/>
      <c r="J38" s="59"/>
      <c r="K38" s="59"/>
      <c r="L38" s="59"/>
      <c r="M38" s="59"/>
      <c r="N38" s="60"/>
    </row>
    <row r="39" spans="2:14" ht="33" customHeight="1">
      <c r="B39" s="1" t="s">
        <v>53</v>
      </c>
      <c r="C39" s="1" t="s">
        <v>54</v>
      </c>
      <c r="D39" s="1" t="s">
        <v>4</v>
      </c>
      <c r="E39" s="1" t="s">
        <v>5</v>
      </c>
      <c r="F39" s="1" t="s">
        <v>6</v>
      </c>
      <c r="G39" s="1" t="s">
        <v>7</v>
      </c>
      <c r="H39" s="1" t="s">
        <v>8</v>
      </c>
      <c r="I39" s="1" t="s">
        <v>9</v>
      </c>
      <c r="J39" s="1" t="s">
        <v>10</v>
      </c>
      <c r="K39" s="1" t="s">
        <v>11</v>
      </c>
      <c r="L39" s="1" t="s">
        <v>12</v>
      </c>
      <c r="M39" s="1" t="s">
        <v>13</v>
      </c>
      <c r="N39" s="1" t="s">
        <v>34</v>
      </c>
    </row>
    <row r="40" spans="2:14">
      <c r="B40" s="3">
        <v>1</v>
      </c>
      <c r="C40" s="3">
        <v>92121504</v>
      </c>
      <c r="D40" s="14" t="s">
        <v>15</v>
      </c>
      <c r="E40" s="14" t="s">
        <v>16</v>
      </c>
      <c r="F40" s="15">
        <v>0.08</v>
      </c>
      <c r="G40" s="16">
        <v>24</v>
      </c>
      <c r="H40" s="42">
        <f>(1750905*10.21)*47.59%/13*13/30*20+(1750905*10.21)*52.41%/11*11/30*20+(1750905*10.21)*47.59%/13*13/30*4+(1750905*10.21)*52.41%/11*11/30*4+(1750905*10.21)*47.59%/13*13/30*6+(1750905*10.21)*52.41%/11*11/30*6</f>
        <v>17876740.050000001</v>
      </c>
      <c r="I40" s="42">
        <f t="shared" ref="I40:I55" si="8">H40+$G$12</f>
        <v>17879978.050000001</v>
      </c>
      <c r="J40" s="42">
        <f>I40*8%</f>
        <v>1430398.2440000002</v>
      </c>
      <c r="K40" s="42">
        <f t="shared" ref="K40:K55" si="9">J40+I40</f>
        <v>19310376.294</v>
      </c>
      <c r="L40" s="42">
        <f>K40*10%</f>
        <v>1931037.6294</v>
      </c>
      <c r="M40" s="42">
        <f>L40*19%</f>
        <v>366897.14958600001</v>
      </c>
      <c r="N40" s="42">
        <f>ROUND((K40+M40),0)</f>
        <v>19677273</v>
      </c>
    </row>
    <row r="41" spans="2:14">
      <c r="B41" s="3">
        <f>B40+1</f>
        <v>2</v>
      </c>
      <c r="C41" s="3">
        <v>92121504</v>
      </c>
      <c r="D41" s="18" t="s">
        <v>17</v>
      </c>
      <c r="E41" s="14" t="s">
        <v>16</v>
      </c>
      <c r="F41" s="15">
        <v>0.08</v>
      </c>
      <c r="G41" s="16">
        <v>16</v>
      </c>
      <c r="H41" s="42">
        <f>(1750905*10.21)*47.59%/30*20+(1750905*10.21)*52.41%/11*3/30*20</f>
        <v>7375184.5374763645</v>
      </c>
      <c r="I41" s="42">
        <f t="shared" si="8"/>
        <v>7378422.5374763645</v>
      </c>
      <c r="J41" s="42">
        <f>I41*8%</f>
        <v>590273.80299810914</v>
      </c>
      <c r="K41" s="42">
        <f t="shared" si="9"/>
        <v>7968696.3404744733</v>
      </c>
      <c r="L41" s="42">
        <f t="shared" ref="L41:L55" si="10">K41*10%</f>
        <v>796869.63404744735</v>
      </c>
      <c r="M41" s="42">
        <f t="shared" ref="M41:M52" si="11">L41*19%</f>
        <v>151405.23046901499</v>
      </c>
      <c r="N41" s="42">
        <f t="shared" ref="N41:N55" si="12">ROUND((K41+M41),0)</f>
        <v>8120102</v>
      </c>
    </row>
    <row r="42" spans="2:14" ht="26.4">
      <c r="B42" s="3">
        <f t="shared" ref="B42:B55" si="13">B41+1</f>
        <v>3</v>
      </c>
      <c r="C42" s="3">
        <v>92121504</v>
      </c>
      <c r="D42" s="18" t="s">
        <v>18</v>
      </c>
      <c r="E42" s="14" t="s">
        <v>19</v>
      </c>
      <c r="F42" s="15">
        <v>0.1</v>
      </c>
      <c r="G42" s="16">
        <v>24</v>
      </c>
      <c r="H42" s="42">
        <f>(1750905*10.21)*47.59%/13*13/30*20+(1750905*10.21)*52.41%/11*11/30*20+(1750905*10.21)*47.59%/13*13/30*4+(1750905*10.21)*52.41%/11*11/30*4+(1750905*10.21)*47.59%/13*13/30*6+(1750905*10.21)*52.41%/11*11/30*6</f>
        <v>17876740.050000001</v>
      </c>
      <c r="I42" s="42">
        <f t="shared" si="8"/>
        <v>17879978.050000001</v>
      </c>
      <c r="J42" s="42">
        <f>I42*10%</f>
        <v>1787997.8050000002</v>
      </c>
      <c r="K42" s="42">
        <f t="shared" si="9"/>
        <v>19667975.855</v>
      </c>
      <c r="L42" s="42">
        <f t="shared" si="10"/>
        <v>1966797.5855</v>
      </c>
      <c r="M42" s="42">
        <f t="shared" si="11"/>
        <v>373691.54124500003</v>
      </c>
      <c r="N42" s="42">
        <f t="shared" si="12"/>
        <v>20041667</v>
      </c>
    </row>
    <row r="43" spans="2:14" ht="26.4">
      <c r="B43" s="3">
        <f t="shared" si="13"/>
        <v>4</v>
      </c>
      <c r="C43" s="3">
        <v>92121504</v>
      </c>
      <c r="D43" s="18" t="s">
        <v>20</v>
      </c>
      <c r="E43" s="14" t="s">
        <v>16</v>
      </c>
      <c r="F43" s="15">
        <v>0.08</v>
      </c>
      <c r="G43" s="16">
        <v>24</v>
      </c>
      <c r="H43" s="42">
        <f>(1750905*10.21)*47.59%/13*13/30*20+(1750905*10.21)*52.41%/11*11/30*20+(1750905*10.21)*47.59%/13*13/30*4+(1750905*10.21)*52.41%/11*11/30*4+(1750905*10.21)*47.59%/13*13/30*6+(1750905*10.21)*52.41%/11*11/30*6</f>
        <v>17876740.050000001</v>
      </c>
      <c r="I43" s="42">
        <f t="shared" si="8"/>
        <v>17879978.050000001</v>
      </c>
      <c r="J43" s="42">
        <f t="shared" ref="J43:J55" si="14">I43*8%</f>
        <v>1430398.2440000002</v>
      </c>
      <c r="K43" s="42">
        <f t="shared" si="9"/>
        <v>19310376.294</v>
      </c>
      <c r="L43" s="42">
        <f t="shared" si="10"/>
        <v>1931037.6294</v>
      </c>
      <c r="M43" s="42">
        <f t="shared" si="11"/>
        <v>366897.14958600001</v>
      </c>
      <c r="N43" s="42">
        <f t="shared" si="12"/>
        <v>19677273</v>
      </c>
    </row>
    <row r="44" spans="2:14">
      <c r="B44" s="3">
        <f t="shared" si="13"/>
        <v>5</v>
      </c>
      <c r="C44" s="3">
        <v>92121504</v>
      </c>
      <c r="D44" s="18" t="s">
        <v>21</v>
      </c>
      <c r="E44" s="14" t="s">
        <v>16</v>
      </c>
      <c r="F44" s="15">
        <v>0.08</v>
      </c>
      <c r="G44" s="16">
        <v>16</v>
      </c>
      <c r="H44" s="42">
        <f>(1750905*10.21)*47.59%/30*20+(1750905*10.21)*52.41%/11*3/30*20</f>
        <v>7375184.5374763645</v>
      </c>
      <c r="I44" s="42">
        <f t="shared" si="8"/>
        <v>7378422.5374763645</v>
      </c>
      <c r="J44" s="42">
        <f t="shared" si="14"/>
        <v>590273.80299810914</v>
      </c>
      <c r="K44" s="42">
        <f t="shared" si="9"/>
        <v>7968696.3404744733</v>
      </c>
      <c r="L44" s="42">
        <f t="shared" si="10"/>
        <v>796869.63404744735</v>
      </c>
      <c r="M44" s="42">
        <f t="shared" si="11"/>
        <v>151405.23046901499</v>
      </c>
      <c r="N44" s="42">
        <f t="shared" si="12"/>
        <v>8120102</v>
      </c>
    </row>
    <row r="45" spans="2:14">
      <c r="B45" s="3">
        <f t="shared" si="13"/>
        <v>6</v>
      </c>
      <c r="C45" s="3">
        <v>92121504</v>
      </c>
      <c r="D45" s="18" t="s">
        <v>22</v>
      </c>
      <c r="E45" s="14" t="s">
        <v>16</v>
      </c>
      <c r="F45" s="15">
        <v>0.08</v>
      </c>
      <c r="G45" s="16">
        <v>16</v>
      </c>
      <c r="H45" s="42">
        <f>(1750905*10.21)*47.59%/30*20+(1750905*10.21)*52.41%/11*3/30*20</f>
        <v>7375184.5374763645</v>
      </c>
      <c r="I45" s="42">
        <f t="shared" si="8"/>
        <v>7378422.5374763645</v>
      </c>
      <c r="J45" s="42">
        <f t="shared" si="14"/>
        <v>590273.80299810914</v>
      </c>
      <c r="K45" s="42">
        <f t="shared" si="9"/>
        <v>7968696.3404744733</v>
      </c>
      <c r="L45" s="42">
        <f t="shared" si="10"/>
        <v>796869.63404744735</v>
      </c>
      <c r="M45" s="42">
        <f t="shared" si="11"/>
        <v>151405.23046901499</v>
      </c>
      <c r="N45" s="42">
        <f t="shared" si="12"/>
        <v>8120102</v>
      </c>
    </row>
    <row r="46" spans="2:14">
      <c r="B46" s="3">
        <f t="shared" si="13"/>
        <v>7</v>
      </c>
      <c r="C46" s="3">
        <v>92121504</v>
      </c>
      <c r="D46" s="18" t="s">
        <v>23</v>
      </c>
      <c r="E46" s="14" t="s">
        <v>16</v>
      </c>
      <c r="F46" s="15">
        <v>0.08</v>
      </c>
      <c r="G46" s="16">
        <v>12</v>
      </c>
      <c r="H46" s="42">
        <f>(1750905*10.21)*47.59%/13*12/30*20</f>
        <v>5235409.5937200002</v>
      </c>
      <c r="I46" s="42">
        <f t="shared" si="8"/>
        <v>5238647.5937200002</v>
      </c>
      <c r="J46" s="42">
        <f t="shared" si="14"/>
        <v>419091.80749760004</v>
      </c>
      <c r="K46" s="42">
        <f t="shared" si="9"/>
        <v>5657739.4012176003</v>
      </c>
      <c r="L46" s="42">
        <f t="shared" si="10"/>
        <v>565773.94012176001</v>
      </c>
      <c r="M46" s="42">
        <f t="shared" si="11"/>
        <v>107497.0486231344</v>
      </c>
      <c r="N46" s="42">
        <f t="shared" si="12"/>
        <v>5765236</v>
      </c>
    </row>
    <row r="47" spans="2:14">
      <c r="B47" s="3">
        <f t="shared" si="13"/>
        <v>8</v>
      </c>
      <c r="C47" s="3">
        <v>92121504</v>
      </c>
      <c r="D47" s="18" t="s">
        <v>24</v>
      </c>
      <c r="E47" s="14" t="s">
        <v>16</v>
      </c>
      <c r="F47" s="15">
        <v>0.08</v>
      </c>
      <c r="G47" s="16">
        <v>12</v>
      </c>
      <c r="H47" s="42">
        <f t="shared" ref="H47:H53" si="15">(1750905*10.21)*47.59%/13*12/30*20</f>
        <v>5235409.5937200002</v>
      </c>
      <c r="I47" s="42">
        <f t="shared" si="8"/>
        <v>5238647.5937200002</v>
      </c>
      <c r="J47" s="42">
        <f t="shared" si="14"/>
        <v>419091.80749760004</v>
      </c>
      <c r="K47" s="42">
        <f t="shared" si="9"/>
        <v>5657739.4012176003</v>
      </c>
      <c r="L47" s="42">
        <f t="shared" si="10"/>
        <v>565773.94012176001</v>
      </c>
      <c r="M47" s="42">
        <f t="shared" si="11"/>
        <v>107497.0486231344</v>
      </c>
      <c r="N47" s="42">
        <f t="shared" si="12"/>
        <v>5765236</v>
      </c>
    </row>
    <row r="48" spans="2:14">
      <c r="B48" s="3">
        <f t="shared" si="13"/>
        <v>9</v>
      </c>
      <c r="C48" s="3">
        <v>92121504</v>
      </c>
      <c r="D48" s="18" t="s">
        <v>25</v>
      </c>
      <c r="E48" s="14" t="s">
        <v>16</v>
      </c>
      <c r="F48" s="15">
        <v>0.08</v>
      </c>
      <c r="G48" s="16">
        <v>12</v>
      </c>
      <c r="H48" s="42">
        <f t="shared" si="15"/>
        <v>5235409.5937200002</v>
      </c>
      <c r="I48" s="42">
        <f t="shared" si="8"/>
        <v>5238647.5937200002</v>
      </c>
      <c r="J48" s="42">
        <f t="shared" si="14"/>
        <v>419091.80749760004</v>
      </c>
      <c r="K48" s="42">
        <f t="shared" si="9"/>
        <v>5657739.4012176003</v>
      </c>
      <c r="L48" s="42">
        <f t="shared" si="10"/>
        <v>565773.94012176001</v>
      </c>
      <c r="M48" s="42">
        <f t="shared" si="11"/>
        <v>107497.0486231344</v>
      </c>
      <c r="N48" s="42">
        <f t="shared" si="12"/>
        <v>5765236</v>
      </c>
    </row>
    <row r="49" spans="2:14" ht="26.4">
      <c r="B49" s="3">
        <f t="shared" si="13"/>
        <v>10</v>
      </c>
      <c r="C49" s="3">
        <v>92121504</v>
      </c>
      <c r="D49" s="18" t="s">
        <v>26</v>
      </c>
      <c r="E49" s="14" t="s">
        <v>16</v>
      </c>
      <c r="F49" s="15">
        <v>0.08</v>
      </c>
      <c r="G49" s="16">
        <v>12</v>
      </c>
      <c r="H49" s="42">
        <f t="shared" si="15"/>
        <v>5235409.5937200002</v>
      </c>
      <c r="I49" s="42">
        <f t="shared" si="8"/>
        <v>5238647.5937200002</v>
      </c>
      <c r="J49" s="42">
        <f t="shared" si="14"/>
        <v>419091.80749760004</v>
      </c>
      <c r="K49" s="42">
        <f t="shared" si="9"/>
        <v>5657739.4012176003</v>
      </c>
      <c r="L49" s="42">
        <f t="shared" si="10"/>
        <v>565773.94012176001</v>
      </c>
      <c r="M49" s="42">
        <f t="shared" si="11"/>
        <v>107497.0486231344</v>
      </c>
      <c r="N49" s="42">
        <f t="shared" si="12"/>
        <v>5765236</v>
      </c>
    </row>
    <row r="50" spans="2:14">
      <c r="B50" s="3">
        <f t="shared" si="13"/>
        <v>11</v>
      </c>
      <c r="C50" s="3">
        <v>92121504</v>
      </c>
      <c r="D50" s="18" t="s">
        <v>27</v>
      </c>
      <c r="E50" s="14" t="s">
        <v>16</v>
      </c>
      <c r="F50" s="15">
        <v>0.08</v>
      </c>
      <c r="G50" s="16">
        <v>12</v>
      </c>
      <c r="H50" s="42">
        <f t="shared" si="15"/>
        <v>5235409.5937200002</v>
      </c>
      <c r="I50" s="42">
        <f t="shared" si="8"/>
        <v>5238647.5937200002</v>
      </c>
      <c r="J50" s="42">
        <f t="shared" si="14"/>
        <v>419091.80749760004</v>
      </c>
      <c r="K50" s="42">
        <f t="shared" si="9"/>
        <v>5657739.4012176003</v>
      </c>
      <c r="L50" s="42">
        <f t="shared" si="10"/>
        <v>565773.94012176001</v>
      </c>
      <c r="M50" s="42">
        <f t="shared" si="11"/>
        <v>107497.0486231344</v>
      </c>
      <c r="N50" s="42">
        <f t="shared" si="12"/>
        <v>5765236</v>
      </c>
    </row>
    <row r="51" spans="2:14">
      <c r="B51" s="3">
        <f t="shared" si="13"/>
        <v>12</v>
      </c>
      <c r="C51" s="3">
        <v>92121504</v>
      </c>
      <c r="D51" s="18" t="s">
        <v>28</v>
      </c>
      <c r="E51" s="14" t="s">
        <v>16</v>
      </c>
      <c r="F51" s="15">
        <v>0.08</v>
      </c>
      <c r="G51" s="16">
        <v>12</v>
      </c>
      <c r="H51" s="42">
        <f t="shared" si="15"/>
        <v>5235409.5937200002</v>
      </c>
      <c r="I51" s="42">
        <f t="shared" si="8"/>
        <v>5238647.5937200002</v>
      </c>
      <c r="J51" s="42">
        <f t="shared" si="14"/>
        <v>419091.80749760004</v>
      </c>
      <c r="K51" s="42">
        <f t="shared" si="9"/>
        <v>5657739.4012176003</v>
      </c>
      <c r="L51" s="42">
        <f t="shared" si="10"/>
        <v>565773.94012176001</v>
      </c>
      <c r="M51" s="42">
        <f t="shared" si="11"/>
        <v>107497.0486231344</v>
      </c>
      <c r="N51" s="42">
        <f t="shared" si="12"/>
        <v>5765236</v>
      </c>
    </row>
    <row r="52" spans="2:14">
      <c r="B52" s="3">
        <f t="shared" si="13"/>
        <v>13</v>
      </c>
      <c r="C52" s="3">
        <v>92121504</v>
      </c>
      <c r="D52" s="18" t="s">
        <v>29</v>
      </c>
      <c r="E52" s="14" t="s">
        <v>16</v>
      </c>
      <c r="F52" s="15">
        <v>0.08</v>
      </c>
      <c r="G52" s="16">
        <v>12</v>
      </c>
      <c r="H52" s="42">
        <f t="shared" si="15"/>
        <v>5235409.5937200002</v>
      </c>
      <c r="I52" s="42">
        <f t="shared" si="8"/>
        <v>5238647.5937200002</v>
      </c>
      <c r="J52" s="42">
        <f t="shared" si="14"/>
        <v>419091.80749760004</v>
      </c>
      <c r="K52" s="42">
        <f t="shared" si="9"/>
        <v>5657739.4012176003</v>
      </c>
      <c r="L52" s="42">
        <f t="shared" si="10"/>
        <v>565773.94012176001</v>
      </c>
      <c r="M52" s="42">
        <f t="shared" si="11"/>
        <v>107497.0486231344</v>
      </c>
      <c r="N52" s="42">
        <f t="shared" si="12"/>
        <v>5765236</v>
      </c>
    </row>
    <row r="53" spans="2:14">
      <c r="B53" s="3">
        <f t="shared" si="13"/>
        <v>14</v>
      </c>
      <c r="C53" s="3">
        <v>92121504</v>
      </c>
      <c r="D53" s="18" t="s">
        <v>30</v>
      </c>
      <c r="E53" s="14" t="s">
        <v>16</v>
      </c>
      <c r="F53" s="15">
        <v>0.08</v>
      </c>
      <c r="G53" s="16">
        <v>12</v>
      </c>
      <c r="H53" s="42">
        <f t="shared" si="15"/>
        <v>5235409.5937200002</v>
      </c>
      <c r="I53" s="42">
        <f t="shared" si="8"/>
        <v>5238647.5937200002</v>
      </c>
      <c r="J53" s="42">
        <f t="shared" si="14"/>
        <v>419091.80749760004</v>
      </c>
      <c r="K53" s="42">
        <f t="shared" si="9"/>
        <v>5657739.4012176003</v>
      </c>
      <c r="L53" s="42">
        <f t="shared" si="10"/>
        <v>565773.94012176001</v>
      </c>
      <c r="M53" s="42">
        <f>L53*19%</f>
        <v>107497.0486231344</v>
      </c>
      <c r="N53" s="42">
        <f t="shared" si="12"/>
        <v>5765236</v>
      </c>
    </row>
    <row r="54" spans="2:14" ht="26.4">
      <c r="B54" s="3">
        <f t="shared" si="13"/>
        <v>15</v>
      </c>
      <c r="C54" s="3">
        <v>92121504</v>
      </c>
      <c r="D54" s="18" t="s">
        <v>18</v>
      </c>
      <c r="E54" s="14" t="s">
        <v>16</v>
      </c>
      <c r="F54" s="15">
        <v>0.08</v>
      </c>
      <c r="G54" s="16">
        <v>10</v>
      </c>
      <c r="H54" s="42">
        <f>(1750905*10.21)*47.59%/13*10/30*20</f>
        <v>4362841.3281000005</v>
      </c>
      <c r="I54" s="42">
        <f t="shared" si="8"/>
        <v>4366079.3281000005</v>
      </c>
      <c r="J54" s="42">
        <f t="shared" si="14"/>
        <v>349286.34624800005</v>
      </c>
      <c r="K54" s="42">
        <f t="shared" si="9"/>
        <v>4715365.6743480004</v>
      </c>
      <c r="L54" s="42">
        <f t="shared" si="10"/>
        <v>471536.56743480009</v>
      </c>
      <c r="M54" s="42">
        <f t="shared" ref="M54:M55" si="16">L54*19%</f>
        <v>89591.947812612023</v>
      </c>
      <c r="N54" s="42">
        <f t="shared" si="12"/>
        <v>4804958</v>
      </c>
    </row>
    <row r="55" spans="2:14" ht="26.4">
      <c r="B55" s="3">
        <f t="shared" si="13"/>
        <v>16</v>
      </c>
      <c r="C55" s="3">
        <v>92121504</v>
      </c>
      <c r="D55" s="18" t="s">
        <v>31</v>
      </c>
      <c r="E55" s="14" t="s">
        <v>16</v>
      </c>
      <c r="F55" s="15">
        <v>0.08</v>
      </c>
      <c r="G55" s="16">
        <v>12</v>
      </c>
      <c r="H55" s="42">
        <f t="shared" ref="H55" si="17">(1750905*10.21)*47.59%/13*12/30*20</f>
        <v>5235409.5937200002</v>
      </c>
      <c r="I55" s="42">
        <f t="shared" si="8"/>
        <v>5238647.5937200002</v>
      </c>
      <c r="J55" s="42">
        <f t="shared" si="14"/>
        <v>419091.80749760004</v>
      </c>
      <c r="K55" s="42">
        <f t="shared" si="9"/>
        <v>5657739.4012176003</v>
      </c>
      <c r="L55" s="42">
        <f t="shared" si="10"/>
        <v>565773.94012176001</v>
      </c>
      <c r="M55" s="42">
        <f t="shared" si="16"/>
        <v>107497.0486231344</v>
      </c>
      <c r="N55" s="42">
        <f t="shared" si="12"/>
        <v>5765236</v>
      </c>
    </row>
    <row r="56" spans="2:14">
      <c r="B56" s="28"/>
      <c r="C56" s="29"/>
      <c r="D56" s="29"/>
      <c r="E56" s="29"/>
      <c r="F56" s="29"/>
      <c r="G56" s="29"/>
      <c r="H56" s="29"/>
      <c r="I56" s="29"/>
      <c r="J56" s="29"/>
      <c r="K56" s="35"/>
      <c r="L56" s="36"/>
      <c r="M56" s="27">
        <f>SUM(M40:M55)</f>
        <v>2618766.9172448665</v>
      </c>
      <c r="N56" s="37">
        <f>SUM(N40:N55)</f>
        <v>140448601</v>
      </c>
    </row>
    <row r="57" spans="2:14" ht="32.1" customHeight="1">
      <c r="J57" s="25"/>
      <c r="K57" s="25"/>
    </row>
    <row r="59" spans="2:14">
      <c r="N59" s="38"/>
    </row>
    <row r="60" spans="2:14">
      <c r="D60" s="39"/>
      <c r="N60" s="25"/>
    </row>
    <row r="61" spans="2:14">
      <c r="D61" s="39"/>
      <c r="N61" s="38"/>
    </row>
  </sheetData>
  <sheetProtection algorithmName="SHA-512" hashValue="j9WACv/2E9cbuYYSp+AQlxZ9858zEfmUpKTzFACYljnzAC9cFI7JC8UG/yzQnCEmOevLLYOZXhaQxzH1h2f8lg==" saltValue="sVXRPO1xw9CjBKWWyOPURQ==" spinCount="100000" sheet="1" objects="1" scenarios="1"/>
  <mergeCells count="20">
    <mergeCell ref="B2:F2"/>
    <mergeCell ref="G2:N2"/>
    <mergeCell ref="E37:F37"/>
    <mergeCell ref="E10:F10"/>
    <mergeCell ref="E11:F11"/>
    <mergeCell ref="E12:F12"/>
    <mergeCell ref="E36:F36"/>
    <mergeCell ref="H12:N12"/>
    <mergeCell ref="H38:N38"/>
    <mergeCell ref="B8:N8"/>
    <mergeCell ref="G3:J3"/>
    <mergeCell ref="L3:N3"/>
    <mergeCell ref="L4:N4"/>
    <mergeCell ref="L5:N5"/>
    <mergeCell ref="B6:N6"/>
    <mergeCell ref="B7:N7"/>
    <mergeCell ref="B3:F3"/>
    <mergeCell ref="B4:F4"/>
    <mergeCell ref="B5:F5"/>
    <mergeCell ref="E38:F38"/>
  </mergeCells>
  <pageMargins left="0.7" right="0.7" top="0.75" bottom="0.75" header="0.3" footer="0.3"/>
  <pageSetup orientation="portrait" r:id="rId1"/>
  <ignoredErrors>
    <ignoredError sqref="H28 H15 H41 H54 J42" formula="1"/>
    <ignoredError sqref="B15 B16:B29"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P35"/>
  <sheetViews>
    <sheetView showGridLines="0" topLeftCell="J13" zoomScale="88" zoomScaleNormal="88" workbookViewId="0">
      <selection activeCell="O15" sqref="O15"/>
    </sheetView>
  </sheetViews>
  <sheetFormatPr baseColWidth="10" defaultColWidth="29.36328125" defaultRowHeight="13.2"/>
  <cols>
    <col min="1" max="2" width="6" style="4" customWidth="1"/>
    <col min="3" max="3" width="12.453125" style="4" customWidth="1"/>
    <col min="4" max="4" width="34.6328125" style="4" customWidth="1"/>
    <col min="5" max="6" width="14.90625" style="4" bestFit="1" customWidth="1"/>
    <col min="7" max="7" width="15.36328125" style="4" bestFit="1" customWidth="1"/>
    <col min="8" max="8" width="22.08984375" style="4" bestFit="1" customWidth="1"/>
    <col min="9" max="9" width="25.36328125" style="4" bestFit="1" customWidth="1"/>
    <col min="10" max="10" width="22" style="4" customWidth="1"/>
    <col min="11" max="11" width="20" style="4" bestFit="1" customWidth="1"/>
    <col min="12" max="12" width="19.90625" style="4" bestFit="1" customWidth="1"/>
    <col min="13" max="13" width="28" style="4" customWidth="1"/>
    <col min="14" max="14" width="32.6328125" style="4" customWidth="1"/>
    <col min="15" max="15" width="4.6328125" style="4" customWidth="1"/>
    <col min="16" max="16384" width="29.36328125" style="4"/>
  </cols>
  <sheetData>
    <row r="2" spans="2:14" ht="81" customHeight="1">
      <c r="B2" s="74"/>
      <c r="C2" s="74"/>
      <c r="D2" s="74"/>
      <c r="E2" s="74"/>
      <c r="F2" s="74"/>
      <c r="G2" s="75" t="s">
        <v>44</v>
      </c>
      <c r="H2" s="75"/>
      <c r="I2" s="75"/>
      <c r="J2" s="75"/>
      <c r="K2" s="75"/>
      <c r="L2" s="75"/>
      <c r="M2" s="75"/>
      <c r="N2" s="75"/>
    </row>
    <row r="3" spans="2:14">
      <c r="B3" s="71" t="s">
        <v>45</v>
      </c>
      <c r="C3" s="71"/>
      <c r="D3" s="71"/>
      <c r="E3" s="71"/>
      <c r="F3" s="71"/>
      <c r="G3" s="64"/>
      <c r="H3" s="84"/>
      <c r="I3" s="84"/>
      <c r="J3" s="85"/>
      <c r="K3" s="2" t="s">
        <v>46</v>
      </c>
      <c r="L3" s="64"/>
      <c r="M3" s="84" t="s">
        <v>46</v>
      </c>
      <c r="N3" s="85"/>
    </row>
    <row r="4" spans="2:14">
      <c r="B4" s="71" t="s">
        <v>47</v>
      </c>
      <c r="C4" s="71"/>
      <c r="D4" s="71"/>
      <c r="E4" s="71"/>
      <c r="F4" s="71"/>
      <c r="G4" s="40"/>
      <c r="H4" s="41"/>
      <c r="I4" s="41"/>
      <c r="J4" s="41"/>
      <c r="K4" s="2" t="s">
        <v>48</v>
      </c>
      <c r="L4" s="64"/>
      <c r="M4" s="84" t="s">
        <v>46</v>
      </c>
      <c r="N4" s="85"/>
    </row>
    <row r="5" spans="2:14">
      <c r="B5" s="71" t="s">
        <v>49</v>
      </c>
      <c r="C5" s="71"/>
      <c r="D5" s="71"/>
      <c r="E5" s="71"/>
      <c r="F5" s="71"/>
      <c r="G5" s="40"/>
      <c r="H5" s="41"/>
      <c r="I5" s="41"/>
      <c r="J5" s="41"/>
      <c r="K5" s="2" t="s">
        <v>50</v>
      </c>
      <c r="L5" s="64"/>
      <c r="M5" s="84" t="s">
        <v>46</v>
      </c>
      <c r="N5" s="85"/>
    </row>
    <row r="6" spans="2:14">
      <c r="B6" s="67"/>
      <c r="C6" s="68"/>
      <c r="D6" s="68"/>
      <c r="E6" s="68"/>
      <c r="F6" s="68"/>
      <c r="G6" s="68"/>
      <c r="H6" s="68"/>
      <c r="I6" s="68"/>
      <c r="J6" s="68"/>
      <c r="K6" s="68"/>
      <c r="L6" s="68"/>
      <c r="M6" s="68"/>
      <c r="N6" s="69"/>
    </row>
    <row r="7" spans="2:14">
      <c r="B7" s="70" t="s">
        <v>51</v>
      </c>
      <c r="C7" s="70"/>
      <c r="D7" s="70"/>
      <c r="E7" s="70"/>
      <c r="F7" s="70"/>
      <c r="G7" s="70"/>
      <c r="H7" s="70"/>
      <c r="I7" s="70"/>
      <c r="J7" s="70"/>
      <c r="K7" s="70"/>
      <c r="L7" s="70"/>
      <c r="M7" s="70"/>
      <c r="N7" s="70"/>
    </row>
    <row r="8" spans="2:14" ht="92.25" customHeight="1">
      <c r="B8" s="61" t="s">
        <v>52</v>
      </c>
      <c r="C8" s="62"/>
      <c r="D8" s="62"/>
      <c r="E8" s="62"/>
      <c r="F8" s="62"/>
      <c r="G8" s="62"/>
      <c r="H8" s="62"/>
      <c r="I8" s="62"/>
      <c r="J8" s="62"/>
      <c r="K8" s="62"/>
      <c r="L8" s="62"/>
      <c r="M8" s="62"/>
      <c r="N8" s="63"/>
    </row>
    <row r="9" spans="2:14">
      <c r="B9" s="9"/>
      <c r="D9" s="44"/>
      <c r="E9" s="45"/>
      <c r="F9" s="25"/>
      <c r="N9" s="11"/>
    </row>
    <row r="10" spans="2:14">
      <c r="B10" s="9"/>
      <c r="D10" s="46" t="s">
        <v>35</v>
      </c>
      <c r="E10" s="10">
        <v>1750905</v>
      </c>
      <c r="G10" s="25"/>
      <c r="H10" s="44"/>
      <c r="I10" s="45"/>
      <c r="N10" s="11"/>
    </row>
    <row r="11" spans="2:14">
      <c r="B11" s="9"/>
      <c r="D11" s="47" t="s">
        <v>36</v>
      </c>
      <c r="E11" s="10">
        <f>E10*14.13%</f>
        <v>247402.87650000001</v>
      </c>
      <c r="G11" s="25"/>
      <c r="H11" s="44"/>
      <c r="I11" s="45"/>
      <c r="N11" s="11"/>
    </row>
    <row r="12" spans="2:14">
      <c r="B12" s="9"/>
      <c r="D12" s="46" t="s">
        <v>37</v>
      </c>
      <c r="E12" s="10">
        <f>E10+E11</f>
        <v>1998307.8765</v>
      </c>
      <c r="F12" s="25"/>
      <c r="H12" s="44"/>
      <c r="I12" s="48"/>
      <c r="M12" s="49"/>
      <c r="N12" s="11"/>
    </row>
    <row r="13" spans="2:14">
      <c r="B13" s="9"/>
      <c r="D13" s="46" t="s">
        <v>1</v>
      </c>
      <c r="E13" s="50">
        <v>10.210000000000001</v>
      </c>
      <c r="H13" s="44"/>
      <c r="I13" s="86"/>
      <c r="J13" s="86"/>
      <c r="K13" s="86"/>
      <c r="L13" s="86"/>
      <c r="M13" s="86"/>
      <c r="N13" s="86"/>
    </row>
    <row r="14" spans="2:14">
      <c r="B14" s="9"/>
      <c r="D14" s="46" t="s">
        <v>2</v>
      </c>
      <c r="E14" s="34">
        <v>3238</v>
      </c>
      <c r="F14" s="79" t="s">
        <v>38</v>
      </c>
      <c r="G14" s="80"/>
      <c r="H14" s="80"/>
      <c r="I14" s="80"/>
      <c r="J14" s="80"/>
      <c r="K14" s="80"/>
      <c r="L14" s="80"/>
      <c r="M14" s="80"/>
      <c r="N14" s="81"/>
    </row>
    <row r="15" spans="2:14" ht="39.6">
      <c r="B15" s="1" t="s">
        <v>53</v>
      </c>
      <c r="C15" s="1" t="s">
        <v>54</v>
      </c>
      <c r="D15" s="1" t="s">
        <v>4</v>
      </c>
      <c r="E15" s="1" t="s">
        <v>5</v>
      </c>
      <c r="F15" s="1" t="s">
        <v>6</v>
      </c>
      <c r="G15" s="1" t="s">
        <v>7</v>
      </c>
      <c r="H15" s="1" t="s">
        <v>39</v>
      </c>
      <c r="I15" s="1" t="s">
        <v>9</v>
      </c>
      <c r="J15" s="1" t="s">
        <v>10</v>
      </c>
      <c r="K15" s="1" t="s">
        <v>11</v>
      </c>
      <c r="L15" s="1" t="s">
        <v>12</v>
      </c>
      <c r="M15" s="1" t="s">
        <v>13</v>
      </c>
      <c r="N15" s="1" t="s">
        <v>40</v>
      </c>
    </row>
    <row r="16" spans="2:14" ht="29.1" customHeight="1">
      <c r="B16" s="3">
        <v>1</v>
      </c>
      <c r="C16" s="3">
        <v>92121504</v>
      </c>
      <c r="D16" s="14" t="s">
        <v>15</v>
      </c>
      <c r="E16" s="14" t="s">
        <v>16</v>
      </c>
      <c r="F16" s="51">
        <v>0.08</v>
      </c>
      <c r="G16" s="16">
        <v>24</v>
      </c>
      <c r="H16" s="17">
        <f>($E12*$E13)*47.59%/13*13/30*20+(E12*E13)*52.41%/11*11/30*20+(E12*E13)*47.59%/13*13/30*4+(E12*E13)*52.41%/11*11/30*4+(E12*E13)*47.59%/13*13/30*6+(E12*E13)*52.41%/11*11/30*6</f>
        <v>20402723.419065002</v>
      </c>
      <c r="I16" s="17">
        <f>H16+$E$14</f>
        <v>20405961.419065002</v>
      </c>
      <c r="J16" s="17">
        <f>I16*8%</f>
        <v>1632476.9135252002</v>
      </c>
      <c r="K16" s="17">
        <f t="shared" ref="K16:K31" si="0">I16+J16</f>
        <v>22038438.332590204</v>
      </c>
      <c r="L16" s="17">
        <f t="shared" ref="L16:L31" si="1">K16*10%</f>
        <v>2203843.8332590205</v>
      </c>
      <c r="M16" s="17">
        <f>L16*19%</f>
        <v>418730.32831921388</v>
      </c>
      <c r="N16" s="17">
        <f t="shared" ref="N16:N31" si="2">ROUND((M16+K16),0)</f>
        <v>22457169</v>
      </c>
    </row>
    <row r="17" spans="2:16" ht="29.1" customHeight="1">
      <c r="B17" s="3">
        <f>B16+1</f>
        <v>2</v>
      </c>
      <c r="C17" s="3">
        <v>92121504</v>
      </c>
      <c r="D17" s="18" t="s">
        <v>17</v>
      </c>
      <c r="E17" s="14" t="s">
        <v>16</v>
      </c>
      <c r="F17" s="51">
        <v>0.08</v>
      </c>
      <c r="G17" s="16">
        <v>16</v>
      </c>
      <c r="H17" s="17">
        <f>(E12*E13)*47.59%/30*20+(E12*E13)*52.41%/11*3/30*20</f>
        <v>8417298.1126217749</v>
      </c>
      <c r="I17" s="17">
        <f t="shared" ref="I17:I31" si="3">H17+$E$14</f>
        <v>8420536.1126217749</v>
      </c>
      <c r="J17" s="17">
        <f>I17*8%</f>
        <v>673642.88900974195</v>
      </c>
      <c r="K17" s="17">
        <f t="shared" si="0"/>
        <v>9094179.001631517</v>
      </c>
      <c r="L17" s="17">
        <f t="shared" si="1"/>
        <v>909417.90016315179</v>
      </c>
      <c r="M17" s="17">
        <f t="shared" ref="M17:M31" si="4">L17*19%</f>
        <v>172789.40103099885</v>
      </c>
      <c r="N17" s="17">
        <f t="shared" si="2"/>
        <v>9266968</v>
      </c>
    </row>
    <row r="18" spans="2:16" ht="33" customHeight="1">
      <c r="B18" s="3">
        <f t="shared" ref="B18:B31" si="5">B17+1</f>
        <v>3</v>
      </c>
      <c r="C18" s="3">
        <v>92121504</v>
      </c>
      <c r="D18" s="18" t="s">
        <v>18</v>
      </c>
      <c r="E18" s="14" t="s">
        <v>19</v>
      </c>
      <c r="F18" s="51">
        <v>0.1</v>
      </c>
      <c r="G18" s="16">
        <v>24</v>
      </c>
      <c r="H18" s="17">
        <f>(E12*E13)*47.59%/13*13/30*20+(E12*E13)*52.41%/11*11/30*20+(E12*E13)*47.59%/13*13/30*4+(E12*E13)*52.41%/11*11/30*4+(E12*E13)*47.59%/13*13/30*6+(E12*E13)*52.41%/11*11/30*6</f>
        <v>20402723.419065002</v>
      </c>
      <c r="I18" s="17">
        <f t="shared" si="3"/>
        <v>20405961.419065002</v>
      </c>
      <c r="J18" s="17">
        <f>I18*10%</f>
        <v>2040596.1419065003</v>
      </c>
      <c r="K18" s="17">
        <f t="shared" si="0"/>
        <v>22446557.560971502</v>
      </c>
      <c r="L18" s="17">
        <f t="shared" si="1"/>
        <v>2244655.7560971505</v>
      </c>
      <c r="M18" s="17">
        <f t="shared" si="4"/>
        <v>426484.59365845862</v>
      </c>
      <c r="N18" s="17">
        <f t="shared" si="2"/>
        <v>22873042</v>
      </c>
    </row>
    <row r="19" spans="2:16" ht="37.35" customHeight="1">
      <c r="B19" s="3">
        <f t="shared" si="5"/>
        <v>4</v>
      </c>
      <c r="C19" s="3">
        <v>92121504</v>
      </c>
      <c r="D19" s="18" t="s">
        <v>20</v>
      </c>
      <c r="E19" s="14" t="s">
        <v>16</v>
      </c>
      <c r="F19" s="51">
        <v>0.08</v>
      </c>
      <c r="G19" s="16">
        <v>24</v>
      </c>
      <c r="H19" s="17">
        <f>($E12*$E13)*47.59%/13*13/30*20+($E12*$E13)*52.41%/11*11/30*20+($E12*$E13)*47.59%/13*13/30*4+($E12*$E13)*52.41%/11*11/30*4+($E12*$E13)*47.59%/13*13/30*6+($E12*$E13)*52.41%/11*11/30*6</f>
        <v>20402723.419065002</v>
      </c>
      <c r="I19" s="17">
        <f t="shared" si="3"/>
        <v>20405961.419065002</v>
      </c>
      <c r="J19" s="17">
        <f t="shared" ref="J19:J31" si="6">I19*8%</f>
        <v>1632476.9135252002</v>
      </c>
      <c r="K19" s="17">
        <f t="shared" si="0"/>
        <v>22038438.332590204</v>
      </c>
      <c r="L19" s="17">
        <f t="shared" si="1"/>
        <v>2203843.8332590205</v>
      </c>
      <c r="M19" s="17">
        <f t="shared" si="4"/>
        <v>418730.32831921388</v>
      </c>
      <c r="N19" s="17">
        <f t="shared" si="2"/>
        <v>22457169</v>
      </c>
    </row>
    <row r="20" spans="2:16" ht="29.1" customHeight="1">
      <c r="B20" s="3">
        <f t="shared" si="5"/>
        <v>5</v>
      </c>
      <c r="C20" s="3">
        <v>92121504</v>
      </c>
      <c r="D20" s="18" t="s">
        <v>21</v>
      </c>
      <c r="E20" s="14" t="s">
        <v>16</v>
      </c>
      <c r="F20" s="51">
        <v>0.08</v>
      </c>
      <c r="G20" s="16">
        <v>16</v>
      </c>
      <c r="H20" s="17">
        <f>(E12*E13)*47.59%/30*20+(E12*E13)*52.41%/11*3/30*20</f>
        <v>8417298.1126217749</v>
      </c>
      <c r="I20" s="17">
        <f t="shared" si="3"/>
        <v>8420536.1126217749</v>
      </c>
      <c r="J20" s="17">
        <f t="shared" si="6"/>
        <v>673642.88900974195</v>
      </c>
      <c r="K20" s="17">
        <f t="shared" si="0"/>
        <v>9094179.001631517</v>
      </c>
      <c r="L20" s="17">
        <f t="shared" si="1"/>
        <v>909417.90016315179</v>
      </c>
      <c r="M20" s="17">
        <f t="shared" si="4"/>
        <v>172789.40103099885</v>
      </c>
      <c r="N20" s="17">
        <f t="shared" si="2"/>
        <v>9266968</v>
      </c>
    </row>
    <row r="21" spans="2:16" ht="29.1" customHeight="1">
      <c r="B21" s="3">
        <f t="shared" si="5"/>
        <v>6</v>
      </c>
      <c r="C21" s="3">
        <v>92121504</v>
      </c>
      <c r="D21" s="18" t="s">
        <v>22</v>
      </c>
      <c r="E21" s="14" t="s">
        <v>16</v>
      </c>
      <c r="F21" s="51">
        <v>0.08</v>
      </c>
      <c r="G21" s="16">
        <v>16</v>
      </c>
      <c r="H21" s="17">
        <f>(E12*10.21)*47.59%/30*20+(E12*10.21)*52.41%/11*3/30*20</f>
        <v>8417298.1126217749</v>
      </c>
      <c r="I21" s="17">
        <f t="shared" si="3"/>
        <v>8420536.1126217749</v>
      </c>
      <c r="J21" s="17">
        <f t="shared" si="6"/>
        <v>673642.88900974195</v>
      </c>
      <c r="K21" s="17">
        <f t="shared" si="0"/>
        <v>9094179.001631517</v>
      </c>
      <c r="L21" s="17">
        <f t="shared" si="1"/>
        <v>909417.90016315179</v>
      </c>
      <c r="M21" s="17">
        <f t="shared" si="4"/>
        <v>172789.40103099885</v>
      </c>
      <c r="N21" s="17">
        <f t="shared" si="2"/>
        <v>9266968</v>
      </c>
    </row>
    <row r="22" spans="2:16" ht="29.1" customHeight="1">
      <c r="B22" s="3">
        <f t="shared" si="5"/>
        <v>7</v>
      </c>
      <c r="C22" s="3">
        <v>92121504</v>
      </c>
      <c r="D22" s="18" t="s">
        <v>23</v>
      </c>
      <c r="E22" s="14" t="s">
        <v>16</v>
      </c>
      <c r="F22" s="51">
        <v>0.08</v>
      </c>
      <c r="G22" s="16">
        <v>12</v>
      </c>
      <c r="H22" s="17">
        <f>(E12*10.21)*47.59%/13*12/30*20</f>
        <v>5975172.9693126362</v>
      </c>
      <c r="I22" s="17">
        <f t="shared" si="3"/>
        <v>5978410.9693126362</v>
      </c>
      <c r="J22" s="17">
        <f t="shared" si="6"/>
        <v>478272.87754501088</v>
      </c>
      <c r="K22" s="17">
        <f t="shared" si="0"/>
        <v>6456683.8468576474</v>
      </c>
      <c r="L22" s="17">
        <f t="shared" si="1"/>
        <v>645668.38468576479</v>
      </c>
      <c r="M22" s="17">
        <f t="shared" si="4"/>
        <v>122676.99309029531</v>
      </c>
      <c r="N22" s="17">
        <f t="shared" si="2"/>
        <v>6579361</v>
      </c>
    </row>
    <row r="23" spans="2:16" ht="29.1" customHeight="1">
      <c r="B23" s="3">
        <f t="shared" si="5"/>
        <v>8</v>
      </c>
      <c r="C23" s="3">
        <v>92121504</v>
      </c>
      <c r="D23" s="18" t="s">
        <v>24</v>
      </c>
      <c r="E23" s="14" t="s">
        <v>16</v>
      </c>
      <c r="F23" s="51">
        <v>0.08</v>
      </c>
      <c r="G23" s="16">
        <v>12</v>
      </c>
      <c r="H23" s="17">
        <f t="shared" ref="H23:H29" si="7">($E$12*10.21)*47.59%/13*12/30*20</f>
        <v>5975172.9693126362</v>
      </c>
      <c r="I23" s="17">
        <f t="shared" si="3"/>
        <v>5978410.9693126362</v>
      </c>
      <c r="J23" s="17">
        <f t="shared" si="6"/>
        <v>478272.87754501088</v>
      </c>
      <c r="K23" s="17">
        <f t="shared" si="0"/>
        <v>6456683.8468576474</v>
      </c>
      <c r="L23" s="17">
        <f t="shared" si="1"/>
        <v>645668.38468576479</v>
      </c>
      <c r="M23" s="17">
        <f t="shared" si="4"/>
        <v>122676.99309029531</v>
      </c>
      <c r="N23" s="17">
        <f t="shared" si="2"/>
        <v>6579361</v>
      </c>
    </row>
    <row r="24" spans="2:16" ht="29.1" customHeight="1">
      <c r="B24" s="3">
        <f t="shared" si="5"/>
        <v>9</v>
      </c>
      <c r="C24" s="3">
        <v>92121504</v>
      </c>
      <c r="D24" s="18" t="s">
        <v>25</v>
      </c>
      <c r="E24" s="14" t="s">
        <v>16</v>
      </c>
      <c r="F24" s="51">
        <v>0.08</v>
      </c>
      <c r="G24" s="16">
        <v>12</v>
      </c>
      <c r="H24" s="17">
        <f t="shared" si="7"/>
        <v>5975172.9693126362</v>
      </c>
      <c r="I24" s="17">
        <f t="shared" si="3"/>
        <v>5978410.9693126362</v>
      </c>
      <c r="J24" s="17">
        <f t="shared" si="6"/>
        <v>478272.87754501088</v>
      </c>
      <c r="K24" s="17">
        <f t="shared" si="0"/>
        <v>6456683.8468576474</v>
      </c>
      <c r="L24" s="17">
        <f t="shared" si="1"/>
        <v>645668.38468576479</v>
      </c>
      <c r="M24" s="17">
        <f t="shared" si="4"/>
        <v>122676.99309029531</v>
      </c>
      <c r="N24" s="17">
        <f t="shared" si="2"/>
        <v>6579361</v>
      </c>
    </row>
    <row r="25" spans="2:16" ht="29.1" customHeight="1">
      <c r="B25" s="3">
        <f t="shared" si="5"/>
        <v>10</v>
      </c>
      <c r="C25" s="3">
        <v>92121504</v>
      </c>
      <c r="D25" s="18" t="s">
        <v>26</v>
      </c>
      <c r="E25" s="14" t="s">
        <v>16</v>
      </c>
      <c r="F25" s="51">
        <v>0.08</v>
      </c>
      <c r="G25" s="16">
        <v>12</v>
      </c>
      <c r="H25" s="17">
        <f t="shared" si="7"/>
        <v>5975172.9693126362</v>
      </c>
      <c r="I25" s="17">
        <f t="shared" si="3"/>
        <v>5978410.9693126362</v>
      </c>
      <c r="J25" s="17">
        <f t="shared" si="6"/>
        <v>478272.87754501088</v>
      </c>
      <c r="K25" s="17">
        <f t="shared" si="0"/>
        <v>6456683.8468576474</v>
      </c>
      <c r="L25" s="17">
        <f t="shared" si="1"/>
        <v>645668.38468576479</v>
      </c>
      <c r="M25" s="17">
        <f t="shared" si="4"/>
        <v>122676.99309029531</v>
      </c>
      <c r="N25" s="17">
        <f t="shared" si="2"/>
        <v>6579361</v>
      </c>
    </row>
    <row r="26" spans="2:16" ht="29.1" customHeight="1">
      <c r="B26" s="3">
        <f t="shared" si="5"/>
        <v>11</v>
      </c>
      <c r="C26" s="3">
        <v>92121504</v>
      </c>
      <c r="D26" s="18" t="s">
        <v>27</v>
      </c>
      <c r="E26" s="14" t="s">
        <v>16</v>
      </c>
      <c r="F26" s="51">
        <v>0.08</v>
      </c>
      <c r="G26" s="16">
        <v>12</v>
      </c>
      <c r="H26" s="17">
        <f t="shared" si="7"/>
        <v>5975172.9693126362</v>
      </c>
      <c r="I26" s="17">
        <f t="shared" si="3"/>
        <v>5978410.9693126362</v>
      </c>
      <c r="J26" s="17">
        <f t="shared" si="6"/>
        <v>478272.87754501088</v>
      </c>
      <c r="K26" s="17">
        <f t="shared" si="0"/>
        <v>6456683.8468576474</v>
      </c>
      <c r="L26" s="17">
        <f t="shared" si="1"/>
        <v>645668.38468576479</v>
      </c>
      <c r="M26" s="17">
        <f t="shared" si="4"/>
        <v>122676.99309029531</v>
      </c>
      <c r="N26" s="17">
        <f t="shared" si="2"/>
        <v>6579361</v>
      </c>
    </row>
    <row r="27" spans="2:16" ht="29.1" customHeight="1">
      <c r="B27" s="3">
        <f t="shared" si="5"/>
        <v>12</v>
      </c>
      <c r="C27" s="3">
        <v>92121504</v>
      </c>
      <c r="D27" s="18" t="s">
        <v>28</v>
      </c>
      <c r="E27" s="14" t="s">
        <v>16</v>
      </c>
      <c r="F27" s="51">
        <v>0.08</v>
      </c>
      <c r="G27" s="16">
        <v>12</v>
      </c>
      <c r="H27" s="17">
        <f t="shared" si="7"/>
        <v>5975172.9693126362</v>
      </c>
      <c r="I27" s="17">
        <f t="shared" si="3"/>
        <v>5978410.9693126362</v>
      </c>
      <c r="J27" s="17">
        <f t="shared" si="6"/>
        <v>478272.87754501088</v>
      </c>
      <c r="K27" s="17">
        <f t="shared" si="0"/>
        <v>6456683.8468576474</v>
      </c>
      <c r="L27" s="17">
        <f t="shared" si="1"/>
        <v>645668.38468576479</v>
      </c>
      <c r="M27" s="17">
        <f t="shared" si="4"/>
        <v>122676.99309029531</v>
      </c>
      <c r="N27" s="17">
        <f t="shared" si="2"/>
        <v>6579361</v>
      </c>
    </row>
    <row r="28" spans="2:16" ht="29.1" customHeight="1">
      <c r="B28" s="3">
        <f t="shared" si="5"/>
        <v>13</v>
      </c>
      <c r="C28" s="3">
        <v>92121504</v>
      </c>
      <c r="D28" s="18" t="s">
        <v>29</v>
      </c>
      <c r="E28" s="14" t="s">
        <v>16</v>
      </c>
      <c r="F28" s="51">
        <v>0.08</v>
      </c>
      <c r="G28" s="16">
        <v>12</v>
      </c>
      <c r="H28" s="17">
        <f t="shared" si="7"/>
        <v>5975172.9693126362</v>
      </c>
      <c r="I28" s="17">
        <f t="shared" si="3"/>
        <v>5978410.9693126362</v>
      </c>
      <c r="J28" s="17">
        <f t="shared" si="6"/>
        <v>478272.87754501088</v>
      </c>
      <c r="K28" s="17">
        <f t="shared" si="0"/>
        <v>6456683.8468576474</v>
      </c>
      <c r="L28" s="17">
        <f t="shared" si="1"/>
        <v>645668.38468576479</v>
      </c>
      <c r="M28" s="17">
        <f t="shared" si="4"/>
        <v>122676.99309029531</v>
      </c>
      <c r="N28" s="17">
        <f t="shared" si="2"/>
        <v>6579361</v>
      </c>
    </row>
    <row r="29" spans="2:16" ht="29.1" customHeight="1">
      <c r="B29" s="3">
        <f t="shared" si="5"/>
        <v>14</v>
      </c>
      <c r="C29" s="3">
        <v>92121504</v>
      </c>
      <c r="D29" s="18" t="s">
        <v>30</v>
      </c>
      <c r="E29" s="14" t="s">
        <v>16</v>
      </c>
      <c r="F29" s="51">
        <v>0.08</v>
      </c>
      <c r="G29" s="16">
        <v>12</v>
      </c>
      <c r="H29" s="17">
        <f t="shared" si="7"/>
        <v>5975172.9693126362</v>
      </c>
      <c r="I29" s="17">
        <f t="shared" si="3"/>
        <v>5978410.9693126362</v>
      </c>
      <c r="J29" s="17">
        <f t="shared" si="6"/>
        <v>478272.87754501088</v>
      </c>
      <c r="K29" s="17">
        <f t="shared" si="0"/>
        <v>6456683.8468576474</v>
      </c>
      <c r="L29" s="17">
        <f t="shared" si="1"/>
        <v>645668.38468576479</v>
      </c>
      <c r="M29" s="17">
        <f t="shared" si="4"/>
        <v>122676.99309029531</v>
      </c>
      <c r="N29" s="17">
        <f t="shared" si="2"/>
        <v>6579361</v>
      </c>
      <c r="P29" s="52"/>
    </row>
    <row r="30" spans="2:16" ht="29.1" customHeight="1">
      <c r="B30" s="3">
        <f t="shared" si="5"/>
        <v>15</v>
      </c>
      <c r="C30" s="3">
        <v>92121504</v>
      </c>
      <c r="D30" s="18" t="s">
        <v>18</v>
      </c>
      <c r="E30" s="14" t="s">
        <v>16</v>
      </c>
      <c r="F30" s="51">
        <v>0.08</v>
      </c>
      <c r="G30" s="16">
        <v>10</v>
      </c>
      <c r="H30" s="17">
        <f>($E$12*10.21)*47.59%/13*10/30*20</f>
        <v>4979310.8077605311</v>
      </c>
      <c r="I30" s="17">
        <f t="shared" si="3"/>
        <v>4982548.8077605311</v>
      </c>
      <c r="J30" s="17">
        <f t="shared" si="6"/>
        <v>398603.90462084248</v>
      </c>
      <c r="K30" s="17">
        <f t="shared" si="0"/>
        <v>5381152.7123813732</v>
      </c>
      <c r="L30" s="17">
        <f t="shared" si="1"/>
        <v>538115.27123813739</v>
      </c>
      <c r="M30" s="17">
        <f t="shared" si="4"/>
        <v>102241.9015352461</v>
      </c>
      <c r="N30" s="17">
        <f t="shared" si="2"/>
        <v>5483395</v>
      </c>
      <c r="P30" s="52"/>
    </row>
    <row r="31" spans="2:16" ht="29.1" customHeight="1">
      <c r="B31" s="3">
        <f t="shared" si="5"/>
        <v>16</v>
      </c>
      <c r="C31" s="3">
        <v>92121504</v>
      </c>
      <c r="D31" s="18" t="s">
        <v>31</v>
      </c>
      <c r="E31" s="14" t="s">
        <v>16</v>
      </c>
      <c r="F31" s="51">
        <v>0.08</v>
      </c>
      <c r="G31" s="16">
        <v>12</v>
      </c>
      <c r="H31" s="17">
        <f>(E12*10.21)*47.59%/13*12/30*20</f>
        <v>5975172.9693126362</v>
      </c>
      <c r="I31" s="17">
        <f t="shared" si="3"/>
        <v>5978410.9693126362</v>
      </c>
      <c r="J31" s="17">
        <f t="shared" si="6"/>
        <v>478272.87754501088</v>
      </c>
      <c r="K31" s="17">
        <f t="shared" si="0"/>
        <v>6456683.8468576474</v>
      </c>
      <c r="L31" s="17">
        <f t="shared" si="1"/>
        <v>645668.38468576479</v>
      </c>
      <c r="M31" s="17">
        <f t="shared" si="4"/>
        <v>122676.99309029531</v>
      </c>
      <c r="N31" s="17">
        <f t="shared" si="2"/>
        <v>6579361</v>
      </c>
      <c r="P31" s="52"/>
    </row>
    <row r="32" spans="2:16">
      <c r="B32" s="9"/>
      <c r="H32" s="25">
        <f ca="1">SUM(H16:H32)</f>
        <v>0</v>
      </c>
      <c r="I32" s="25"/>
      <c r="J32" s="53"/>
      <c r="K32" s="49"/>
      <c r="L32" s="26" t="s">
        <v>41</v>
      </c>
      <c r="M32" s="27">
        <f>SUM(M16:M31)</f>
        <v>2988648.2927377862</v>
      </c>
      <c r="N32" s="27">
        <f>SUM(N16:N31)</f>
        <v>160285928</v>
      </c>
    </row>
    <row r="33" spans="2:16">
      <c r="B33" s="9"/>
      <c r="H33" s="25"/>
      <c r="I33" s="25"/>
      <c r="J33" s="53"/>
      <c r="K33" s="49"/>
      <c r="L33" s="53"/>
      <c r="M33" s="54"/>
      <c r="N33" s="55"/>
    </row>
    <row r="34" spans="2:16" ht="15.6" customHeight="1">
      <c r="B34" s="9"/>
      <c r="L34" s="82" t="s">
        <v>42</v>
      </c>
      <c r="M34" s="82"/>
      <c r="N34" s="27">
        <f>N32</f>
        <v>160285928</v>
      </c>
    </row>
    <row r="35" spans="2:16" ht="39" customHeight="1">
      <c r="B35" s="28"/>
      <c r="C35" s="29"/>
      <c r="D35" s="29"/>
      <c r="E35" s="29"/>
      <c r="F35" s="29"/>
      <c r="G35" s="29"/>
      <c r="H35" s="29"/>
      <c r="I35" s="29"/>
      <c r="J35" s="29"/>
      <c r="K35" s="29"/>
      <c r="L35" s="83" t="s">
        <v>43</v>
      </c>
      <c r="M35" s="83"/>
      <c r="N35" s="56">
        <f>N34*12</f>
        <v>1923431136</v>
      </c>
      <c r="P35" s="57"/>
    </row>
  </sheetData>
  <sheetProtection algorithmName="SHA-512" hashValue="+Mjr/9BonLnSI+sqR9nlULkYIX14fW008MX4Q95GNPxsTdE71EaU9hp6qPTC797yH7hwyd3S6UIVQdtLqtXtPA==" saltValue="0JT+eknbItMZwQQcc8h1lA==" spinCount="100000" sheet="1" objects="1" scenarios="1"/>
  <mergeCells count="16">
    <mergeCell ref="F14:N14"/>
    <mergeCell ref="L34:M34"/>
    <mergeCell ref="L35:M35"/>
    <mergeCell ref="B2:F2"/>
    <mergeCell ref="G2:N2"/>
    <mergeCell ref="B3:F3"/>
    <mergeCell ref="G3:J3"/>
    <mergeCell ref="L3:N3"/>
    <mergeCell ref="B4:F4"/>
    <mergeCell ref="L4:N4"/>
    <mergeCell ref="B5:F5"/>
    <mergeCell ref="L5:N5"/>
    <mergeCell ref="B6:N6"/>
    <mergeCell ref="B7:N7"/>
    <mergeCell ref="B8:N8"/>
    <mergeCell ref="I13:N13"/>
  </mergeCells>
  <pageMargins left="0.7" right="0.7" top="0.75" bottom="0.75" header="0.3" footer="0.3"/>
  <pageSetup orientation="portrait" horizontalDpi="0" verticalDpi="0"/>
  <ignoredErrors>
    <ignoredError sqref="J18" formula="1"/>
    <ignoredError sqref="B17:B19 B20:B31"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RECURSO_HUMANO_2026</vt:lpstr>
      <vt:lpstr>RECURSO_HUMANO_VIGENCIA 2027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Rocio Carrero Burbano</dc:creator>
  <cp:keywords/>
  <dc:description/>
  <cp:lastModifiedBy>MARCEL BUITRAGO</cp:lastModifiedBy>
  <cp:revision/>
  <dcterms:created xsi:type="dcterms:W3CDTF">2026-04-16T01:45:52Z</dcterms:created>
  <dcterms:modified xsi:type="dcterms:W3CDTF">2026-08-20T02:46:52Z</dcterms:modified>
  <cp:category/>
  <cp:contentStatus/>
</cp:coreProperties>
</file>